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4" rupBuild="22416"/>
  <workbookPr date1904="1" showInkAnnotation="0" autoCompressPictures="0"/>
  <bookViews>
    <workbookView xWindow="0" yWindow="0" windowWidth="25600" windowHeight="13660" tabRatio="500"/>
  </bookViews>
  <sheets>
    <sheet name="Sheet2" sheetId="2" r:id="rId1"/>
    <sheet name="Sheet1" sheetId="1" r:id="rId2"/>
  </sheets>
  <definedNames>
    <definedName name="contents__2" localSheetId="0">Sheet2!$A$1:$L$8313</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H8313" i="2" l="1"/>
  <c r="G8313" i="2"/>
  <c r="H8312" i="2"/>
  <c r="G8312" i="2"/>
  <c r="H8311" i="2"/>
  <c r="G8311" i="2"/>
  <c r="H8310" i="2"/>
  <c r="G8310" i="2"/>
  <c r="H8309" i="2"/>
  <c r="G8309" i="2"/>
  <c r="H8308" i="2"/>
  <c r="G8308" i="2"/>
  <c r="H8307" i="2"/>
  <c r="G8307" i="2"/>
  <c r="H8306" i="2"/>
  <c r="G8306" i="2"/>
  <c r="H8305" i="2"/>
  <c r="G8305" i="2"/>
  <c r="H8304" i="2"/>
  <c r="G8304" i="2"/>
  <c r="H8303" i="2"/>
  <c r="G8303" i="2"/>
  <c r="H8302" i="2"/>
  <c r="G8302" i="2"/>
  <c r="H8301" i="2"/>
  <c r="G8301" i="2"/>
  <c r="H8300" i="2"/>
  <c r="G8300" i="2"/>
  <c r="H8299" i="2"/>
  <c r="G8299" i="2"/>
  <c r="H8298" i="2"/>
  <c r="G8298" i="2"/>
  <c r="H8297" i="2"/>
  <c r="G8297" i="2"/>
  <c r="H8296" i="2"/>
  <c r="G8296" i="2"/>
  <c r="H8295" i="2"/>
  <c r="G8295" i="2"/>
  <c r="H8294" i="2"/>
  <c r="G8294" i="2"/>
  <c r="H8293" i="2"/>
  <c r="G8293" i="2"/>
  <c r="H8292" i="2"/>
  <c r="G8292" i="2"/>
  <c r="H8291" i="2"/>
  <c r="G8291" i="2"/>
  <c r="H8290" i="2"/>
  <c r="G8290" i="2"/>
  <c r="H8289" i="2"/>
  <c r="G8289" i="2"/>
  <c r="H8288" i="2"/>
  <c r="G8288" i="2"/>
  <c r="H8287" i="2"/>
  <c r="G8287" i="2"/>
  <c r="H8286" i="2"/>
  <c r="G8286" i="2"/>
  <c r="H8285" i="2"/>
  <c r="G8285" i="2"/>
  <c r="H8284" i="2"/>
  <c r="G8284" i="2"/>
  <c r="H8283" i="2"/>
  <c r="G8283" i="2"/>
  <c r="H8282" i="2"/>
  <c r="G8282" i="2"/>
  <c r="H8281" i="2"/>
  <c r="G8281" i="2"/>
  <c r="H8280" i="2"/>
  <c r="G8280" i="2"/>
  <c r="H8279" i="2"/>
  <c r="G8279" i="2"/>
  <c r="H8278" i="2"/>
  <c r="G8278" i="2"/>
  <c r="H8277" i="2"/>
  <c r="G8277" i="2"/>
  <c r="H8276" i="2"/>
  <c r="G8276" i="2"/>
  <c r="H8275" i="2"/>
  <c r="G8275" i="2"/>
  <c r="H8274" i="2"/>
  <c r="G8274" i="2"/>
  <c r="H8273" i="2"/>
  <c r="G8273" i="2"/>
  <c r="H8272" i="2"/>
  <c r="G8272" i="2"/>
  <c r="H8271" i="2"/>
  <c r="G8271" i="2"/>
  <c r="H8270" i="2"/>
  <c r="G8270" i="2"/>
  <c r="H8269" i="2"/>
  <c r="G8269" i="2"/>
  <c r="H8268" i="2"/>
  <c r="G8268" i="2"/>
  <c r="H8267" i="2"/>
  <c r="G8267" i="2"/>
  <c r="H8266" i="2"/>
  <c r="G8266" i="2"/>
  <c r="H8265" i="2"/>
  <c r="G8265" i="2"/>
  <c r="H8264" i="2"/>
  <c r="G8264" i="2"/>
  <c r="H8263" i="2"/>
  <c r="G8263" i="2"/>
  <c r="H8262" i="2"/>
  <c r="G8262" i="2"/>
  <c r="H8261" i="2"/>
  <c r="G8261" i="2"/>
  <c r="H8260" i="2"/>
  <c r="G8260" i="2"/>
  <c r="H8259" i="2"/>
  <c r="G8259" i="2"/>
  <c r="H8258" i="2"/>
  <c r="G8258" i="2"/>
  <c r="H8257" i="2"/>
  <c r="G8257" i="2"/>
  <c r="H8256" i="2"/>
  <c r="G8256" i="2"/>
  <c r="H8255" i="2"/>
  <c r="G8255" i="2"/>
  <c r="H8254" i="2"/>
  <c r="G8254" i="2"/>
  <c r="H8253" i="2"/>
  <c r="G8253" i="2"/>
  <c r="H8252" i="2"/>
  <c r="G8252" i="2"/>
  <c r="H8251" i="2"/>
  <c r="G8251" i="2"/>
  <c r="H8250" i="2"/>
  <c r="G8250" i="2"/>
  <c r="H8249" i="2"/>
  <c r="G8249" i="2"/>
  <c r="H8248" i="2"/>
  <c r="G8248" i="2"/>
  <c r="H8247" i="2"/>
  <c r="G8247" i="2"/>
  <c r="H8246" i="2"/>
  <c r="G8246" i="2"/>
  <c r="H8245" i="2"/>
  <c r="G8245" i="2"/>
  <c r="H8244" i="2"/>
  <c r="G8244" i="2"/>
  <c r="H8243" i="2"/>
  <c r="G8243" i="2"/>
  <c r="H8242" i="2"/>
  <c r="G8242" i="2"/>
  <c r="H8241" i="2"/>
  <c r="G8241" i="2"/>
  <c r="H8240" i="2"/>
  <c r="G8240" i="2"/>
  <c r="H8239" i="2"/>
  <c r="G8239" i="2"/>
  <c r="H8238" i="2"/>
  <c r="G8238" i="2"/>
  <c r="H8237" i="2"/>
  <c r="G8237" i="2"/>
  <c r="H8236" i="2"/>
  <c r="G8236" i="2"/>
  <c r="H8235" i="2"/>
  <c r="G8235" i="2"/>
  <c r="H8234" i="2"/>
  <c r="G8234" i="2"/>
  <c r="H8233" i="2"/>
  <c r="G8233" i="2"/>
  <c r="H8232" i="2"/>
  <c r="G8232" i="2"/>
  <c r="H8231" i="2"/>
  <c r="G8231" i="2"/>
  <c r="H8230" i="2"/>
  <c r="G8230" i="2"/>
  <c r="H8229" i="2"/>
  <c r="G8229" i="2"/>
  <c r="H8228" i="2"/>
  <c r="G8228" i="2"/>
  <c r="H8227" i="2"/>
  <c r="G8227" i="2"/>
  <c r="H8226" i="2"/>
  <c r="G8226" i="2"/>
  <c r="H8225" i="2"/>
  <c r="G8225" i="2"/>
  <c r="H8224" i="2"/>
  <c r="G8224" i="2"/>
  <c r="H8223" i="2"/>
  <c r="G8223" i="2"/>
  <c r="H8222" i="2"/>
  <c r="G8222" i="2"/>
  <c r="H8221" i="2"/>
  <c r="G8221" i="2"/>
  <c r="H8220" i="2"/>
  <c r="G8220" i="2"/>
  <c r="H8219" i="2"/>
  <c r="G8219" i="2"/>
  <c r="H8218" i="2"/>
  <c r="G8218" i="2"/>
  <c r="H8217" i="2"/>
  <c r="G8217" i="2"/>
  <c r="H8216" i="2"/>
  <c r="G8216" i="2"/>
  <c r="H8215" i="2"/>
  <c r="G8215" i="2"/>
  <c r="H8214" i="2"/>
  <c r="G8214" i="2"/>
  <c r="H8213" i="2"/>
  <c r="G8213" i="2"/>
  <c r="H8212" i="2"/>
  <c r="G8212" i="2"/>
  <c r="H8211" i="2"/>
  <c r="G8211" i="2"/>
  <c r="H8210" i="2"/>
  <c r="G8210" i="2"/>
  <c r="H8209" i="2"/>
  <c r="G8209" i="2"/>
  <c r="H8208" i="2"/>
  <c r="G8208" i="2"/>
  <c r="H8207" i="2"/>
  <c r="G8207" i="2"/>
  <c r="H8206" i="2"/>
  <c r="G8206" i="2"/>
  <c r="H8205" i="2"/>
  <c r="G8205" i="2"/>
  <c r="H8204" i="2"/>
  <c r="G8204" i="2"/>
  <c r="H8203" i="2"/>
  <c r="G8203" i="2"/>
  <c r="H8202" i="2"/>
  <c r="G8202" i="2"/>
  <c r="H8201" i="2"/>
  <c r="G8201" i="2"/>
  <c r="H8200" i="2"/>
  <c r="G8200" i="2"/>
  <c r="H8199" i="2"/>
  <c r="G8199" i="2"/>
  <c r="H8198" i="2"/>
  <c r="G8198" i="2"/>
  <c r="H8197" i="2"/>
  <c r="G8197" i="2"/>
  <c r="H8196" i="2"/>
  <c r="G8196" i="2"/>
  <c r="H8195" i="2"/>
  <c r="G8195" i="2"/>
  <c r="H8194" i="2"/>
  <c r="G8194" i="2"/>
  <c r="H8193" i="2"/>
  <c r="G8193" i="2"/>
  <c r="H8192" i="2"/>
  <c r="G8192" i="2"/>
  <c r="H8191" i="2"/>
  <c r="G8191" i="2"/>
  <c r="H8190" i="2"/>
  <c r="G8190" i="2"/>
  <c r="H8189" i="2"/>
  <c r="G8189" i="2"/>
  <c r="H8188" i="2"/>
  <c r="G8188" i="2"/>
  <c r="H8187" i="2"/>
  <c r="G8187" i="2"/>
  <c r="H8186" i="2"/>
  <c r="G8186" i="2"/>
  <c r="H8185" i="2"/>
  <c r="G8185" i="2"/>
  <c r="H8184" i="2"/>
  <c r="G8184" i="2"/>
  <c r="H8183" i="2"/>
  <c r="G8183" i="2"/>
  <c r="H8182" i="2"/>
  <c r="G8182" i="2"/>
  <c r="H8181" i="2"/>
  <c r="G8181" i="2"/>
  <c r="H8180" i="2"/>
  <c r="G8180" i="2"/>
  <c r="H8179" i="2"/>
  <c r="G8179" i="2"/>
  <c r="H8178" i="2"/>
  <c r="G8178" i="2"/>
  <c r="H8177" i="2"/>
  <c r="G8177" i="2"/>
  <c r="H8176" i="2"/>
  <c r="G8176" i="2"/>
  <c r="H8175" i="2"/>
  <c r="G8175" i="2"/>
  <c r="H8174" i="2"/>
  <c r="G8174" i="2"/>
  <c r="H8173" i="2"/>
  <c r="G8173" i="2"/>
  <c r="H8172" i="2"/>
  <c r="G8172" i="2"/>
  <c r="H8171" i="2"/>
  <c r="G8171" i="2"/>
  <c r="H8170" i="2"/>
  <c r="G8170" i="2"/>
  <c r="H8169" i="2"/>
  <c r="G8169" i="2"/>
  <c r="H8168" i="2"/>
  <c r="G8168" i="2"/>
  <c r="H8167" i="2"/>
  <c r="G8167" i="2"/>
  <c r="H8166" i="2"/>
  <c r="G8166" i="2"/>
  <c r="H8165" i="2"/>
  <c r="G8165" i="2"/>
  <c r="H8164" i="2"/>
  <c r="G8164" i="2"/>
  <c r="H8163" i="2"/>
  <c r="G8163" i="2"/>
  <c r="H8162" i="2"/>
  <c r="G8162" i="2"/>
  <c r="H8161" i="2"/>
  <c r="G8161" i="2"/>
  <c r="H8160" i="2"/>
  <c r="G8160" i="2"/>
  <c r="H8159" i="2"/>
  <c r="G8159" i="2"/>
  <c r="H8158" i="2"/>
  <c r="G8158" i="2"/>
  <c r="H8157" i="2"/>
  <c r="G8157" i="2"/>
  <c r="H8156" i="2"/>
  <c r="G8156" i="2"/>
  <c r="H8155" i="2"/>
  <c r="G8155" i="2"/>
  <c r="H8154" i="2"/>
  <c r="G8154" i="2"/>
  <c r="H8153" i="2"/>
  <c r="G8153" i="2"/>
  <c r="H8152" i="2"/>
  <c r="G8152" i="2"/>
  <c r="H8151" i="2"/>
  <c r="G8151" i="2"/>
  <c r="H8150" i="2"/>
  <c r="G8150" i="2"/>
  <c r="H8149" i="2"/>
  <c r="G8149" i="2"/>
  <c r="H8148" i="2"/>
  <c r="G8148" i="2"/>
  <c r="H8147" i="2"/>
  <c r="G8147" i="2"/>
  <c r="H8146" i="2"/>
  <c r="G8146" i="2"/>
  <c r="H8145" i="2"/>
  <c r="G8145" i="2"/>
  <c r="H8144" i="2"/>
  <c r="G8144" i="2"/>
  <c r="H8143" i="2"/>
  <c r="G8143" i="2"/>
  <c r="H8142" i="2"/>
  <c r="G8142" i="2"/>
  <c r="H8141" i="2"/>
  <c r="G8141" i="2"/>
  <c r="H8140" i="2"/>
  <c r="G8140" i="2"/>
  <c r="H8139" i="2"/>
  <c r="G8139" i="2"/>
  <c r="H8138" i="2"/>
  <c r="G8138" i="2"/>
  <c r="H8137" i="2"/>
  <c r="G8137" i="2"/>
  <c r="H8136" i="2"/>
  <c r="G8136" i="2"/>
  <c r="H8135" i="2"/>
  <c r="G8135" i="2"/>
  <c r="H8134" i="2"/>
  <c r="G8134" i="2"/>
  <c r="H8133" i="2"/>
  <c r="G8133" i="2"/>
  <c r="H8132" i="2"/>
  <c r="G8132" i="2"/>
  <c r="H8131" i="2"/>
  <c r="G8131" i="2"/>
  <c r="H8130" i="2"/>
  <c r="G8130" i="2"/>
  <c r="H8129" i="2"/>
  <c r="G8129" i="2"/>
  <c r="H8128" i="2"/>
  <c r="G8128" i="2"/>
  <c r="H8127" i="2"/>
  <c r="G8127" i="2"/>
  <c r="H8126" i="2"/>
  <c r="G8126" i="2"/>
  <c r="H8125" i="2"/>
  <c r="G8125" i="2"/>
  <c r="H8124" i="2"/>
  <c r="G8124" i="2"/>
  <c r="H8123" i="2"/>
  <c r="G8123" i="2"/>
  <c r="H8122" i="2"/>
  <c r="G8122" i="2"/>
  <c r="H8121" i="2"/>
  <c r="G8121" i="2"/>
  <c r="H8120" i="2"/>
  <c r="G8120" i="2"/>
  <c r="H8119" i="2"/>
  <c r="G8119" i="2"/>
  <c r="H8118" i="2"/>
  <c r="G8118" i="2"/>
  <c r="H8117" i="2"/>
  <c r="G8117" i="2"/>
  <c r="H8116" i="2"/>
  <c r="G8116" i="2"/>
  <c r="H8115" i="2"/>
  <c r="G8115" i="2"/>
  <c r="H8114" i="2"/>
  <c r="G8114" i="2"/>
  <c r="H8113" i="2"/>
  <c r="G8113" i="2"/>
  <c r="H8112" i="2"/>
  <c r="G8112" i="2"/>
  <c r="H8111" i="2"/>
  <c r="G8111" i="2"/>
  <c r="H8110" i="2"/>
  <c r="G8110" i="2"/>
  <c r="H8109" i="2"/>
  <c r="G8109" i="2"/>
  <c r="H8108" i="2"/>
  <c r="G8108" i="2"/>
  <c r="H8107" i="2"/>
  <c r="G8107" i="2"/>
  <c r="H8106" i="2"/>
  <c r="G8106" i="2"/>
  <c r="H8105" i="2"/>
  <c r="G8105" i="2"/>
  <c r="H8104" i="2"/>
  <c r="G8104" i="2"/>
  <c r="H8103" i="2"/>
  <c r="G8103" i="2"/>
  <c r="H8102" i="2"/>
  <c r="G8102" i="2"/>
  <c r="H8101" i="2"/>
  <c r="G8101" i="2"/>
  <c r="H8100" i="2"/>
  <c r="G8100" i="2"/>
  <c r="H8099" i="2"/>
  <c r="G8099" i="2"/>
  <c r="H8098" i="2"/>
  <c r="G8098" i="2"/>
  <c r="H8097" i="2"/>
  <c r="G8097" i="2"/>
  <c r="H8096" i="2"/>
  <c r="G8096" i="2"/>
  <c r="H8095" i="2"/>
  <c r="G8095" i="2"/>
  <c r="H8094" i="2"/>
  <c r="G8094" i="2"/>
  <c r="H8093" i="2"/>
  <c r="G8093" i="2"/>
  <c r="H8092" i="2"/>
  <c r="G8092" i="2"/>
  <c r="H8091" i="2"/>
  <c r="G8091" i="2"/>
  <c r="H8090" i="2"/>
  <c r="G8090" i="2"/>
  <c r="H8089" i="2"/>
  <c r="G8089" i="2"/>
  <c r="H8088" i="2"/>
  <c r="G8088" i="2"/>
  <c r="H8087" i="2"/>
  <c r="G8087" i="2"/>
  <c r="H8086" i="2"/>
  <c r="G8086" i="2"/>
  <c r="H8085" i="2"/>
  <c r="G8085" i="2"/>
  <c r="H8084" i="2"/>
  <c r="G8084" i="2"/>
  <c r="H8083" i="2"/>
  <c r="G8083" i="2"/>
  <c r="H8082" i="2"/>
  <c r="G8082" i="2"/>
  <c r="H8081" i="2"/>
  <c r="G8081" i="2"/>
  <c r="H8080" i="2"/>
  <c r="G8080" i="2"/>
  <c r="H8079" i="2"/>
  <c r="G8079" i="2"/>
  <c r="H8078" i="2"/>
  <c r="G8078" i="2"/>
  <c r="H8077" i="2"/>
  <c r="G8077" i="2"/>
  <c r="H8076" i="2"/>
  <c r="G8076" i="2"/>
  <c r="H8075" i="2"/>
  <c r="G8075" i="2"/>
  <c r="H8074" i="2"/>
  <c r="G8074" i="2"/>
  <c r="H8073" i="2"/>
  <c r="G8073" i="2"/>
  <c r="H8072" i="2"/>
  <c r="G8072" i="2"/>
  <c r="H8071" i="2"/>
  <c r="G8071" i="2"/>
  <c r="H8070" i="2"/>
  <c r="G8070" i="2"/>
  <c r="H8069" i="2"/>
  <c r="G8069" i="2"/>
  <c r="H8068" i="2"/>
  <c r="G8068" i="2"/>
  <c r="H8067" i="2"/>
  <c r="G8067" i="2"/>
  <c r="H8066" i="2"/>
  <c r="G8066" i="2"/>
  <c r="H8065" i="2"/>
  <c r="G8065" i="2"/>
  <c r="H8064" i="2"/>
  <c r="G8064" i="2"/>
  <c r="H8063" i="2"/>
  <c r="G8063" i="2"/>
  <c r="H8062" i="2"/>
  <c r="G8062" i="2"/>
  <c r="H8061" i="2"/>
  <c r="G8061" i="2"/>
  <c r="H8060" i="2"/>
  <c r="G8060" i="2"/>
  <c r="H8059" i="2"/>
  <c r="G8059" i="2"/>
  <c r="H8058" i="2"/>
  <c r="G8058" i="2"/>
  <c r="H8057" i="2"/>
  <c r="G8057" i="2"/>
  <c r="H8056" i="2"/>
  <c r="G8056" i="2"/>
  <c r="H8055" i="2"/>
  <c r="G8055" i="2"/>
  <c r="H8054" i="2"/>
  <c r="G8054" i="2"/>
  <c r="H8053" i="2"/>
  <c r="G8053" i="2"/>
  <c r="H8052" i="2"/>
  <c r="G8052" i="2"/>
  <c r="H8051" i="2"/>
  <c r="G8051" i="2"/>
  <c r="H8050" i="2"/>
  <c r="G8050" i="2"/>
  <c r="H8049" i="2"/>
  <c r="G8049" i="2"/>
  <c r="H8048" i="2"/>
  <c r="G8048" i="2"/>
  <c r="H8047" i="2"/>
  <c r="G8047" i="2"/>
  <c r="H8046" i="2"/>
  <c r="G8046" i="2"/>
  <c r="H8045" i="2"/>
  <c r="G8045" i="2"/>
  <c r="H8044" i="2"/>
  <c r="G8044" i="2"/>
  <c r="H8043" i="2"/>
  <c r="G8043" i="2"/>
  <c r="H8042" i="2"/>
  <c r="G8042" i="2"/>
  <c r="H8041" i="2"/>
  <c r="G8041" i="2"/>
  <c r="H8040" i="2"/>
  <c r="G8040" i="2"/>
  <c r="H8039" i="2"/>
  <c r="G8039" i="2"/>
  <c r="H8038" i="2"/>
  <c r="G8038" i="2"/>
  <c r="H8037" i="2"/>
  <c r="G8037" i="2"/>
  <c r="H8036" i="2"/>
  <c r="G8036" i="2"/>
  <c r="H8035" i="2"/>
  <c r="G8035" i="2"/>
  <c r="H8034" i="2"/>
  <c r="G8034" i="2"/>
  <c r="H8033" i="2"/>
  <c r="G8033" i="2"/>
  <c r="H8032" i="2"/>
  <c r="G8032" i="2"/>
  <c r="H8031" i="2"/>
  <c r="G8031" i="2"/>
  <c r="H8030" i="2"/>
  <c r="G8030" i="2"/>
  <c r="H8029" i="2"/>
  <c r="G8029" i="2"/>
  <c r="H8028" i="2"/>
  <c r="G8028" i="2"/>
  <c r="H8027" i="2"/>
  <c r="G8027" i="2"/>
  <c r="H8026" i="2"/>
  <c r="G8026" i="2"/>
  <c r="H8025" i="2"/>
  <c r="G8025" i="2"/>
  <c r="H8024" i="2"/>
  <c r="G8024" i="2"/>
  <c r="H8023" i="2"/>
  <c r="G8023" i="2"/>
  <c r="H8022" i="2"/>
  <c r="G8022" i="2"/>
  <c r="H8021" i="2"/>
  <c r="G8021" i="2"/>
  <c r="H8020" i="2"/>
  <c r="G8020" i="2"/>
  <c r="H8019" i="2"/>
  <c r="G8019" i="2"/>
  <c r="H8018" i="2"/>
  <c r="G8018" i="2"/>
  <c r="H8017" i="2"/>
  <c r="G8017" i="2"/>
  <c r="H8016" i="2"/>
  <c r="G8016" i="2"/>
  <c r="H8015" i="2"/>
  <c r="G8015" i="2"/>
  <c r="H8014" i="2"/>
  <c r="G8014" i="2"/>
  <c r="H8013" i="2"/>
  <c r="G8013" i="2"/>
  <c r="H8012" i="2"/>
  <c r="G8012" i="2"/>
  <c r="H8011" i="2"/>
  <c r="G8011" i="2"/>
  <c r="H8010" i="2"/>
  <c r="G8010" i="2"/>
  <c r="H8009" i="2"/>
  <c r="G8009" i="2"/>
  <c r="H8008" i="2"/>
  <c r="G8008" i="2"/>
  <c r="H8007" i="2"/>
  <c r="G8007" i="2"/>
  <c r="H8006" i="2"/>
  <c r="G8006" i="2"/>
  <c r="H8005" i="2"/>
  <c r="G8005" i="2"/>
  <c r="H8004" i="2"/>
  <c r="G8004" i="2"/>
  <c r="H8003" i="2"/>
  <c r="G8003" i="2"/>
  <c r="H8002" i="2"/>
  <c r="G8002" i="2"/>
  <c r="H8001" i="2"/>
  <c r="G8001" i="2"/>
  <c r="H8000" i="2"/>
  <c r="G8000" i="2"/>
  <c r="H7999" i="2"/>
  <c r="G7999" i="2"/>
  <c r="H7998" i="2"/>
  <c r="G7998" i="2"/>
  <c r="H7997" i="2"/>
  <c r="G7997" i="2"/>
  <c r="H7996" i="2"/>
  <c r="G7996" i="2"/>
  <c r="H7995" i="2"/>
  <c r="G7995" i="2"/>
  <c r="H7994" i="2"/>
  <c r="G7994" i="2"/>
  <c r="H7993" i="2"/>
  <c r="G7993" i="2"/>
  <c r="H7992" i="2"/>
  <c r="G7992" i="2"/>
  <c r="H7991" i="2"/>
  <c r="G7991" i="2"/>
  <c r="H7990" i="2"/>
  <c r="G7990" i="2"/>
  <c r="H7989" i="2"/>
  <c r="G7989" i="2"/>
  <c r="H7988" i="2"/>
  <c r="G7988" i="2"/>
  <c r="H7987" i="2"/>
  <c r="G7987" i="2"/>
  <c r="H7986" i="2"/>
  <c r="G7986" i="2"/>
  <c r="H7985" i="2"/>
  <c r="G7985" i="2"/>
  <c r="H7984" i="2"/>
  <c r="G7984" i="2"/>
  <c r="H7983" i="2"/>
  <c r="G7983" i="2"/>
  <c r="H7982" i="2"/>
  <c r="G7982" i="2"/>
  <c r="H7981" i="2"/>
  <c r="G7981" i="2"/>
  <c r="H7980" i="2"/>
  <c r="G7980" i="2"/>
  <c r="H7979" i="2"/>
  <c r="G7979" i="2"/>
  <c r="H7978" i="2"/>
  <c r="G7978" i="2"/>
  <c r="H7977" i="2"/>
  <c r="G7977" i="2"/>
  <c r="H7976" i="2"/>
  <c r="G7976" i="2"/>
  <c r="H7975" i="2"/>
  <c r="G7975" i="2"/>
  <c r="H7974" i="2"/>
  <c r="G7974" i="2"/>
  <c r="H7973" i="2"/>
  <c r="G7973" i="2"/>
  <c r="H7972" i="2"/>
  <c r="G7972" i="2"/>
  <c r="H7971" i="2"/>
  <c r="G7971" i="2"/>
  <c r="H7970" i="2"/>
  <c r="G7970" i="2"/>
  <c r="H7969" i="2"/>
  <c r="G7969" i="2"/>
  <c r="H7968" i="2"/>
  <c r="G7968" i="2"/>
  <c r="H7967" i="2"/>
  <c r="G7967" i="2"/>
  <c r="H7966" i="2"/>
  <c r="G7966" i="2"/>
  <c r="H7965" i="2"/>
  <c r="G7965" i="2"/>
  <c r="H7964" i="2"/>
  <c r="G7964" i="2"/>
  <c r="H7963" i="2"/>
  <c r="G7963" i="2"/>
  <c r="H7962" i="2"/>
  <c r="G7962" i="2"/>
  <c r="H7961" i="2"/>
  <c r="G7961" i="2"/>
  <c r="H7960" i="2"/>
  <c r="G7960" i="2"/>
  <c r="H7959" i="2"/>
  <c r="G7959" i="2"/>
  <c r="H7958" i="2"/>
  <c r="G7958" i="2"/>
  <c r="H7957" i="2"/>
  <c r="G7957" i="2"/>
  <c r="H7956" i="2"/>
  <c r="G7956" i="2"/>
  <c r="H7955" i="2"/>
  <c r="G7955" i="2"/>
  <c r="H7954" i="2"/>
  <c r="G7954" i="2"/>
  <c r="H7953" i="2"/>
  <c r="G7953" i="2"/>
  <c r="H7952" i="2"/>
  <c r="G7952" i="2"/>
  <c r="H7951" i="2"/>
  <c r="G7951" i="2"/>
  <c r="H7950" i="2"/>
  <c r="G7950" i="2"/>
  <c r="H7949" i="2"/>
  <c r="G7949" i="2"/>
  <c r="H7948" i="2"/>
  <c r="G7948" i="2"/>
  <c r="H7947" i="2"/>
  <c r="G7947" i="2"/>
  <c r="H7946" i="2"/>
  <c r="G7946" i="2"/>
  <c r="H7945" i="2"/>
  <c r="G7945" i="2"/>
  <c r="H7944" i="2"/>
  <c r="G7944" i="2"/>
  <c r="H7943" i="2"/>
  <c r="G7943" i="2"/>
  <c r="H7942" i="2"/>
  <c r="G7942" i="2"/>
  <c r="H7941" i="2"/>
  <c r="G7941" i="2"/>
  <c r="H7940" i="2"/>
  <c r="G7940" i="2"/>
  <c r="H7939" i="2"/>
  <c r="G7939" i="2"/>
  <c r="H7938" i="2"/>
  <c r="G7938" i="2"/>
  <c r="H7937" i="2"/>
  <c r="G7937" i="2"/>
  <c r="H7936" i="2"/>
  <c r="G7936" i="2"/>
  <c r="H7935" i="2"/>
  <c r="G7935" i="2"/>
  <c r="H7934" i="2"/>
  <c r="G7934" i="2"/>
  <c r="H7933" i="2"/>
  <c r="G7933" i="2"/>
  <c r="H7932" i="2"/>
  <c r="G7932" i="2"/>
  <c r="H7931" i="2"/>
  <c r="G7931" i="2"/>
  <c r="H7930" i="2"/>
  <c r="G7930" i="2"/>
  <c r="H7929" i="2"/>
  <c r="G7929" i="2"/>
  <c r="H7928" i="2"/>
  <c r="G7928" i="2"/>
  <c r="H7927" i="2"/>
  <c r="G7927" i="2"/>
  <c r="H7926" i="2"/>
  <c r="G7926" i="2"/>
  <c r="H7925" i="2"/>
  <c r="G7925" i="2"/>
  <c r="H7924" i="2"/>
  <c r="G7924" i="2"/>
  <c r="H7923" i="2"/>
  <c r="G7923" i="2"/>
  <c r="H7922" i="2"/>
  <c r="G7922" i="2"/>
  <c r="H7921" i="2"/>
  <c r="G7921" i="2"/>
  <c r="H7920" i="2"/>
  <c r="G7920" i="2"/>
  <c r="H7919" i="2"/>
  <c r="G7919" i="2"/>
  <c r="H7918" i="2"/>
  <c r="G7918" i="2"/>
  <c r="H7917" i="2"/>
  <c r="G7917" i="2"/>
  <c r="H7916" i="2"/>
  <c r="G7916" i="2"/>
  <c r="H7915" i="2"/>
  <c r="G7915" i="2"/>
  <c r="H7914" i="2"/>
  <c r="G7914" i="2"/>
  <c r="H7913" i="2"/>
  <c r="G7913" i="2"/>
  <c r="H7912" i="2"/>
  <c r="G7912" i="2"/>
  <c r="H7911" i="2"/>
  <c r="G7911" i="2"/>
  <c r="H7910" i="2"/>
  <c r="G7910" i="2"/>
  <c r="H7909" i="2"/>
  <c r="G7909" i="2"/>
  <c r="H7908" i="2"/>
  <c r="G7908" i="2"/>
  <c r="H7907" i="2"/>
  <c r="G7907" i="2"/>
  <c r="H7906" i="2"/>
  <c r="G7906" i="2"/>
  <c r="H7905" i="2"/>
  <c r="G7905" i="2"/>
  <c r="H7904" i="2"/>
  <c r="G7904" i="2"/>
  <c r="H7903" i="2"/>
  <c r="G7903" i="2"/>
  <c r="H7902" i="2"/>
  <c r="G7902" i="2"/>
  <c r="H7901" i="2"/>
  <c r="G7901" i="2"/>
  <c r="H7900" i="2"/>
  <c r="G7900" i="2"/>
  <c r="H7899" i="2"/>
  <c r="G7899" i="2"/>
  <c r="H7898" i="2"/>
  <c r="G7898" i="2"/>
  <c r="H7897" i="2"/>
  <c r="G7897" i="2"/>
  <c r="H7896" i="2"/>
  <c r="G7896" i="2"/>
  <c r="H7895" i="2"/>
  <c r="G7895" i="2"/>
  <c r="H7894" i="2"/>
  <c r="G7894" i="2"/>
  <c r="H7893" i="2"/>
  <c r="G7893" i="2"/>
  <c r="H7892" i="2"/>
  <c r="G7892" i="2"/>
  <c r="H7891" i="2"/>
  <c r="G7891" i="2"/>
  <c r="H7890" i="2"/>
  <c r="G7890" i="2"/>
  <c r="H7889" i="2"/>
  <c r="G7889" i="2"/>
  <c r="H7888" i="2"/>
  <c r="G7888" i="2"/>
  <c r="H7887" i="2"/>
  <c r="G7887" i="2"/>
  <c r="H7886" i="2"/>
  <c r="G7886" i="2"/>
  <c r="H7885" i="2"/>
  <c r="G7885" i="2"/>
  <c r="H7884" i="2"/>
  <c r="G7884" i="2"/>
  <c r="H7883" i="2"/>
  <c r="G7883" i="2"/>
  <c r="H7882" i="2"/>
  <c r="G7882" i="2"/>
  <c r="H7881" i="2"/>
  <c r="G7881" i="2"/>
  <c r="H7880" i="2"/>
  <c r="G7880" i="2"/>
  <c r="H7879" i="2"/>
  <c r="G7879" i="2"/>
  <c r="H7878" i="2"/>
  <c r="G7878" i="2"/>
  <c r="H7877" i="2"/>
  <c r="G7877" i="2"/>
  <c r="H7876" i="2"/>
  <c r="G7876" i="2"/>
  <c r="H7875" i="2"/>
  <c r="G7875" i="2"/>
  <c r="H7874" i="2"/>
  <c r="G7874" i="2"/>
  <c r="H7873" i="2"/>
  <c r="G7873" i="2"/>
  <c r="H7872" i="2"/>
  <c r="G7872" i="2"/>
  <c r="H7871" i="2"/>
  <c r="G7871" i="2"/>
  <c r="H7870" i="2"/>
  <c r="G7870" i="2"/>
  <c r="H7869" i="2"/>
  <c r="G7869" i="2"/>
  <c r="H7868" i="2"/>
  <c r="G7868" i="2"/>
  <c r="H7867" i="2"/>
  <c r="G7867" i="2"/>
  <c r="H7866" i="2"/>
  <c r="G7866" i="2"/>
  <c r="H7865" i="2"/>
  <c r="G7865" i="2"/>
  <c r="H7864" i="2"/>
  <c r="G7864" i="2"/>
  <c r="H7863" i="2"/>
  <c r="G7863" i="2"/>
  <c r="H7862" i="2"/>
  <c r="G7862" i="2"/>
  <c r="H7861" i="2"/>
  <c r="G7861" i="2"/>
  <c r="H7860" i="2"/>
  <c r="G7860" i="2"/>
  <c r="H7859" i="2"/>
  <c r="G7859" i="2"/>
  <c r="H7858" i="2"/>
  <c r="G7858" i="2"/>
  <c r="H7857" i="2"/>
  <c r="G7857" i="2"/>
  <c r="H7856" i="2"/>
  <c r="G7856" i="2"/>
  <c r="H7855" i="2"/>
  <c r="G7855" i="2"/>
  <c r="H7854" i="2"/>
  <c r="G7854" i="2"/>
  <c r="H7853" i="2"/>
  <c r="G7853" i="2"/>
  <c r="H7852" i="2"/>
  <c r="G7852" i="2"/>
  <c r="H7851" i="2"/>
  <c r="G7851" i="2"/>
  <c r="H7850" i="2"/>
  <c r="G7850" i="2"/>
  <c r="H7849" i="2"/>
  <c r="G7849" i="2"/>
  <c r="H7848" i="2"/>
  <c r="G7848" i="2"/>
  <c r="H7847" i="2"/>
  <c r="G7847" i="2"/>
  <c r="H7846" i="2"/>
  <c r="G7846" i="2"/>
  <c r="H7845" i="2"/>
  <c r="G7845" i="2"/>
  <c r="H7844" i="2"/>
  <c r="G7844" i="2"/>
  <c r="H7843" i="2"/>
  <c r="G7843" i="2"/>
  <c r="H7842" i="2"/>
  <c r="G7842" i="2"/>
  <c r="H7841" i="2"/>
  <c r="G7841" i="2"/>
  <c r="H7840" i="2"/>
  <c r="G7840" i="2"/>
  <c r="H7839" i="2"/>
  <c r="G7839" i="2"/>
  <c r="H7838" i="2"/>
  <c r="G7838" i="2"/>
  <c r="H7837" i="2"/>
  <c r="G7837" i="2"/>
  <c r="H7836" i="2"/>
  <c r="G7836" i="2"/>
  <c r="H7835" i="2"/>
  <c r="G7835" i="2"/>
  <c r="H7834" i="2"/>
  <c r="G7834" i="2"/>
  <c r="H7833" i="2"/>
  <c r="G7833" i="2"/>
  <c r="H7832" i="2"/>
  <c r="G7832" i="2"/>
  <c r="H7831" i="2"/>
  <c r="G7831" i="2"/>
  <c r="H7830" i="2"/>
  <c r="G7830" i="2"/>
  <c r="H7829" i="2"/>
  <c r="G7829" i="2"/>
  <c r="H7828" i="2"/>
  <c r="G7828" i="2"/>
  <c r="H7827" i="2"/>
  <c r="G7827" i="2"/>
  <c r="H7826" i="2"/>
  <c r="G7826" i="2"/>
  <c r="H7825" i="2"/>
  <c r="G7825" i="2"/>
  <c r="H7824" i="2"/>
  <c r="G7824" i="2"/>
  <c r="H7823" i="2"/>
  <c r="G7823" i="2"/>
  <c r="H7822" i="2"/>
  <c r="G7822" i="2"/>
  <c r="H7821" i="2"/>
  <c r="G7821" i="2"/>
  <c r="H7820" i="2"/>
  <c r="G7820" i="2"/>
  <c r="H7819" i="2"/>
  <c r="G7819" i="2"/>
  <c r="H7818" i="2"/>
  <c r="G7818" i="2"/>
  <c r="H7817" i="2"/>
  <c r="G7817" i="2"/>
  <c r="H7816" i="2"/>
  <c r="G7816" i="2"/>
  <c r="H7815" i="2"/>
  <c r="G7815" i="2"/>
  <c r="H7814" i="2"/>
  <c r="G7814" i="2"/>
  <c r="H7813" i="2"/>
  <c r="G7813" i="2"/>
  <c r="H7812" i="2"/>
  <c r="G7812" i="2"/>
  <c r="H7811" i="2"/>
  <c r="G7811" i="2"/>
  <c r="H7810" i="2"/>
  <c r="G7810" i="2"/>
  <c r="H7809" i="2"/>
  <c r="G7809" i="2"/>
  <c r="H7808" i="2"/>
  <c r="G7808" i="2"/>
  <c r="H7807" i="2"/>
  <c r="G7807" i="2"/>
  <c r="H7806" i="2"/>
  <c r="G7806" i="2"/>
  <c r="H7805" i="2"/>
  <c r="G7805" i="2"/>
  <c r="H7804" i="2"/>
  <c r="G7804" i="2"/>
  <c r="H7803" i="2"/>
  <c r="G7803" i="2"/>
  <c r="H7802" i="2"/>
  <c r="G7802" i="2"/>
  <c r="H7801" i="2"/>
  <c r="G7801" i="2"/>
  <c r="H7800" i="2"/>
  <c r="G7800" i="2"/>
  <c r="H7799" i="2"/>
  <c r="G7799" i="2"/>
  <c r="H7798" i="2"/>
  <c r="G7798" i="2"/>
  <c r="H7797" i="2"/>
  <c r="G7797" i="2"/>
  <c r="H7796" i="2"/>
  <c r="G7796" i="2"/>
  <c r="H7795" i="2"/>
  <c r="G7795" i="2"/>
  <c r="H7794" i="2"/>
  <c r="G7794" i="2"/>
  <c r="H7793" i="2"/>
  <c r="G7793" i="2"/>
  <c r="H7792" i="2"/>
  <c r="G7792" i="2"/>
  <c r="H7791" i="2"/>
  <c r="G7791" i="2"/>
  <c r="H7790" i="2"/>
  <c r="G7790" i="2"/>
  <c r="H7789" i="2"/>
  <c r="G7789" i="2"/>
  <c r="H7788" i="2"/>
  <c r="G7788" i="2"/>
  <c r="H7787" i="2"/>
  <c r="G7787" i="2"/>
  <c r="H7786" i="2"/>
  <c r="G7786" i="2"/>
  <c r="H7785" i="2"/>
  <c r="G7785" i="2"/>
  <c r="H7784" i="2"/>
  <c r="G7784" i="2"/>
  <c r="H7783" i="2"/>
  <c r="G7783" i="2"/>
  <c r="H7782" i="2"/>
  <c r="G7782" i="2"/>
  <c r="H7781" i="2"/>
  <c r="G7781" i="2"/>
  <c r="H7780" i="2"/>
  <c r="G7780" i="2"/>
  <c r="H7779" i="2"/>
  <c r="G7779" i="2"/>
  <c r="H7778" i="2"/>
  <c r="G7778" i="2"/>
  <c r="H7777" i="2"/>
  <c r="G7777" i="2"/>
  <c r="H7776" i="2"/>
  <c r="G7776" i="2"/>
  <c r="H7775" i="2"/>
  <c r="G7775" i="2"/>
  <c r="H7774" i="2"/>
  <c r="G7774" i="2"/>
  <c r="H7773" i="2"/>
  <c r="G7773" i="2"/>
  <c r="H7772" i="2"/>
  <c r="G7772" i="2"/>
  <c r="H7771" i="2"/>
  <c r="G7771" i="2"/>
  <c r="H7770" i="2"/>
  <c r="G7770" i="2"/>
  <c r="H7769" i="2"/>
  <c r="G7769" i="2"/>
  <c r="H7768" i="2"/>
  <c r="G7768" i="2"/>
  <c r="H7767" i="2"/>
  <c r="G7767" i="2"/>
  <c r="H7766" i="2"/>
  <c r="G7766" i="2"/>
  <c r="H7765" i="2"/>
  <c r="G7765" i="2"/>
  <c r="H7764" i="2"/>
  <c r="G7764" i="2"/>
  <c r="H7763" i="2"/>
  <c r="G7763" i="2"/>
  <c r="H7762" i="2"/>
  <c r="G7762" i="2"/>
  <c r="H7761" i="2"/>
  <c r="G7761" i="2"/>
  <c r="H7760" i="2"/>
  <c r="G7760" i="2"/>
  <c r="H7759" i="2"/>
  <c r="G7759" i="2"/>
  <c r="H7758" i="2"/>
  <c r="G7758" i="2"/>
  <c r="H7757" i="2"/>
  <c r="G7757" i="2"/>
  <c r="H7756" i="2"/>
  <c r="G7756" i="2"/>
  <c r="H7755" i="2"/>
  <c r="G7755" i="2"/>
  <c r="H7754" i="2"/>
  <c r="G7754" i="2"/>
  <c r="H7753" i="2"/>
  <c r="G7753" i="2"/>
  <c r="H7752" i="2"/>
  <c r="G7752" i="2"/>
  <c r="H7751" i="2"/>
  <c r="G7751" i="2"/>
  <c r="H7750" i="2"/>
  <c r="G7750" i="2"/>
  <c r="H7749" i="2"/>
  <c r="G7749" i="2"/>
  <c r="H7748" i="2"/>
  <c r="G7748" i="2"/>
  <c r="H7747" i="2"/>
  <c r="G7747" i="2"/>
  <c r="H7746" i="2"/>
  <c r="G7746" i="2"/>
  <c r="H7745" i="2"/>
  <c r="G7745" i="2"/>
  <c r="H7744" i="2"/>
  <c r="G7744" i="2"/>
  <c r="H7743" i="2"/>
  <c r="G7743" i="2"/>
  <c r="H7742" i="2"/>
  <c r="G7742" i="2"/>
  <c r="H7741" i="2"/>
  <c r="G7741" i="2"/>
  <c r="H7740" i="2"/>
  <c r="G7740" i="2"/>
  <c r="H7739" i="2"/>
  <c r="G7739" i="2"/>
  <c r="H7738" i="2"/>
  <c r="G7738" i="2"/>
  <c r="H7737" i="2"/>
  <c r="G7737" i="2"/>
  <c r="H7736" i="2"/>
  <c r="G7736" i="2"/>
  <c r="H7735" i="2"/>
  <c r="G7735" i="2"/>
  <c r="H7734" i="2"/>
  <c r="G7734" i="2"/>
  <c r="H7733" i="2"/>
  <c r="G7733" i="2"/>
  <c r="H7732" i="2"/>
  <c r="G7732" i="2"/>
  <c r="H7731" i="2"/>
  <c r="G7731" i="2"/>
  <c r="H7730" i="2"/>
  <c r="G7730" i="2"/>
  <c r="H7729" i="2"/>
  <c r="G7729" i="2"/>
  <c r="H7728" i="2"/>
  <c r="G7728" i="2"/>
  <c r="H7727" i="2"/>
  <c r="G7727" i="2"/>
  <c r="H7726" i="2"/>
  <c r="G7726" i="2"/>
  <c r="H7725" i="2"/>
  <c r="G7725" i="2"/>
  <c r="H7724" i="2"/>
  <c r="G7724" i="2"/>
  <c r="H7723" i="2"/>
  <c r="G7723" i="2"/>
  <c r="H7722" i="2"/>
  <c r="G7722" i="2"/>
  <c r="H7721" i="2"/>
  <c r="G7721" i="2"/>
  <c r="H7720" i="2"/>
  <c r="G7720" i="2"/>
  <c r="H7719" i="2"/>
  <c r="G7719" i="2"/>
  <c r="H7718" i="2"/>
  <c r="G7718" i="2"/>
  <c r="H7717" i="2"/>
  <c r="G7717" i="2"/>
  <c r="H7716" i="2"/>
  <c r="G7716" i="2"/>
  <c r="H7715" i="2"/>
  <c r="G7715" i="2"/>
  <c r="H7714" i="2"/>
  <c r="G7714" i="2"/>
  <c r="H7713" i="2"/>
  <c r="G7713" i="2"/>
  <c r="H7712" i="2"/>
  <c r="G7712" i="2"/>
  <c r="H7711" i="2"/>
  <c r="G7711" i="2"/>
  <c r="H7710" i="2"/>
  <c r="G7710" i="2"/>
  <c r="H7709" i="2"/>
  <c r="G7709" i="2"/>
  <c r="H7708" i="2"/>
  <c r="G7708" i="2"/>
  <c r="H7707" i="2"/>
  <c r="G7707" i="2"/>
  <c r="H7706" i="2"/>
  <c r="G7706" i="2"/>
  <c r="H7705" i="2"/>
  <c r="G7705" i="2"/>
  <c r="H7704" i="2"/>
  <c r="G7704" i="2"/>
  <c r="H7703" i="2"/>
  <c r="G7703" i="2"/>
  <c r="H7702" i="2"/>
  <c r="G7702" i="2"/>
  <c r="H7701" i="2"/>
  <c r="G7701" i="2"/>
  <c r="H7700" i="2"/>
  <c r="G7700" i="2"/>
  <c r="H7699" i="2"/>
  <c r="G7699" i="2"/>
  <c r="H7698" i="2"/>
  <c r="G7698" i="2"/>
  <c r="H7697" i="2"/>
  <c r="G7697" i="2"/>
  <c r="H7696" i="2"/>
  <c r="G7696" i="2"/>
  <c r="H7695" i="2"/>
  <c r="G7695" i="2"/>
  <c r="H7694" i="2"/>
  <c r="G7694" i="2"/>
  <c r="H7693" i="2"/>
  <c r="G7693" i="2"/>
  <c r="H7692" i="2"/>
  <c r="G7692" i="2"/>
  <c r="H7691" i="2"/>
  <c r="G7691" i="2"/>
  <c r="H7690" i="2"/>
  <c r="G7690" i="2"/>
  <c r="H7689" i="2"/>
  <c r="G7689" i="2"/>
  <c r="H7688" i="2"/>
  <c r="G7688" i="2"/>
  <c r="H7687" i="2"/>
  <c r="G7687" i="2"/>
  <c r="H7686" i="2"/>
  <c r="G7686" i="2"/>
  <c r="H7685" i="2"/>
  <c r="G7685" i="2"/>
  <c r="H7684" i="2"/>
  <c r="G7684" i="2"/>
  <c r="H7683" i="2"/>
  <c r="G7683" i="2"/>
  <c r="H7682" i="2"/>
  <c r="G7682" i="2"/>
  <c r="H7681" i="2"/>
  <c r="G7681" i="2"/>
  <c r="H7680" i="2"/>
  <c r="G7680" i="2"/>
  <c r="H7679" i="2"/>
  <c r="G7679" i="2"/>
  <c r="H7678" i="2"/>
  <c r="G7678" i="2"/>
  <c r="H7677" i="2"/>
  <c r="G7677" i="2"/>
  <c r="H7676" i="2"/>
  <c r="G7676" i="2"/>
  <c r="H7675" i="2"/>
  <c r="G7675" i="2"/>
  <c r="H7674" i="2"/>
  <c r="G7674" i="2"/>
  <c r="H7673" i="2"/>
  <c r="G7673" i="2"/>
  <c r="H7672" i="2"/>
  <c r="G7672" i="2"/>
  <c r="H7671" i="2"/>
  <c r="G7671" i="2"/>
  <c r="H7670" i="2"/>
  <c r="G7670" i="2"/>
  <c r="H7669" i="2"/>
  <c r="G7669" i="2"/>
  <c r="H7668" i="2"/>
  <c r="G7668" i="2"/>
  <c r="H7667" i="2"/>
  <c r="G7667" i="2"/>
  <c r="H7666" i="2"/>
  <c r="G7666" i="2"/>
  <c r="H7665" i="2"/>
  <c r="G7665" i="2"/>
  <c r="H7664" i="2"/>
  <c r="G7664" i="2"/>
  <c r="H7663" i="2"/>
  <c r="G7663" i="2"/>
  <c r="H7662" i="2"/>
  <c r="G7662" i="2"/>
  <c r="H7661" i="2"/>
  <c r="G7661" i="2"/>
  <c r="H7660" i="2"/>
  <c r="G7660" i="2"/>
  <c r="H7659" i="2"/>
  <c r="G7659" i="2"/>
  <c r="H7658" i="2"/>
  <c r="G7658" i="2"/>
  <c r="H7657" i="2"/>
  <c r="G7657" i="2"/>
  <c r="H7656" i="2"/>
  <c r="G7656" i="2"/>
  <c r="H7655" i="2"/>
  <c r="G7655" i="2"/>
  <c r="H7654" i="2"/>
  <c r="G7654" i="2"/>
  <c r="H7653" i="2"/>
  <c r="G7653" i="2"/>
  <c r="H7652" i="2"/>
  <c r="G7652" i="2"/>
  <c r="H7651" i="2"/>
  <c r="G7651" i="2"/>
  <c r="H7650" i="2"/>
  <c r="G7650" i="2"/>
  <c r="H7649" i="2"/>
  <c r="G7649" i="2"/>
  <c r="H7648" i="2"/>
  <c r="G7648" i="2"/>
  <c r="H7647" i="2"/>
  <c r="G7647" i="2"/>
  <c r="H7646" i="2"/>
  <c r="G7646" i="2"/>
  <c r="H7645" i="2"/>
  <c r="G7645" i="2"/>
  <c r="H7644" i="2"/>
  <c r="G7644" i="2"/>
  <c r="H7643" i="2"/>
  <c r="G7643" i="2"/>
  <c r="H7642" i="2"/>
  <c r="G7642" i="2"/>
  <c r="H7641" i="2"/>
  <c r="G7641" i="2"/>
  <c r="H7640" i="2"/>
  <c r="G7640" i="2"/>
  <c r="H7639" i="2"/>
  <c r="G7639" i="2"/>
  <c r="H7638" i="2"/>
  <c r="G7638" i="2"/>
  <c r="H7637" i="2"/>
  <c r="G7637" i="2"/>
  <c r="H7636" i="2"/>
  <c r="G7636" i="2"/>
  <c r="H7635" i="2"/>
  <c r="G7635" i="2"/>
  <c r="H7634" i="2"/>
  <c r="G7634" i="2"/>
  <c r="H7633" i="2"/>
  <c r="G7633" i="2"/>
  <c r="H7632" i="2"/>
  <c r="G7632" i="2"/>
  <c r="H7631" i="2"/>
  <c r="G7631" i="2"/>
  <c r="H7630" i="2"/>
  <c r="G7630" i="2"/>
  <c r="H7629" i="2"/>
  <c r="G7629" i="2"/>
  <c r="H7628" i="2"/>
  <c r="G7628" i="2"/>
  <c r="H7627" i="2"/>
  <c r="G7627" i="2"/>
  <c r="H7626" i="2"/>
  <c r="G7626" i="2"/>
  <c r="H7625" i="2"/>
  <c r="G7625" i="2"/>
  <c r="H7624" i="2"/>
  <c r="G7624" i="2"/>
  <c r="H7623" i="2"/>
  <c r="G7623" i="2"/>
  <c r="H7622" i="2"/>
  <c r="G7622" i="2"/>
  <c r="H7621" i="2"/>
  <c r="G7621" i="2"/>
  <c r="H7620" i="2"/>
  <c r="G7620" i="2"/>
  <c r="H7619" i="2"/>
  <c r="G7619" i="2"/>
  <c r="H7618" i="2"/>
  <c r="G7618" i="2"/>
  <c r="H7617" i="2"/>
  <c r="G7617" i="2"/>
  <c r="H7616" i="2"/>
  <c r="G7616" i="2"/>
  <c r="H7615" i="2"/>
  <c r="G7615" i="2"/>
  <c r="H7614" i="2"/>
  <c r="G7614" i="2"/>
  <c r="H7613" i="2"/>
  <c r="G7613" i="2"/>
  <c r="H7612" i="2"/>
  <c r="G7612" i="2"/>
  <c r="H7611" i="2"/>
  <c r="G7611" i="2"/>
  <c r="H7610" i="2"/>
  <c r="G7610" i="2"/>
  <c r="H7609" i="2"/>
  <c r="G7609" i="2"/>
  <c r="H7608" i="2"/>
  <c r="G7608" i="2"/>
  <c r="H7607" i="2"/>
  <c r="G7607" i="2"/>
  <c r="H7606" i="2"/>
  <c r="G7606" i="2"/>
  <c r="H7605" i="2"/>
  <c r="G7605" i="2"/>
  <c r="H7604" i="2"/>
  <c r="G7604" i="2"/>
  <c r="H7603" i="2"/>
  <c r="G7603" i="2"/>
  <c r="H7602" i="2"/>
  <c r="G7602" i="2"/>
  <c r="H7601" i="2"/>
  <c r="G7601" i="2"/>
  <c r="H7600" i="2"/>
  <c r="G7600" i="2"/>
  <c r="H7599" i="2"/>
  <c r="G7599" i="2"/>
  <c r="H7598" i="2"/>
  <c r="G7598" i="2"/>
  <c r="H7597" i="2"/>
  <c r="G7597" i="2"/>
  <c r="H7596" i="2"/>
  <c r="G7596" i="2"/>
  <c r="H7595" i="2"/>
  <c r="G7595" i="2"/>
  <c r="H7594" i="2"/>
  <c r="G7594" i="2"/>
  <c r="H7593" i="2"/>
  <c r="G7593" i="2"/>
  <c r="H7592" i="2"/>
  <c r="G7592" i="2"/>
  <c r="H7591" i="2"/>
  <c r="G7591" i="2"/>
  <c r="H7590" i="2"/>
  <c r="G7590" i="2"/>
  <c r="H7589" i="2"/>
  <c r="G7589" i="2"/>
  <c r="H7588" i="2"/>
  <c r="G7588" i="2"/>
  <c r="H7587" i="2"/>
  <c r="G7587" i="2"/>
  <c r="H7586" i="2"/>
  <c r="G7586" i="2"/>
  <c r="H7585" i="2"/>
  <c r="G7585" i="2"/>
  <c r="H7584" i="2"/>
  <c r="G7584" i="2"/>
  <c r="H7583" i="2"/>
  <c r="G7583" i="2"/>
  <c r="H7582" i="2"/>
  <c r="G7582" i="2"/>
  <c r="H7581" i="2"/>
  <c r="G7581" i="2"/>
  <c r="H7580" i="2"/>
  <c r="G7580" i="2"/>
  <c r="H7579" i="2"/>
  <c r="G7579" i="2"/>
  <c r="H7578" i="2"/>
  <c r="G7578" i="2"/>
  <c r="H7577" i="2"/>
  <c r="G7577" i="2"/>
  <c r="H7576" i="2"/>
  <c r="G7576" i="2"/>
  <c r="H7575" i="2"/>
  <c r="G7575" i="2"/>
  <c r="H7574" i="2"/>
  <c r="G7574" i="2"/>
  <c r="H7573" i="2"/>
  <c r="G7573" i="2"/>
  <c r="H7572" i="2"/>
  <c r="G7572" i="2"/>
  <c r="H7571" i="2"/>
  <c r="G7571" i="2"/>
  <c r="H7570" i="2"/>
  <c r="G7570" i="2"/>
  <c r="H7569" i="2"/>
  <c r="G7569" i="2"/>
  <c r="H7568" i="2"/>
  <c r="G7568" i="2"/>
  <c r="H7567" i="2"/>
  <c r="G7567" i="2"/>
  <c r="H7566" i="2"/>
  <c r="G7566" i="2"/>
  <c r="H7565" i="2"/>
  <c r="G7565" i="2"/>
  <c r="H7564" i="2"/>
  <c r="G7564" i="2"/>
  <c r="H7563" i="2"/>
  <c r="G7563" i="2"/>
  <c r="H7562" i="2"/>
  <c r="G7562" i="2"/>
  <c r="H7561" i="2"/>
  <c r="G7561" i="2"/>
  <c r="H7560" i="2"/>
  <c r="G7560" i="2"/>
  <c r="H7559" i="2"/>
  <c r="G7559" i="2"/>
  <c r="H7558" i="2"/>
  <c r="G7558" i="2"/>
  <c r="H7557" i="2"/>
  <c r="G7557" i="2"/>
  <c r="H7556" i="2"/>
  <c r="G7556" i="2"/>
  <c r="H7555" i="2"/>
  <c r="G7555" i="2"/>
  <c r="H7554" i="2"/>
  <c r="G7554" i="2"/>
  <c r="H7553" i="2"/>
  <c r="G7553" i="2"/>
  <c r="H7552" i="2"/>
  <c r="G7552" i="2"/>
  <c r="H7551" i="2"/>
  <c r="G7551" i="2"/>
  <c r="H7550" i="2"/>
  <c r="G7550" i="2"/>
  <c r="H7549" i="2"/>
  <c r="G7549" i="2"/>
  <c r="H7548" i="2"/>
  <c r="G7548" i="2"/>
  <c r="H7547" i="2"/>
  <c r="G7547" i="2"/>
  <c r="H7546" i="2"/>
  <c r="G7546" i="2"/>
  <c r="H7545" i="2"/>
  <c r="G7545" i="2"/>
  <c r="H7544" i="2"/>
  <c r="G7544" i="2"/>
  <c r="H7543" i="2"/>
  <c r="G7543" i="2"/>
  <c r="H7542" i="2"/>
  <c r="G7542" i="2"/>
  <c r="H7541" i="2"/>
  <c r="G7541" i="2"/>
  <c r="H7540" i="2"/>
  <c r="G7540" i="2"/>
  <c r="H7539" i="2"/>
  <c r="G7539" i="2"/>
  <c r="H7538" i="2"/>
  <c r="G7538" i="2"/>
  <c r="H7537" i="2"/>
  <c r="G7537" i="2"/>
  <c r="H7536" i="2"/>
  <c r="G7536" i="2"/>
  <c r="H7535" i="2"/>
  <c r="G7535" i="2"/>
  <c r="H7534" i="2"/>
  <c r="G7534" i="2"/>
  <c r="H7533" i="2"/>
  <c r="G7533" i="2"/>
  <c r="H7532" i="2"/>
  <c r="G7532" i="2"/>
  <c r="H7531" i="2"/>
  <c r="G7531" i="2"/>
  <c r="H7530" i="2"/>
  <c r="G7530" i="2"/>
  <c r="H7529" i="2"/>
  <c r="G7529" i="2"/>
  <c r="H7528" i="2"/>
  <c r="G7528" i="2"/>
  <c r="H7527" i="2"/>
  <c r="G7527" i="2"/>
  <c r="H7526" i="2"/>
  <c r="G7526" i="2"/>
  <c r="H7525" i="2"/>
  <c r="G7525" i="2"/>
  <c r="H7524" i="2"/>
  <c r="G7524" i="2"/>
  <c r="H7523" i="2"/>
  <c r="G7523" i="2"/>
  <c r="H7522" i="2"/>
  <c r="G7522" i="2"/>
  <c r="H7521" i="2"/>
  <c r="G7521" i="2"/>
  <c r="H7520" i="2"/>
  <c r="G7520" i="2"/>
  <c r="H7519" i="2"/>
  <c r="G7519" i="2"/>
  <c r="H7518" i="2"/>
  <c r="G7518" i="2"/>
  <c r="H7517" i="2"/>
  <c r="G7517" i="2"/>
  <c r="H7516" i="2"/>
  <c r="G7516" i="2"/>
  <c r="H7515" i="2"/>
  <c r="G7515" i="2"/>
  <c r="H7514" i="2"/>
  <c r="G7514" i="2"/>
  <c r="H7513" i="2"/>
  <c r="G7513" i="2"/>
  <c r="H7512" i="2"/>
  <c r="G7512" i="2"/>
  <c r="H7511" i="2"/>
  <c r="G7511" i="2"/>
  <c r="H7510" i="2"/>
  <c r="G7510" i="2"/>
  <c r="H7509" i="2"/>
  <c r="G7509" i="2"/>
  <c r="H7508" i="2"/>
  <c r="G7508" i="2"/>
  <c r="H7507" i="2"/>
  <c r="G7507" i="2"/>
  <c r="H7506" i="2"/>
  <c r="G7506" i="2"/>
  <c r="H7505" i="2"/>
  <c r="G7505" i="2"/>
  <c r="H7504" i="2"/>
  <c r="G7504" i="2"/>
  <c r="H7503" i="2"/>
  <c r="G7503" i="2"/>
  <c r="H7502" i="2"/>
  <c r="G7502" i="2"/>
  <c r="H7501" i="2"/>
  <c r="G7501" i="2"/>
  <c r="H7500" i="2"/>
  <c r="G7500" i="2"/>
  <c r="H7499" i="2"/>
  <c r="G7499" i="2"/>
  <c r="H7498" i="2"/>
  <c r="G7498" i="2"/>
  <c r="H7497" i="2"/>
  <c r="G7497" i="2"/>
  <c r="H7496" i="2"/>
  <c r="G7496" i="2"/>
  <c r="H7495" i="2"/>
  <c r="G7495" i="2"/>
  <c r="H7494" i="2"/>
  <c r="G7494" i="2"/>
  <c r="H7493" i="2"/>
  <c r="G7493" i="2"/>
  <c r="H7492" i="2"/>
  <c r="G7492" i="2"/>
  <c r="H7491" i="2"/>
  <c r="G7491" i="2"/>
  <c r="H7490" i="2"/>
  <c r="G7490" i="2"/>
  <c r="H7489" i="2"/>
  <c r="G7489" i="2"/>
  <c r="H7488" i="2"/>
  <c r="G7488" i="2"/>
  <c r="H7487" i="2"/>
  <c r="G7487" i="2"/>
  <c r="H7486" i="2"/>
  <c r="G7486" i="2"/>
  <c r="H7485" i="2"/>
  <c r="G7485" i="2"/>
  <c r="H7484" i="2"/>
  <c r="G7484" i="2"/>
  <c r="H7483" i="2"/>
  <c r="G7483" i="2"/>
  <c r="H7482" i="2"/>
  <c r="G7482" i="2"/>
  <c r="H7481" i="2"/>
  <c r="G7481" i="2"/>
  <c r="H7480" i="2"/>
  <c r="G7480" i="2"/>
  <c r="H7479" i="2"/>
  <c r="G7479" i="2"/>
  <c r="H7478" i="2"/>
  <c r="G7478" i="2"/>
  <c r="H7477" i="2"/>
  <c r="G7477" i="2"/>
  <c r="H7476" i="2"/>
  <c r="G7476" i="2"/>
  <c r="H7475" i="2"/>
  <c r="G7475" i="2"/>
  <c r="H7474" i="2"/>
  <c r="G7474" i="2"/>
  <c r="H7473" i="2"/>
  <c r="G7473" i="2"/>
  <c r="H7472" i="2"/>
  <c r="G7472" i="2"/>
  <c r="H7471" i="2"/>
  <c r="G7471" i="2"/>
  <c r="H7470" i="2"/>
  <c r="G7470" i="2"/>
  <c r="H7469" i="2"/>
  <c r="G7469" i="2"/>
  <c r="H7468" i="2"/>
  <c r="G7468" i="2"/>
  <c r="H7467" i="2"/>
  <c r="G7467" i="2"/>
  <c r="H7466" i="2"/>
  <c r="G7466" i="2"/>
  <c r="H7465" i="2"/>
  <c r="G7465" i="2"/>
  <c r="H7464" i="2"/>
  <c r="G7464" i="2"/>
  <c r="H7463" i="2"/>
  <c r="G7463" i="2"/>
  <c r="H7462" i="2"/>
  <c r="G7462" i="2"/>
  <c r="H7461" i="2"/>
  <c r="G7461" i="2"/>
  <c r="H7460" i="2"/>
  <c r="G7460" i="2"/>
  <c r="H7459" i="2"/>
  <c r="G7459" i="2"/>
  <c r="H7458" i="2"/>
  <c r="G7458" i="2"/>
  <c r="H7457" i="2"/>
  <c r="G7457" i="2"/>
  <c r="H7456" i="2"/>
  <c r="G7456" i="2"/>
  <c r="H7455" i="2"/>
  <c r="G7455" i="2"/>
  <c r="H7454" i="2"/>
  <c r="G7454" i="2"/>
  <c r="H7453" i="2"/>
  <c r="G7453" i="2"/>
  <c r="H7452" i="2"/>
  <c r="G7452" i="2"/>
  <c r="H7451" i="2"/>
  <c r="G7451" i="2"/>
  <c r="H7450" i="2"/>
  <c r="G7450" i="2"/>
  <c r="H7449" i="2"/>
  <c r="G7449" i="2"/>
  <c r="H7448" i="2"/>
  <c r="G7448" i="2"/>
  <c r="H7447" i="2"/>
  <c r="G7447" i="2"/>
  <c r="H7446" i="2"/>
  <c r="G7446" i="2"/>
  <c r="H7445" i="2"/>
  <c r="G7445" i="2"/>
  <c r="H7444" i="2"/>
  <c r="G7444" i="2"/>
  <c r="H7443" i="2"/>
  <c r="G7443" i="2"/>
  <c r="H7442" i="2"/>
  <c r="G7442" i="2"/>
  <c r="H7441" i="2"/>
  <c r="G7441" i="2"/>
  <c r="H7440" i="2"/>
  <c r="G7440" i="2"/>
  <c r="H7439" i="2"/>
  <c r="G7439" i="2"/>
  <c r="H7438" i="2"/>
  <c r="G7438" i="2"/>
  <c r="H7437" i="2"/>
  <c r="G7437" i="2"/>
  <c r="H7436" i="2"/>
  <c r="G7436" i="2"/>
  <c r="H7435" i="2"/>
  <c r="G7435" i="2"/>
  <c r="H7434" i="2"/>
  <c r="G7434" i="2"/>
  <c r="H7433" i="2"/>
  <c r="G7433" i="2"/>
  <c r="H7432" i="2"/>
  <c r="G7432" i="2"/>
  <c r="H7431" i="2"/>
  <c r="G7431" i="2"/>
  <c r="H7430" i="2"/>
  <c r="G7430" i="2"/>
  <c r="H7429" i="2"/>
  <c r="G7429" i="2"/>
  <c r="H7428" i="2"/>
  <c r="G7428" i="2"/>
  <c r="H7427" i="2"/>
  <c r="G7427" i="2"/>
  <c r="H7426" i="2"/>
  <c r="G7426" i="2"/>
  <c r="H7425" i="2"/>
  <c r="G7425" i="2"/>
  <c r="H7424" i="2"/>
  <c r="G7424" i="2"/>
  <c r="H7423" i="2"/>
  <c r="G7423" i="2"/>
  <c r="H7422" i="2"/>
  <c r="G7422" i="2"/>
  <c r="H7421" i="2"/>
  <c r="G7421" i="2"/>
  <c r="H7420" i="2"/>
  <c r="G7420" i="2"/>
  <c r="H7419" i="2"/>
  <c r="G7419" i="2"/>
  <c r="H7418" i="2"/>
  <c r="G7418" i="2"/>
  <c r="H7417" i="2"/>
  <c r="G7417" i="2"/>
  <c r="H7416" i="2"/>
  <c r="G7416" i="2"/>
  <c r="H7415" i="2"/>
  <c r="G7415" i="2"/>
  <c r="H7414" i="2"/>
  <c r="G7414" i="2"/>
  <c r="H7413" i="2"/>
  <c r="G7413" i="2"/>
  <c r="H7412" i="2"/>
  <c r="G7412" i="2"/>
  <c r="H7411" i="2"/>
  <c r="G7411" i="2"/>
  <c r="H7410" i="2"/>
  <c r="G7410" i="2"/>
  <c r="H7409" i="2"/>
  <c r="G7409" i="2"/>
  <c r="H7408" i="2"/>
  <c r="G7408" i="2"/>
  <c r="H7407" i="2"/>
  <c r="G7407" i="2"/>
  <c r="H7406" i="2"/>
  <c r="G7406" i="2"/>
  <c r="H7405" i="2"/>
  <c r="G7405" i="2"/>
  <c r="H7404" i="2"/>
  <c r="G7404" i="2"/>
  <c r="H7403" i="2"/>
  <c r="G7403" i="2"/>
  <c r="H7402" i="2"/>
  <c r="G7402" i="2"/>
  <c r="H7401" i="2"/>
  <c r="G7401" i="2"/>
  <c r="H7400" i="2"/>
  <c r="G7400" i="2"/>
  <c r="H7399" i="2"/>
  <c r="G7399" i="2"/>
  <c r="H7398" i="2"/>
  <c r="G7398" i="2"/>
  <c r="H7397" i="2"/>
  <c r="G7397" i="2"/>
  <c r="H7396" i="2"/>
  <c r="G7396" i="2"/>
  <c r="H7395" i="2"/>
  <c r="G7395" i="2"/>
  <c r="H7394" i="2"/>
  <c r="G7394" i="2"/>
  <c r="H7393" i="2"/>
  <c r="G7393" i="2"/>
  <c r="H7392" i="2"/>
  <c r="G7392" i="2"/>
  <c r="H7391" i="2"/>
  <c r="G7391" i="2"/>
  <c r="H7390" i="2"/>
  <c r="G7390" i="2"/>
  <c r="H7389" i="2"/>
  <c r="G7389" i="2"/>
  <c r="H7388" i="2"/>
  <c r="G7388" i="2"/>
  <c r="H7387" i="2"/>
  <c r="G7387" i="2"/>
  <c r="H7386" i="2"/>
  <c r="G7386" i="2"/>
  <c r="H7385" i="2"/>
  <c r="G7385" i="2"/>
  <c r="H7384" i="2"/>
  <c r="G7384" i="2"/>
  <c r="H7383" i="2"/>
  <c r="G7383" i="2"/>
  <c r="H7382" i="2"/>
  <c r="G7382" i="2"/>
  <c r="H7381" i="2"/>
  <c r="G7381" i="2"/>
  <c r="H7380" i="2"/>
  <c r="G7380" i="2"/>
  <c r="H7379" i="2"/>
  <c r="G7379" i="2"/>
  <c r="H7378" i="2"/>
  <c r="G7378" i="2"/>
  <c r="H7377" i="2"/>
  <c r="G7377" i="2"/>
  <c r="H7376" i="2"/>
  <c r="G7376" i="2"/>
  <c r="H7375" i="2"/>
  <c r="G7375" i="2"/>
  <c r="H7374" i="2"/>
  <c r="G7374" i="2"/>
  <c r="H7373" i="2"/>
  <c r="G7373" i="2"/>
  <c r="H7372" i="2"/>
  <c r="G7372" i="2"/>
  <c r="H7371" i="2"/>
  <c r="G7371" i="2"/>
  <c r="H7370" i="2"/>
  <c r="G7370" i="2"/>
  <c r="H7369" i="2"/>
  <c r="G7369" i="2"/>
  <c r="H7368" i="2"/>
  <c r="G7368" i="2"/>
  <c r="H7367" i="2"/>
  <c r="G7367" i="2"/>
  <c r="H7366" i="2"/>
  <c r="G7366" i="2"/>
  <c r="H7365" i="2"/>
  <c r="G7365" i="2"/>
  <c r="H7364" i="2"/>
  <c r="G7364" i="2"/>
  <c r="H7363" i="2"/>
  <c r="G7363" i="2"/>
  <c r="H7362" i="2"/>
  <c r="G7362" i="2"/>
  <c r="H7361" i="2"/>
  <c r="G7361" i="2"/>
  <c r="H7360" i="2"/>
  <c r="G7360" i="2"/>
  <c r="H7359" i="2"/>
  <c r="G7359" i="2"/>
  <c r="H7358" i="2"/>
  <c r="G7358" i="2"/>
  <c r="H7357" i="2"/>
  <c r="G7357" i="2"/>
  <c r="H7356" i="2"/>
  <c r="G7356" i="2"/>
  <c r="H7355" i="2"/>
  <c r="G7355" i="2"/>
  <c r="H7354" i="2"/>
  <c r="G7354" i="2"/>
  <c r="H7353" i="2"/>
  <c r="G7353" i="2"/>
  <c r="H7352" i="2"/>
  <c r="G7352" i="2"/>
  <c r="H7351" i="2"/>
  <c r="G7351" i="2"/>
  <c r="H7350" i="2"/>
  <c r="G7350" i="2"/>
  <c r="H7349" i="2"/>
  <c r="G7349" i="2"/>
  <c r="H7348" i="2"/>
  <c r="G7348" i="2"/>
  <c r="H7347" i="2"/>
  <c r="G7347" i="2"/>
  <c r="H7346" i="2"/>
  <c r="G7346" i="2"/>
  <c r="H7345" i="2"/>
  <c r="G7345" i="2"/>
  <c r="H7344" i="2"/>
  <c r="G7344" i="2"/>
  <c r="H7343" i="2"/>
  <c r="G7343" i="2"/>
  <c r="H7342" i="2"/>
  <c r="G7342" i="2"/>
  <c r="H7341" i="2"/>
  <c r="G7341" i="2"/>
  <c r="H7340" i="2"/>
  <c r="G7340" i="2"/>
  <c r="H7339" i="2"/>
  <c r="G7339" i="2"/>
  <c r="H7338" i="2"/>
  <c r="G7338" i="2"/>
  <c r="H7337" i="2"/>
  <c r="G7337" i="2"/>
  <c r="H7336" i="2"/>
  <c r="G7336" i="2"/>
  <c r="H7335" i="2"/>
  <c r="G7335" i="2"/>
  <c r="H7334" i="2"/>
  <c r="G7334" i="2"/>
  <c r="H7333" i="2"/>
  <c r="G7333" i="2"/>
  <c r="H7332" i="2"/>
  <c r="G7332" i="2"/>
  <c r="H7331" i="2"/>
  <c r="G7331" i="2"/>
  <c r="H7330" i="2"/>
  <c r="G7330" i="2"/>
  <c r="H7329" i="2"/>
  <c r="G7329" i="2"/>
  <c r="H7328" i="2"/>
  <c r="G7328" i="2"/>
  <c r="H7327" i="2"/>
  <c r="G7327" i="2"/>
  <c r="H7326" i="2"/>
  <c r="G7326" i="2"/>
  <c r="H7325" i="2"/>
  <c r="G7325" i="2"/>
  <c r="H7324" i="2"/>
  <c r="G7324" i="2"/>
  <c r="H7323" i="2"/>
  <c r="G7323" i="2"/>
  <c r="H7322" i="2"/>
  <c r="G7322" i="2"/>
  <c r="H7321" i="2"/>
  <c r="G7321" i="2"/>
  <c r="H7320" i="2"/>
  <c r="G7320" i="2"/>
  <c r="H7319" i="2"/>
  <c r="G7319" i="2"/>
  <c r="H7318" i="2"/>
  <c r="G7318" i="2"/>
  <c r="H7317" i="2"/>
  <c r="G7317" i="2"/>
  <c r="H7316" i="2"/>
  <c r="G7316" i="2"/>
  <c r="H7315" i="2"/>
  <c r="G7315" i="2"/>
  <c r="H7314" i="2"/>
  <c r="G7314" i="2"/>
  <c r="H7313" i="2"/>
  <c r="G7313" i="2"/>
  <c r="H7312" i="2"/>
  <c r="G7312" i="2"/>
  <c r="H7311" i="2"/>
  <c r="G7311" i="2"/>
  <c r="H7310" i="2"/>
  <c r="G7310" i="2"/>
  <c r="H7309" i="2"/>
  <c r="G7309" i="2"/>
  <c r="H7308" i="2"/>
  <c r="G7308" i="2"/>
  <c r="H7307" i="2"/>
  <c r="G7307" i="2"/>
  <c r="H7306" i="2"/>
  <c r="G7306" i="2"/>
  <c r="H7305" i="2"/>
  <c r="G7305" i="2"/>
  <c r="H7304" i="2"/>
  <c r="G7304" i="2"/>
  <c r="H7303" i="2"/>
  <c r="G7303" i="2"/>
  <c r="H7302" i="2"/>
  <c r="G7302" i="2"/>
  <c r="H7301" i="2"/>
  <c r="G7301" i="2"/>
  <c r="H7300" i="2"/>
  <c r="G7300" i="2"/>
  <c r="H7299" i="2"/>
  <c r="G7299" i="2"/>
  <c r="H7298" i="2"/>
  <c r="G7298" i="2"/>
  <c r="H7297" i="2"/>
  <c r="G7297" i="2"/>
  <c r="H7296" i="2"/>
  <c r="G7296" i="2"/>
  <c r="H7295" i="2"/>
  <c r="G7295" i="2"/>
  <c r="H7294" i="2"/>
  <c r="G7294" i="2"/>
  <c r="H7293" i="2"/>
  <c r="G7293" i="2"/>
  <c r="H7292" i="2"/>
  <c r="G7292" i="2"/>
  <c r="H7291" i="2"/>
  <c r="G7291" i="2"/>
  <c r="H7290" i="2"/>
  <c r="G7290" i="2"/>
  <c r="H7289" i="2"/>
  <c r="G7289" i="2"/>
  <c r="H7288" i="2"/>
  <c r="G7288" i="2"/>
  <c r="H7287" i="2"/>
  <c r="G7287" i="2"/>
  <c r="H7286" i="2"/>
  <c r="G7286" i="2"/>
  <c r="H7285" i="2"/>
  <c r="G7285" i="2"/>
  <c r="H7284" i="2"/>
  <c r="G7284" i="2"/>
  <c r="H7283" i="2"/>
  <c r="G7283" i="2"/>
  <c r="H7282" i="2"/>
  <c r="G7282" i="2"/>
  <c r="H7281" i="2"/>
  <c r="G7281" i="2"/>
  <c r="H7280" i="2"/>
  <c r="G7280" i="2"/>
  <c r="H7279" i="2"/>
  <c r="G7279" i="2"/>
  <c r="H7278" i="2"/>
  <c r="G7278" i="2"/>
  <c r="H7277" i="2"/>
  <c r="G7277" i="2"/>
  <c r="H7276" i="2"/>
  <c r="G7276" i="2"/>
  <c r="H7275" i="2"/>
  <c r="G7275" i="2"/>
  <c r="H7274" i="2"/>
  <c r="G7274" i="2"/>
  <c r="H7273" i="2"/>
  <c r="G7273" i="2"/>
  <c r="H7272" i="2"/>
  <c r="G7272" i="2"/>
  <c r="H7271" i="2"/>
  <c r="G7271" i="2"/>
  <c r="H7270" i="2"/>
  <c r="G7270" i="2"/>
  <c r="H7269" i="2"/>
  <c r="G7269" i="2"/>
  <c r="H7268" i="2"/>
  <c r="G7268" i="2"/>
  <c r="H7267" i="2"/>
  <c r="G7267" i="2"/>
  <c r="H7266" i="2"/>
  <c r="G7266" i="2"/>
  <c r="H7265" i="2"/>
  <c r="G7265" i="2"/>
  <c r="H7264" i="2"/>
  <c r="G7264" i="2"/>
  <c r="H7263" i="2"/>
  <c r="G7263" i="2"/>
  <c r="H7262" i="2"/>
  <c r="G7262" i="2"/>
  <c r="H7261" i="2"/>
  <c r="G7261" i="2"/>
  <c r="H7260" i="2"/>
  <c r="G7260" i="2"/>
  <c r="H7259" i="2"/>
  <c r="G7259" i="2"/>
  <c r="H7258" i="2"/>
  <c r="G7258" i="2"/>
  <c r="H7257" i="2"/>
  <c r="G7257" i="2"/>
  <c r="H7256" i="2"/>
  <c r="G7256" i="2"/>
  <c r="H7255" i="2"/>
  <c r="G7255" i="2"/>
  <c r="H7254" i="2"/>
  <c r="G7254" i="2"/>
  <c r="H7253" i="2"/>
  <c r="G7253" i="2"/>
  <c r="H7252" i="2"/>
  <c r="G7252" i="2"/>
  <c r="H7251" i="2"/>
  <c r="G7251" i="2"/>
  <c r="H7250" i="2"/>
  <c r="G7250" i="2"/>
  <c r="H7249" i="2"/>
  <c r="G7249" i="2"/>
  <c r="H7248" i="2"/>
  <c r="G7248" i="2"/>
  <c r="H7247" i="2"/>
  <c r="G7247" i="2"/>
  <c r="H7246" i="2"/>
  <c r="G7246" i="2"/>
  <c r="H7245" i="2"/>
  <c r="G7245" i="2"/>
  <c r="H7244" i="2"/>
  <c r="G7244" i="2"/>
  <c r="H7243" i="2"/>
  <c r="G7243" i="2"/>
  <c r="H7242" i="2"/>
  <c r="G7242" i="2"/>
  <c r="H7241" i="2"/>
  <c r="G7241" i="2"/>
  <c r="H7240" i="2"/>
  <c r="G7240" i="2"/>
  <c r="H7239" i="2"/>
  <c r="G7239" i="2"/>
  <c r="H7238" i="2"/>
  <c r="G7238" i="2"/>
  <c r="H7237" i="2"/>
  <c r="G7237" i="2"/>
  <c r="H7236" i="2"/>
  <c r="G7236" i="2"/>
  <c r="H7235" i="2"/>
  <c r="G7235" i="2"/>
  <c r="H7234" i="2"/>
  <c r="G7234" i="2"/>
  <c r="H7233" i="2"/>
  <c r="G7233" i="2"/>
  <c r="H7232" i="2"/>
  <c r="G7232" i="2"/>
  <c r="H7231" i="2"/>
  <c r="G7231" i="2"/>
  <c r="H7230" i="2"/>
  <c r="G7230" i="2"/>
  <c r="H7229" i="2"/>
  <c r="G7229" i="2"/>
  <c r="H7228" i="2"/>
  <c r="G7228" i="2"/>
  <c r="H7227" i="2"/>
  <c r="G7227" i="2"/>
  <c r="H7226" i="2"/>
  <c r="G7226" i="2"/>
  <c r="H7225" i="2"/>
  <c r="G7225" i="2"/>
  <c r="H7224" i="2"/>
  <c r="G7224" i="2"/>
  <c r="H7223" i="2"/>
  <c r="G7223" i="2"/>
  <c r="H7222" i="2"/>
  <c r="G7222" i="2"/>
  <c r="H7221" i="2"/>
  <c r="G7221" i="2"/>
  <c r="H7220" i="2"/>
  <c r="G7220" i="2"/>
  <c r="H7219" i="2"/>
  <c r="G7219" i="2"/>
  <c r="H7218" i="2"/>
  <c r="G7218" i="2"/>
  <c r="H7217" i="2"/>
  <c r="G7217" i="2"/>
  <c r="H7216" i="2"/>
  <c r="G7216" i="2"/>
  <c r="H7215" i="2"/>
  <c r="G7215" i="2"/>
  <c r="H7214" i="2"/>
  <c r="G7214" i="2"/>
  <c r="H7213" i="2"/>
  <c r="G7213" i="2"/>
  <c r="H7212" i="2"/>
  <c r="G7212" i="2"/>
  <c r="H7211" i="2"/>
  <c r="G7211" i="2"/>
  <c r="H7210" i="2"/>
  <c r="G7210" i="2"/>
  <c r="H7209" i="2"/>
  <c r="G7209" i="2"/>
  <c r="H7208" i="2"/>
  <c r="G7208" i="2"/>
  <c r="H7207" i="2"/>
  <c r="G7207" i="2"/>
  <c r="H7206" i="2"/>
  <c r="G7206" i="2"/>
  <c r="H7205" i="2"/>
  <c r="G7205" i="2"/>
  <c r="H7204" i="2"/>
  <c r="G7204" i="2"/>
  <c r="H7203" i="2"/>
  <c r="G7203" i="2"/>
  <c r="H7202" i="2"/>
  <c r="G7202" i="2"/>
  <c r="H7201" i="2"/>
  <c r="G7201" i="2"/>
  <c r="H7200" i="2"/>
  <c r="G7200" i="2"/>
  <c r="H7199" i="2"/>
  <c r="G7199" i="2"/>
  <c r="H7198" i="2"/>
  <c r="G7198" i="2"/>
  <c r="H7197" i="2"/>
  <c r="G7197" i="2"/>
  <c r="H7196" i="2"/>
  <c r="G7196" i="2"/>
  <c r="H7195" i="2"/>
  <c r="G7195" i="2"/>
  <c r="H7194" i="2"/>
  <c r="G7194" i="2"/>
  <c r="H7193" i="2"/>
  <c r="G7193" i="2"/>
  <c r="H7192" i="2"/>
  <c r="G7192" i="2"/>
  <c r="H7191" i="2"/>
  <c r="G7191" i="2"/>
  <c r="H7190" i="2"/>
  <c r="G7190" i="2"/>
  <c r="H7189" i="2"/>
  <c r="G7189" i="2"/>
  <c r="H7188" i="2"/>
  <c r="G7188" i="2"/>
  <c r="H7187" i="2"/>
  <c r="G7187" i="2"/>
  <c r="H7186" i="2"/>
  <c r="G7186" i="2"/>
  <c r="H7185" i="2"/>
  <c r="G7185" i="2"/>
  <c r="H7184" i="2"/>
  <c r="G7184" i="2"/>
  <c r="H7183" i="2"/>
  <c r="G7183" i="2"/>
  <c r="H7182" i="2"/>
  <c r="G7182" i="2"/>
  <c r="H7181" i="2"/>
  <c r="G7181" i="2"/>
  <c r="H7180" i="2"/>
  <c r="G7180" i="2"/>
  <c r="H7179" i="2"/>
  <c r="G7179" i="2"/>
  <c r="H7178" i="2"/>
  <c r="G7178" i="2"/>
  <c r="H7177" i="2"/>
  <c r="G7177" i="2"/>
  <c r="H7176" i="2"/>
  <c r="G7176" i="2"/>
  <c r="H7175" i="2"/>
  <c r="G7175" i="2"/>
  <c r="H7174" i="2"/>
  <c r="G7174" i="2"/>
  <c r="H7173" i="2"/>
  <c r="G7173" i="2"/>
  <c r="H7172" i="2"/>
  <c r="G7172" i="2"/>
  <c r="H7171" i="2"/>
  <c r="G7171" i="2"/>
  <c r="H7170" i="2"/>
  <c r="G7170" i="2"/>
  <c r="H7169" i="2"/>
  <c r="G7169" i="2"/>
  <c r="H7168" i="2"/>
  <c r="G7168" i="2"/>
  <c r="H7167" i="2"/>
  <c r="G7167" i="2"/>
  <c r="H7166" i="2"/>
  <c r="G7166" i="2"/>
  <c r="H7165" i="2"/>
  <c r="G7165" i="2"/>
  <c r="H7164" i="2"/>
  <c r="G7164" i="2"/>
  <c r="H7163" i="2"/>
  <c r="G7163" i="2"/>
  <c r="H7162" i="2"/>
  <c r="G7162" i="2"/>
  <c r="H7161" i="2"/>
  <c r="G7161" i="2"/>
  <c r="H7160" i="2"/>
  <c r="G7160" i="2"/>
  <c r="H7159" i="2"/>
  <c r="G7159" i="2"/>
  <c r="H7158" i="2"/>
  <c r="G7158" i="2"/>
  <c r="H7157" i="2"/>
  <c r="G7157" i="2"/>
  <c r="H7156" i="2"/>
  <c r="G7156" i="2"/>
  <c r="H7155" i="2"/>
  <c r="G7155" i="2"/>
  <c r="H7154" i="2"/>
  <c r="G7154" i="2"/>
  <c r="H7153" i="2"/>
  <c r="G7153" i="2"/>
  <c r="H7152" i="2"/>
  <c r="G7152" i="2"/>
  <c r="H7151" i="2"/>
  <c r="G7151" i="2"/>
  <c r="H7150" i="2"/>
  <c r="G7150" i="2"/>
  <c r="H7149" i="2"/>
  <c r="G7149" i="2"/>
  <c r="H7148" i="2"/>
  <c r="G7148" i="2"/>
  <c r="H7147" i="2"/>
  <c r="G7147" i="2"/>
  <c r="H7146" i="2"/>
  <c r="G7146" i="2"/>
  <c r="H7145" i="2"/>
  <c r="G7145" i="2"/>
  <c r="H7144" i="2"/>
  <c r="G7144" i="2"/>
  <c r="H7143" i="2"/>
  <c r="G7143" i="2"/>
  <c r="H7142" i="2"/>
  <c r="G7142" i="2"/>
  <c r="H7141" i="2"/>
  <c r="G7141" i="2"/>
  <c r="H7140" i="2"/>
  <c r="G7140" i="2"/>
  <c r="H7139" i="2"/>
  <c r="G7139" i="2"/>
  <c r="H7138" i="2"/>
  <c r="G7138" i="2"/>
  <c r="H7137" i="2"/>
  <c r="G7137" i="2"/>
  <c r="H7136" i="2"/>
  <c r="G7136" i="2"/>
  <c r="H7135" i="2"/>
  <c r="G7135" i="2"/>
  <c r="H7134" i="2"/>
  <c r="G7134" i="2"/>
  <c r="H7133" i="2"/>
  <c r="G7133" i="2"/>
  <c r="H7132" i="2"/>
  <c r="G7132" i="2"/>
  <c r="H7131" i="2"/>
  <c r="G7131" i="2"/>
  <c r="H7130" i="2"/>
  <c r="G7130" i="2"/>
  <c r="H7129" i="2"/>
  <c r="G7129" i="2"/>
  <c r="H7128" i="2"/>
  <c r="G7128" i="2"/>
  <c r="H7127" i="2"/>
  <c r="G7127" i="2"/>
  <c r="H7126" i="2"/>
  <c r="G7126" i="2"/>
  <c r="H7125" i="2"/>
  <c r="G7125" i="2"/>
  <c r="H7124" i="2"/>
  <c r="G7124" i="2"/>
  <c r="H7123" i="2"/>
  <c r="G7123" i="2"/>
  <c r="H7122" i="2"/>
  <c r="G7122" i="2"/>
  <c r="H7121" i="2"/>
  <c r="G7121" i="2"/>
  <c r="H7120" i="2"/>
  <c r="G7120" i="2"/>
  <c r="H7119" i="2"/>
  <c r="G7119" i="2"/>
  <c r="H7118" i="2"/>
  <c r="G7118" i="2"/>
  <c r="H7117" i="2"/>
  <c r="G7117" i="2"/>
  <c r="H7116" i="2"/>
  <c r="G7116" i="2"/>
  <c r="H7115" i="2"/>
  <c r="G7115" i="2"/>
  <c r="H7114" i="2"/>
  <c r="G7114" i="2"/>
  <c r="H7113" i="2"/>
  <c r="G7113" i="2"/>
  <c r="H7112" i="2"/>
  <c r="G7112" i="2"/>
  <c r="H7111" i="2"/>
  <c r="G7111" i="2"/>
  <c r="H7110" i="2"/>
  <c r="G7110" i="2"/>
  <c r="H7109" i="2"/>
  <c r="G7109" i="2"/>
  <c r="H7108" i="2"/>
  <c r="G7108" i="2"/>
  <c r="H7107" i="2"/>
  <c r="G7107" i="2"/>
  <c r="H7106" i="2"/>
  <c r="G7106" i="2"/>
  <c r="H7105" i="2"/>
  <c r="G7105" i="2"/>
  <c r="H7104" i="2"/>
  <c r="G7104" i="2"/>
  <c r="H7103" i="2"/>
  <c r="G7103" i="2"/>
  <c r="H7102" i="2"/>
  <c r="G7102" i="2"/>
  <c r="H7101" i="2"/>
  <c r="G7101" i="2"/>
  <c r="H7100" i="2"/>
  <c r="G7100" i="2"/>
  <c r="H7099" i="2"/>
  <c r="G7099" i="2"/>
  <c r="H7098" i="2"/>
  <c r="G7098" i="2"/>
  <c r="H7097" i="2"/>
  <c r="G7097" i="2"/>
  <c r="H7096" i="2"/>
  <c r="G7096" i="2"/>
  <c r="H7095" i="2"/>
  <c r="G7095" i="2"/>
  <c r="H7094" i="2"/>
  <c r="G7094" i="2"/>
  <c r="H7093" i="2"/>
  <c r="G7093" i="2"/>
  <c r="H7092" i="2"/>
  <c r="G7092" i="2"/>
  <c r="H7091" i="2"/>
  <c r="G7091" i="2"/>
  <c r="H7090" i="2"/>
  <c r="G7090" i="2"/>
  <c r="H7089" i="2"/>
  <c r="G7089" i="2"/>
  <c r="H7088" i="2"/>
  <c r="G7088" i="2"/>
  <c r="H7087" i="2"/>
  <c r="G7087" i="2"/>
  <c r="H7086" i="2"/>
  <c r="G7086" i="2"/>
  <c r="H7085" i="2"/>
  <c r="G7085" i="2"/>
  <c r="H7084" i="2"/>
  <c r="G7084" i="2"/>
  <c r="H7083" i="2"/>
  <c r="G7083" i="2"/>
  <c r="H7082" i="2"/>
  <c r="G7082" i="2"/>
  <c r="H7081" i="2"/>
  <c r="G7081" i="2"/>
  <c r="H7080" i="2"/>
  <c r="G7080" i="2"/>
  <c r="H7079" i="2"/>
  <c r="G7079" i="2"/>
  <c r="H7078" i="2"/>
  <c r="G7078" i="2"/>
  <c r="H7077" i="2"/>
  <c r="G7077" i="2"/>
  <c r="H7076" i="2"/>
  <c r="G7076" i="2"/>
  <c r="H7075" i="2"/>
  <c r="G7075" i="2"/>
  <c r="H7074" i="2"/>
  <c r="G7074" i="2"/>
  <c r="H7073" i="2"/>
  <c r="G7073" i="2"/>
  <c r="H7072" i="2"/>
  <c r="G7072" i="2"/>
  <c r="H7071" i="2"/>
  <c r="G7071" i="2"/>
  <c r="H7070" i="2"/>
  <c r="G7070" i="2"/>
  <c r="H7069" i="2"/>
  <c r="G7069" i="2"/>
  <c r="H7068" i="2"/>
  <c r="G7068" i="2"/>
  <c r="H7067" i="2"/>
  <c r="G7067" i="2"/>
  <c r="H7066" i="2"/>
  <c r="G7066" i="2"/>
  <c r="H7065" i="2"/>
  <c r="G7065" i="2"/>
  <c r="H7064" i="2"/>
  <c r="G7064" i="2"/>
  <c r="H7063" i="2"/>
  <c r="G7063" i="2"/>
  <c r="H7062" i="2"/>
  <c r="G7062" i="2"/>
  <c r="H7061" i="2"/>
  <c r="G7061" i="2"/>
  <c r="H7060" i="2"/>
  <c r="G7060" i="2"/>
  <c r="H7059" i="2"/>
  <c r="G7059" i="2"/>
  <c r="H7058" i="2"/>
  <c r="G7058" i="2"/>
  <c r="H7057" i="2"/>
  <c r="G7057" i="2"/>
  <c r="H7056" i="2"/>
  <c r="G7056" i="2"/>
  <c r="H7055" i="2"/>
  <c r="G7055" i="2"/>
  <c r="H7054" i="2"/>
  <c r="G7054" i="2"/>
  <c r="H7053" i="2"/>
  <c r="G7053" i="2"/>
  <c r="H7052" i="2"/>
  <c r="G7052" i="2"/>
  <c r="H7051" i="2"/>
  <c r="G7051" i="2"/>
  <c r="H7050" i="2"/>
  <c r="G7050" i="2"/>
  <c r="H7049" i="2"/>
  <c r="G7049" i="2"/>
  <c r="H7048" i="2"/>
  <c r="G7048" i="2"/>
  <c r="H7047" i="2"/>
  <c r="G7047" i="2"/>
  <c r="H7046" i="2"/>
  <c r="G7046" i="2"/>
  <c r="H7045" i="2"/>
  <c r="G7045" i="2"/>
  <c r="H7044" i="2"/>
  <c r="G7044" i="2"/>
  <c r="H7043" i="2"/>
  <c r="G7043" i="2"/>
  <c r="H7042" i="2"/>
  <c r="G7042" i="2"/>
  <c r="H7041" i="2"/>
  <c r="G7041" i="2"/>
  <c r="H7040" i="2"/>
  <c r="G7040" i="2"/>
  <c r="H7039" i="2"/>
  <c r="G7039" i="2"/>
  <c r="H7038" i="2"/>
  <c r="G7038" i="2"/>
  <c r="H7037" i="2"/>
  <c r="G7037" i="2"/>
  <c r="H7036" i="2"/>
  <c r="G7036" i="2"/>
  <c r="H7035" i="2"/>
  <c r="G7035" i="2"/>
  <c r="H7034" i="2"/>
  <c r="G7034" i="2"/>
  <c r="H7033" i="2"/>
  <c r="G7033" i="2"/>
  <c r="H7032" i="2"/>
  <c r="G7032" i="2"/>
  <c r="H7031" i="2"/>
  <c r="G7031" i="2"/>
  <c r="H7030" i="2"/>
  <c r="G7030" i="2"/>
  <c r="H7029" i="2"/>
  <c r="G7029" i="2"/>
  <c r="H7028" i="2"/>
  <c r="G7028" i="2"/>
  <c r="H7027" i="2"/>
  <c r="G7027" i="2"/>
  <c r="H7026" i="2"/>
  <c r="G7026" i="2"/>
  <c r="H7025" i="2"/>
  <c r="G7025" i="2"/>
  <c r="H7024" i="2"/>
  <c r="G7024" i="2"/>
  <c r="H7023" i="2"/>
  <c r="G7023" i="2"/>
  <c r="H7022" i="2"/>
  <c r="G7022" i="2"/>
  <c r="H7021" i="2"/>
  <c r="G7021" i="2"/>
  <c r="H7020" i="2"/>
  <c r="G7020" i="2"/>
  <c r="H7019" i="2"/>
  <c r="G7019" i="2"/>
  <c r="H7018" i="2"/>
  <c r="G7018" i="2"/>
  <c r="H7017" i="2"/>
  <c r="G7017" i="2"/>
  <c r="H7016" i="2"/>
  <c r="G7016" i="2"/>
  <c r="H7015" i="2"/>
  <c r="G7015" i="2"/>
  <c r="H7014" i="2"/>
  <c r="G7014" i="2"/>
  <c r="H7013" i="2"/>
  <c r="G7013" i="2"/>
  <c r="H7012" i="2"/>
  <c r="G7012" i="2"/>
  <c r="H7011" i="2"/>
  <c r="G7011" i="2"/>
  <c r="H7010" i="2"/>
  <c r="G7010" i="2"/>
  <c r="H7009" i="2"/>
  <c r="G7009" i="2"/>
  <c r="H7008" i="2"/>
  <c r="G7008" i="2"/>
  <c r="H7007" i="2"/>
  <c r="G7007" i="2"/>
  <c r="H7006" i="2"/>
  <c r="G7006" i="2"/>
  <c r="H7005" i="2"/>
  <c r="G7005" i="2"/>
  <c r="H7004" i="2"/>
  <c r="G7004" i="2"/>
  <c r="H7003" i="2"/>
  <c r="G7003" i="2"/>
  <c r="H7002" i="2"/>
  <c r="G7002" i="2"/>
  <c r="H7001" i="2"/>
  <c r="G7001" i="2"/>
  <c r="H7000" i="2"/>
  <c r="G7000" i="2"/>
  <c r="H6999" i="2"/>
  <c r="G6999" i="2"/>
  <c r="H6998" i="2"/>
  <c r="G6998" i="2"/>
  <c r="H6997" i="2"/>
  <c r="G6997" i="2"/>
  <c r="H6996" i="2"/>
  <c r="G6996" i="2"/>
  <c r="H6995" i="2"/>
  <c r="G6995" i="2"/>
  <c r="H6994" i="2"/>
  <c r="G6994" i="2"/>
  <c r="H6993" i="2"/>
  <c r="G6993" i="2"/>
  <c r="H6992" i="2"/>
  <c r="G6992" i="2"/>
  <c r="H6991" i="2"/>
  <c r="G6991" i="2"/>
  <c r="H6990" i="2"/>
  <c r="G6990" i="2"/>
  <c r="H6989" i="2"/>
  <c r="G6989" i="2"/>
  <c r="H6988" i="2"/>
  <c r="G6988" i="2"/>
  <c r="H6987" i="2"/>
  <c r="G6987" i="2"/>
  <c r="H6986" i="2"/>
  <c r="G6986" i="2"/>
  <c r="H6985" i="2"/>
  <c r="G6985" i="2"/>
  <c r="H6984" i="2"/>
  <c r="G6984" i="2"/>
  <c r="H6983" i="2"/>
  <c r="G6983" i="2"/>
  <c r="H6982" i="2"/>
  <c r="G6982" i="2"/>
  <c r="H6981" i="2"/>
  <c r="G6981" i="2"/>
  <c r="H6980" i="2"/>
  <c r="G6980" i="2"/>
  <c r="H6979" i="2"/>
  <c r="G6979" i="2"/>
  <c r="H6978" i="2"/>
  <c r="G6978" i="2"/>
  <c r="H6977" i="2"/>
  <c r="G6977" i="2"/>
  <c r="H6976" i="2"/>
  <c r="G6976" i="2"/>
  <c r="H6975" i="2"/>
  <c r="G6975" i="2"/>
  <c r="H6974" i="2"/>
  <c r="G6974" i="2"/>
  <c r="H6973" i="2"/>
  <c r="G6973" i="2"/>
  <c r="H6972" i="2"/>
  <c r="G6972" i="2"/>
  <c r="H6971" i="2"/>
  <c r="G6971" i="2"/>
  <c r="H6970" i="2"/>
  <c r="G6970" i="2"/>
  <c r="H6969" i="2"/>
  <c r="G6969" i="2"/>
  <c r="H6968" i="2"/>
  <c r="G6968" i="2"/>
  <c r="H6967" i="2"/>
  <c r="G6967" i="2"/>
  <c r="H6966" i="2"/>
  <c r="G6966" i="2"/>
  <c r="H6965" i="2"/>
  <c r="G6965" i="2"/>
  <c r="H6964" i="2"/>
  <c r="G6964" i="2"/>
  <c r="H6963" i="2"/>
  <c r="G6963" i="2"/>
  <c r="H6962" i="2"/>
  <c r="G6962" i="2"/>
  <c r="H6961" i="2"/>
  <c r="G6961" i="2"/>
  <c r="H6960" i="2"/>
  <c r="G6960" i="2"/>
  <c r="H6959" i="2"/>
  <c r="G6959" i="2"/>
  <c r="H6958" i="2"/>
  <c r="G6958" i="2"/>
  <c r="H6957" i="2"/>
  <c r="G6957" i="2"/>
  <c r="H6956" i="2"/>
  <c r="G6956" i="2"/>
  <c r="H6955" i="2"/>
  <c r="G6955" i="2"/>
  <c r="H6954" i="2"/>
  <c r="G6954" i="2"/>
  <c r="H6953" i="2"/>
  <c r="G6953" i="2"/>
  <c r="H6952" i="2"/>
  <c r="G6952" i="2"/>
  <c r="H6951" i="2"/>
  <c r="G6951" i="2"/>
  <c r="H6950" i="2"/>
  <c r="G6950" i="2"/>
  <c r="H6949" i="2"/>
  <c r="G6949" i="2"/>
  <c r="H6948" i="2"/>
  <c r="G6948" i="2"/>
  <c r="H6947" i="2"/>
  <c r="G6947" i="2"/>
  <c r="H6946" i="2"/>
  <c r="G6946" i="2"/>
  <c r="H6945" i="2"/>
  <c r="G6945" i="2"/>
  <c r="H6944" i="2"/>
  <c r="G6944" i="2"/>
  <c r="H6943" i="2"/>
  <c r="G6943" i="2"/>
  <c r="H6942" i="2"/>
  <c r="G6942" i="2"/>
  <c r="H6941" i="2"/>
  <c r="G6941" i="2"/>
  <c r="H6940" i="2"/>
  <c r="G6940" i="2"/>
  <c r="H6939" i="2"/>
  <c r="G6939" i="2"/>
  <c r="H6938" i="2"/>
  <c r="G6938" i="2"/>
  <c r="H6937" i="2"/>
  <c r="G6937" i="2"/>
  <c r="H6936" i="2"/>
  <c r="G6936" i="2"/>
  <c r="H6935" i="2"/>
  <c r="G6935" i="2"/>
  <c r="H6934" i="2"/>
  <c r="G6934" i="2"/>
  <c r="H6933" i="2"/>
  <c r="G6933" i="2"/>
  <c r="H6932" i="2"/>
  <c r="G6932" i="2"/>
  <c r="H6931" i="2"/>
  <c r="G6931" i="2"/>
  <c r="H6930" i="2"/>
  <c r="G6930" i="2"/>
  <c r="H6929" i="2"/>
  <c r="G6929" i="2"/>
  <c r="H6928" i="2"/>
  <c r="G6928" i="2"/>
  <c r="H6927" i="2"/>
  <c r="G6927" i="2"/>
  <c r="H6926" i="2"/>
  <c r="G6926" i="2"/>
  <c r="H6925" i="2"/>
  <c r="G6925" i="2"/>
  <c r="H6924" i="2"/>
  <c r="G6924" i="2"/>
  <c r="H6923" i="2"/>
  <c r="G6923" i="2"/>
  <c r="H6922" i="2"/>
  <c r="G6922" i="2"/>
  <c r="H6921" i="2"/>
  <c r="G6921" i="2"/>
  <c r="H6920" i="2"/>
  <c r="G6920" i="2"/>
  <c r="H6919" i="2"/>
  <c r="G6919" i="2"/>
  <c r="H6918" i="2"/>
  <c r="G6918" i="2"/>
  <c r="H6917" i="2"/>
  <c r="G6917" i="2"/>
  <c r="H6916" i="2"/>
  <c r="G6916" i="2"/>
  <c r="H6915" i="2"/>
  <c r="G6915" i="2"/>
  <c r="H6914" i="2"/>
  <c r="G6914" i="2"/>
  <c r="H6913" i="2"/>
  <c r="G6913" i="2"/>
  <c r="H6912" i="2"/>
  <c r="G6912" i="2"/>
  <c r="H6911" i="2"/>
  <c r="G6911" i="2"/>
  <c r="H6910" i="2"/>
  <c r="G6910" i="2"/>
  <c r="H6909" i="2"/>
  <c r="G6909" i="2"/>
  <c r="H6908" i="2"/>
  <c r="G6908" i="2"/>
  <c r="H6907" i="2"/>
  <c r="G6907" i="2"/>
  <c r="H6906" i="2"/>
  <c r="G6906" i="2"/>
  <c r="H6905" i="2"/>
  <c r="G6905" i="2"/>
  <c r="H6904" i="2"/>
  <c r="G6904" i="2"/>
  <c r="H6903" i="2"/>
  <c r="G6903" i="2"/>
  <c r="H6902" i="2"/>
  <c r="G6902" i="2"/>
  <c r="H6901" i="2"/>
  <c r="G6901" i="2"/>
  <c r="H6900" i="2"/>
  <c r="G6900" i="2"/>
  <c r="H6899" i="2"/>
  <c r="G6899" i="2"/>
  <c r="H6898" i="2"/>
  <c r="G6898" i="2"/>
  <c r="H6897" i="2"/>
  <c r="G6897" i="2"/>
  <c r="H6896" i="2"/>
  <c r="G6896" i="2"/>
  <c r="H6895" i="2"/>
  <c r="G6895" i="2"/>
  <c r="H6894" i="2"/>
  <c r="G6894" i="2"/>
  <c r="H6893" i="2"/>
  <c r="G6893" i="2"/>
  <c r="H6892" i="2"/>
  <c r="G6892" i="2"/>
  <c r="H6891" i="2"/>
  <c r="G6891" i="2"/>
  <c r="H6890" i="2"/>
  <c r="G6890" i="2"/>
  <c r="H6889" i="2"/>
  <c r="G6889" i="2"/>
  <c r="H6888" i="2"/>
  <c r="G6888" i="2"/>
  <c r="H6887" i="2"/>
  <c r="G6887" i="2"/>
  <c r="H6886" i="2"/>
  <c r="G6886" i="2"/>
  <c r="H6885" i="2"/>
  <c r="G6885" i="2"/>
  <c r="H6884" i="2"/>
  <c r="G6884" i="2"/>
  <c r="H6883" i="2"/>
  <c r="G6883" i="2"/>
  <c r="H6882" i="2"/>
  <c r="G6882" i="2"/>
  <c r="H6881" i="2"/>
  <c r="G6881" i="2"/>
  <c r="H6880" i="2"/>
  <c r="G6880" i="2"/>
  <c r="H6879" i="2"/>
  <c r="G6879" i="2"/>
  <c r="H6878" i="2"/>
  <c r="G6878" i="2"/>
  <c r="H6877" i="2"/>
  <c r="G6877" i="2"/>
  <c r="H6876" i="2"/>
  <c r="G6876" i="2"/>
  <c r="H6875" i="2"/>
  <c r="G6875" i="2"/>
  <c r="H6874" i="2"/>
  <c r="G6874" i="2"/>
  <c r="H6873" i="2"/>
  <c r="G6873" i="2"/>
  <c r="H6872" i="2"/>
  <c r="G6872" i="2"/>
  <c r="H6871" i="2"/>
  <c r="G6871" i="2"/>
  <c r="H6870" i="2"/>
  <c r="G6870" i="2"/>
  <c r="H6869" i="2"/>
  <c r="G6869" i="2"/>
  <c r="H6868" i="2"/>
  <c r="G6868" i="2"/>
  <c r="H6867" i="2"/>
  <c r="G6867" i="2"/>
  <c r="H6866" i="2"/>
  <c r="G6866" i="2"/>
  <c r="H6865" i="2"/>
  <c r="G6865" i="2"/>
  <c r="H6864" i="2"/>
  <c r="G6864" i="2"/>
  <c r="H6863" i="2"/>
  <c r="G6863" i="2"/>
  <c r="H6862" i="2"/>
  <c r="G6862" i="2"/>
  <c r="H6861" i="2"/>
  <c r="G6861" i="2"/>
  <c r="H6860" i="2"/>
  <c r="G6860" i="2"/>
  <c r="H6859" i="2"/>
  <c r="G6859" i="2"/>
  <c r="H6858" i="2"/>
  <c r="G6858" i="2"/>
  <c r="H6857" i="2"/>
  <c r="G6857" i="2"/>
  <c r="H6856" i="2"/>
  <c r="G6856" i="2"/>
  <c r="H6855" i="2"/>
  <c r="G6855" i="2"/>
  <c r="H6854" i="2"/>
  <c r="G6854" i="2"/>
  <c r="H6853" i="2"/>
  <c r="G6853" i="2"/>
  <c r="H6852" i="2"/>
  <c r="G6852" i="2"/>
  <c r="H6851" i="2"/>
  <c r="G6851" i="2"/>
  <c r="H6850" i="2"/>
  <c r="G6850" i="2"/>
  <c r="H6849" i="2"/>
  <c r="G6849" i="2"/>
  <c r="H6848" i="2"/>
  <c r="G6848" i="2"/>
  <c r="H6847" i="2"/>
  <c r="G6847" i="2"/>
  <c r="H6846" i="2"/>
  <c r="G6846" i="2"/>
  <c r="H6845" i="2"/>
  <c r="G6845" i="2"/>
  <c r="H6844" i="2"/>
  <c r="G6844" i="2"/>
  <c r="H6843" i="2"/>
  <c r="G6843" i="2"/>
  <c r="H6842" i="2"/>
  <c r="G6842" i="2"/>
  <c r="H6841" i="2"/>
  <c r="G6841" i="2"/>
  <c r="H6840" i="2"/>
  <c r="G6840" i="2"/>
  <c r="H6839" i="2"/>
  <c r="G6839" i="2"/>
  <c r="H6838" i="2"/>
  <c r="G6838" i="2"/>
  <c r="H6837" i="2"/>
  <c r="G6837" i="2"/>
  <c r="H6836" i="2"/>
  <c r="G6836" i="2"/>
  <c r="H6835" i="2"/>
  <c r="G6835" i="2"/>
  <c r="H6834" i="2"/>
  <c r="G6834" i="2"/>
  <c r="H6833" i="2"/>
  <c r="G6833" i="2"/>
  <c r="H6832" i="2"/>
  <c r="G6832" i="2"/>
  <c r="H6831" i="2"/>
  <c r="G6831" i="2"/>
  <c r="H6830" i="2"/>
  <c r="G6830" i="2"/>
  <c r="H6829" i="2"/>
  <c r="G6829" i="2"/>
  <c r="H6828" i="2"/>
  <c r="G6828" i="2"/>
  <c r="H6827" i="2"/>
  <c r="G6827" i="2"/>
  <c r="H6826" i="2"/>
  <c r="G6826" i="2"/>
  <c r="H6825" i="2"/>
  <c r="G6825" i="2"/>
  <c r="H6824" i="2"/>
  <c r="G6824" i="2"/>
  <c r="H6823" i="2"/>
  <c r="G6823" i="2"/>
  <c r="H6822" i="2"/>
  <c r="G6822" i="2"/>
  <c r="H6821" i="2"/>
  <c r="G6821" i="2"/>
  <c r="H6820" i="2"/>
  <c r="G6820" i="2"/>
  <c r="H6819" i="2"/>
  <c r="G6819" i="2"/>
  <c r="H6818" i="2"/>
  <c r="G6818" i="2"/>
  <c r="H6817" i="2"/>
  <c r="G6817" i="2"/>
  <c r="H6816" i="2"/>
  <c r="G6816" i="2"/>
  <c r="H6815" i="2"/>
  <c r="G6815" i="2"/>
  <c r="H6814" i="2"/>
  <c r="G6814" i="2"/>
  <c r="H6813" i="2"/>
  <c r="G6813" i="2"/>
  <c r="H6812" i="2"/>
  <c r="G6812" i="2"/>
  <c r="H6811" i="2"/>
  <c r="G6811" i="2"/>
  <c r="H6810" i="2"/>
  <c r="G6810" i="2"/>
  <c r="H6809" i="2"/>
  <c r="G6809" i="2"/>
  <c r="H6808" i="2"/>
  <c r="G6808" i="2"/>
  <c r="H6807" i="2"/>
  <c r="G6807" i="2"/>
  <c r="H6806" i="2"/>
  <c r="G6806" i="2"/>
  <c r="H6805" i="2"/>
  <c r="G6805" i="2"/>
  <c r="H6804" i="2"/>
  <c r="G6804" i="2"/>
  <c r="H6803" i="2"/>
  <c r="G6803" i="2"/>
  <c r="H6802" i="2"/>
  <c r="G6802" i="2"/>
  <c r="H6801" i="2"/>
  <c r="G6801" i="2"/>
  <c r="H6800" i="2"/>
  <c r="G6800" i="2"/>
  <c r="H6799" i="2"/>
  <c r="G6799" i="2"/>
  <c r="H6798" i="2"/>
  <c r="G6798" i="2"/>
  <c r="H6797" i="2"/>
  <c r="G6797" i="2"/>
  <c r="H6796" i="2"/>
  <c r="G6796" i="2"/>
  <c r="H6795" i="2"/>
  <c r="G6795" i="2"/>
  <c r="H6794" i="2"/>
  <c r="G6794" i="2"/>
  <c r="H6793" i="2"/>
  <c r="G6793" i="2"/>
  <c r="H6792" i="2"/>
  <c r="G6792" i="2"/>
  <c r="H6791" i="2"/>
  <c r="G6791" i="2"/>
  <c r="H6790" i="2"/>
  <c r="G6790" i="2"/>
  <c r="H6789" i="2"/>
  <c r="G6789" i="2"/>
  <c r="H6788" i="2"/>
  <c r="G6788" i="2"/>
  <c r="H6787" i="2"/>
  <c r="G6787" i="2"/>
  <c r="H6786" i="2"/>
  <c r="G6786" i="2"/>
  <c r="H6785" i="2"/>
  <c r="G6785" i="2"/>
  <c r="H6784" i="2"/>
  <c r="G6784" i="2"/>
  <c r="H6783" i="2"/>
  <c r="G6783" i="2"/>
  <c r="H6782" i="2"/>
  <c r="G6782" i="2"/>
  <c r="H6781" i="2"/>
  <c r="G6781" i="2"/>
  <c r="H6780" i="2"/>
  <c r="G6780" i="2"/>
  <c r="H6779" i="2"/>
  <c r="G6779" i="2"/>
  <c r="H6778" i="2"/>
  <c r="G6778" i="2"/>
  <c r="H6777" i="2"/>
  <c r="G6777" i="2"/>
  <c r="H6776" i="2"/>
  <c r="G6776" i="2"/>
  <c r="H6775" i="2"/>
  <c r="G6775" i="2"/>
  <c r="H6774" i="2"/>
  <c r="G6774" i="2"/>
  <c r="H6773" i="2"/>
  <c r="G6773" i="2"/>
  <c r="H6772" i="2"/>
  <c r="G6772" i="2"/>
  <c r="H6771" i="2"/>
  <c r="G6771" i="2"/>
  <c r="H6770" i="2"/>
  <c r="G6770" i="2"/>
  <c r="H6769" i="2"/>
  <c r="G6769" i="2"/>
  <c r="H6768" i="2"/>
  <c r="G6768" i="2"/>
  <c r="H6767" i="2"/>
  <c r="G6767" i="2"/>
  <c r="H6766" i="2"/>
  <c r="G6766" i="2"/>
  <c r="H6765" i="2"/>
  <c r="G6765" i="2"/>
  <c r="H6764" i="2"/>
  <c r="G6764" i="2"/>
  <c r="H6763" i="2"/>
  <c r="G6763" i="2"/>
  <c r="H6762" i="2"/>
  <c r="G6762" i="2"/>
  <c r="H6761" i="2"/>
  <c r="G6761" i="2"/>
  <c r="H6760" i="2"/>
  <c r="G6760" i="2"/>
  <c r="H6759" i="2"/>
  <c r="G6759" i="2"/>
  <c r="H6758" i="2"/>
  <c r="G6758" i="2"/>
  <c r="H6757" i="2"/>
  <c r="G6757" i="2"/>
  <c r="H6756" i="2"/>
  <c r="G6756" i="2"/>
  <c r="H6755" i="2"/>
  <c r="G6755" i="2"/>
  <c r="H6754" i="2"/>
  <c r="G6754" i="2"/>
  <c r="H6753" i="2"/>
  <c r="G6753" i="2"/>
  <c r="H6752" i="2"/>
  <c r="G6752" i="2"/>
  <c r="H6751" i="2"/>
  <c r="G6751" i="2"/>
  <c r="H6750" i="2"/>
  <c r="G6750" i="2"/>
  <c r="H6749" i="2"/>
  <c r="G6749" i="2"/>
  <c r="H6748" i="2"/>
  <c r="G6748" i="2"/>
  <c r="H6747" i="2"/>
  <c r="G6747" i="2"/>
  <c r="H6746" i="2"/>
  <c r="G6746" i="2"/>
  <c r="H6745" i="2"/>
  <c r="G6745" i="2"/>
  <c r="H6744" i="2"/>
  <c r="G6744" i="2"/>
  <c r="H6743" i="2"/>
  <c r="G6743" i="2"/>
  <c r="H6742" i="2"/>
  <c r="G6742" i="2"/>
  <c r="H6741" i="2"/>
  <c r="G6741" i="2"/>
  <c r="H6740" i="2"/>
  <c r="G6740" i="2"/>
  <c r="H6739" i="2"/>
  <c r="G6739" i="2"/>
  <c r="H6738" i="2"/>
  <c r="G6738" i="2"/>
  <c r="H6737" i="2"/>
  <c r="G6737" i="2"/>
  <c r="H6736" i="2"/>
  <c r="G6736" i="2"/>
  <c r="H6735" i="2"/>
  <c r="G6735" i="2"/>
  <c r="H6734" i="2"/>
  <c r="G6734" i="2"/>
  <c r="H6733" i="2"/>
  <c r="G6733" i="2"/>
  <c r="H6732" i="2"/>
  <c r="G6732" i="2"/>
  <c r="H6731" i="2"/>
  <c r="G6731" i="2"/>
  <c r="H6730" i="2"/>
  <c r="G6730" i="2"/>
  <c r="H6729" i="2"/>
  <c r="G6729" i="2"/>
  <c r="H6728" i="2"/>
  <c r="G6728" i="2"/>
  <c r="H6727" i="2"/>
  <c r="G6727" i="2"/>
  <c r="H6726" i="2"/>
  <c r="G6726" i="2"/>
  <c r="H6725" i="2"/>
  <c r="G6725" i="2"/>
  <c r="H6724" i="2"/>
  <c r="G6724" i="2"/>
  <c r="H6723" i="2"/>
  <c r="G6723" i="2"/>
  <c r="H6722" i="2"/>
  <c r="G6722" i="2"/>
  <c r="H6721" i="2"/>
  <c r="G6721" i="2"/>
  <c r="H6720" i="2"/>
  <c r="G6720" i="2"/>
  <c r="H6719" i="2"/>
  <c r="G6719" i="2"/>
  <c r="H6718" i="2"/>
  <c r="G6718" i="2"/>
  <c r="H6717" i="2"/>
  <c r="G6717" i="2"/>
  <c r="H6716" i="2"/>
  <c r="G6716" i="2"/>
  <c r="H6715" i="2"/>
  <c r="G6715" i="2"/>
  <c r="H6714" i="2"/>
  <c r="G6714" i="2"/>
  <c r="H6713" i="2"/>
  <c r="G6713" i="2"/>
  <c r="H6712" i="2"/>
  <c r="G6712" i="2"/>
  <c r="H6711" i="2"/>
  <c r="G6711" i="2"/>
  <c r="H6710" i="2"/>
  <c r="G6710" i="2"/>
  <c r="H6709" i="2"/>
  <c r="G6709" i="2"/>
  <c r="H6708" i="2"/>
  <c r="G6708" i="2"/>
  <c r="H6707" i="2"/>
  <c r="G6707" i="2"/>
  <c r="H6706" i="2"/>
  <c r="G6706" i="2"/>
  <c r="H6705" i="2"/>
  <c r="G6705" i="2"/>
  <c r="H6704" i="2"/>
  <c r="G6704" i="2"/>
  <c r="H6703" i="2"/>
  <c r="G6703" i="2"/>
  <c r="H6702" i="2"/>
  <c r="G6702" i="2"/>
  <c r="H6701" i="2"/>
  <c r="G6701" i="2"/>
  <c r="H6700" i="2"/>
  <c r="G6700" i="2"/>
  <c r="H6699" i="2"/>
  <c r="G6699" i="2"/>
  <c r="H6698" i="2"/>
  <c r="G6698" i="2"/>
  <c r="H6697" i="2"/>
  <c r="G6697" i="2"/>
  <c r="H6696" i="2"/>
  <c r="G6696" i="2"/>
  <c r="H6695" i="2"/>
  <c r="G6695" i="2"/>
  <c r="H6694" i="2"/>
  <c r="G6694" i="2"/>
  <c r="H6693" i="2"/>
  <c r="G6693" i="2"/>
  <c r="H6692" i="2"/>
  <c r="G6692" i="2"/>
  <c r="H6691" i="2"/>
  <c r="G6691" i="2"/>
  <c r="H6690" i="2"/>
  <c r="G6690" i="2"/>
  <c r="H6689" i="2"/>
  <c r="G6689" i="2"/>
  <c r="H6688" i="2"/>
  <c r="G6688" i="2"/>
  <c r="H6687" i="2"/>
  <c r="G6687" i="2"/>
  <c r="H6686" i="2"/>
  <c r="G6686" i="2"/>
  <c r="H6685" i="2"/>
  <c r="G6685" i="2"/>
  <c r="H6684" i="2"/>
  <c r="G6684" i="2"/>
  <c r="H6683" i="2"/>
  <c r="G6683" i="2"/>
  <c r="H6682" i="2"/>
  <c r="G6682" i="2"/>
  <c r="H6681" i="2"/>
  <c r="G6681" i="2"/>
  <c r="H6680" i="2"/>
  <c r="G6680" i="2"/>
  <c r="H6679" i="2"/>
  <c r="G6679" i="2"/>
  <c r="H6678" i="2"/>
  <c r="G6678" i="2"/>
  <c r="H6677" i="2"/>
  <c r="G6677" i="2"/>
  <c r="H6676" i="2"/>
  <c r="G6676" i="2"/>
  <c r="H6675" i="2"/>
  <c r="G6675" i="2"/>
  <c r="H6674" i="2"/>
  <c r="G6674" i="2"/>
  <c r="H6673" i="2"/>
  <c r="G6673" i="2"/>
  <c r="H6672" i="2"/>
  <c r="G6672" i="2"/>
  <c r="H6671" i="2"/>
  <c r="G6671" i="2"/>
  <c r="H6670" i="2"/>
  <c r="G6670" i="2"/>
  <c r="H6669" i="2"/>
  <c r="G6669" i="2"/>
  <c r="H6668" i="2"/>
  <c r="G6668" i="2"/>
  <c r="H6667" i="2"/>
  <c r="G6667" i="2"/>
  <c r="H6666" i="2"/>
  <c r="G6666" i="2"/>
  <c r="H6665" i="2"/>
  <c r="G6665" i="2"/>
  <c r="H6664" i="2"/>
  <c r="G6664" i="2"/>
  <c r="H6663" i="2"/>
  <c r="G6663" i="2"/>
  <c r="H6662" i="2"/>
  <c r="G6662" i="2"/>
  <c r="H6661" i="2"/>
  <c r="G6661" i="2"/>
  <c r="H6660" i="2"/>
  <c r="G6660" i="2"/>
  <c r="H6659" i="2"/>
  <c r="G6659" i="2"/>
  <c r="H6658" i="2"/>
  <c r="G6658" i="2"/>
  <c r="H6657" i="2"/>
  <c r="G6657" i="2"/>
  <c r="H6656" i="2"/>
  <c r="G6656" i="2"/>
  <c r="H6655" i="2"/>
  <c r="G6655" i="2"/>
  <c r="H6654" i="2"/>
  <c r="G6654" i="2"/>
  <c r="H6653" i="2"/>
  <c r="G6653" i="2"/>
  <c r="H6652" i="2"/>
  <c r="G6652" i="2"/>
  <c r="H6651" i="2"/>
  <c r="G6651" i="2"/>
  <c r="H6650" i="2"/>
  <c r="G6650" i="2"/>
  <c r="H6649" i="2"/>
  <c r="G6649" i="2"/>
  <c r="H6648" i="2"/>
  <c r="G6648" i="2"/>
  <c r="H6647" i="2"/>
  <c r="G6647" i="2"/>
  <c r="H6646" i="2"/>
  <c r="G6646" i="2"/>
  <c r="H6645" i="2"/>
  <c r="G6645" i="2"/>
  <c r="H6644" i="2"/>
  <c r="G6644" i="2"/>
  <c r="H6643" i="2"/>
  <c r="G6643" i="2"/>
  <c r="H6642" i="2"/>
  <c r="G6642" i="2"/>
  <c r="H6641" i="2"/>
  <c r="G6641" i="2"/>
  <c r="H6640" i="2"/>
  <c r="G6640" i="2"/>
  <c r="H6639" i="2"/>
  <c r="G6639" i="2"/>
  <c r="H6638" i="2"/>
  <c r="G6638" i="2"/>
  <c r="H6637" i="2"/>
  <c r="G6637" i="2"/>
  <c r="H6636" i="2"/>
  <c r="G6636" i="2"/>
  <c r="H6635" i="2"/>
  <c r="G6635" i="2"/>
  <c r="H6634" i="2"/>
  <c r="G6634" i="2"/>
  <c r="H6633" i="2"/>
  <c r="G6633" i="2"/>
  <c r="H6632" i="2"/>
  <c r="G6632" i="2"/>
  <c r="H6631" i="2"/>
  <c r="G6631" i="2"/>
  <c r="H6630" i="2"/>
  <c r="G6630" i="2"/>
  <c r="H6629" i="2"/>
  <c r="G6629" i="2"/>
  <c r="H6628" i="2"/>
  <c r="G6628" i="2"/>
  <c r="H6627" i="2"/>
  <c r="G6627" i="2"/>
  <c r="H6626" i="2"/>
  <c r="G6626" i="2"/>
  <c r="H6625" i="2"/>
  <c r="G6625" i="2"/>
  <c r="H6624" i="2"/>
  <c r="G6624" i="2"/>
  <c r="H6623" i="2"/>
  <c r="G6623" i="2"/>
  <c r="H6622" i="2"/>
  <c r="G6622" i="2"/>
  <c r="H6621" i="2"/>
  <c r="G6621" i="2"/>
  <c r="H6620" i="2"/>
  <c r="G6620" i="2"/>
  <c r="H6619" i="2"/>
  <c r="G6619" i="2"/>
  <c r="H6618" i="2"/>
  <c r="G6618" i="2"/>
  <c r="H6617" i="2"/>
  <c r="G6617" i="2"/>
  <c r="H6616" i="2"/>
  <c r="G6616" i="2"/>
  <c r="H6615" i="2"/>
  <c r="G6615" i="2"/>
  <c r="H6614" i="2"/>
  <c r="G6614" i="2"/>
  <c r="H6613" i="2"/>
  <c r="G6613" i="2"/>
  <c r="H6612" i="2"/>
  <c r="G6612" i="2"/>
  <c r="H6611" i="2"/>
  <c r="G6611" i="2"/>
  <c r="H6610" i="2"/>
  <c r="G6610" i="2"/>
  <c r="H6609" i="2"/>
  <c r="G6609" i="2"/>
  <c r="H6608" i="2"/>
  <c r="G6608" i="2"/>
  <c r="H6607" i="2"/>
  <c r="G6607" i="2"/>
  <c r="H6606" i="2"/>
  <c r="G6606" i="2"/>
  <c r="H6605" i="2"/>
  <c r="G6605" i="2"/>
  <c r="H6604" i="2"/>
  <c r="G6604" i="2"/>
  <c r="H6603" i="2"/>
  <c r="G6603" i="2"/>
  <c r="H6602" i="2"/>
  <c r="G6602" i="2"/>
  <c r="H6601" i="2"/>
  <c r="G6601" i="2"/>
  <c r="H6600" i="2"/>
  <c r="G6600" i="2"/>
  <c r="H6599" i="2"/>
  <c r="G6599" i="2"/>
  <c r="H6598" i="2"/>
  <c r="G6598" i="2"/>
  <c r="H6597" i="2"/>
  <c r="G6597" i="2"/>
  <c r="H6596" i="2"/>
  <c r="G6596" i="2"/>
  <c r="H6595" i="2"/>
  <c r="G6595" i="2"/>
  <c r="H6594" i="2"/>
  <c r="G6594" i="2"/>
  <c r="H6593" i="2"/>
  <c r="G6593" i="2"/>
  <c r="H6592" i="2"/>
  <c r="G6592" i="2"/>
  <c r="H6591" i="2"/>
  <c r="G6591" i="2"/>
  <c r="H6590" i="2"/>
  <c r="G6590" i="2"/>
  <c r="H6589" i="2"/>
  <c r="G6589" i="2"/>
  <c r="H6588" i="2"/>
  <c r="G6588" i="2"/>
  <c r="H6587" i="2"/>
  <c r="G6587" i="2"/>
  <c r="H6586" i="2"/>
  <c r="G6586" i="2"/>
  <c r="H6585" i="2"/>
  <c r="G6585" i="2"/>
  <c r="H6584" i="2"/>
  <c r="G6584" i="2"/>
  <c r="H6583" i="2"/>
  <c r="G6583" i="2"/>
  <c r="H6582" i="2"/>
  <c r="G6582" i="2"/>
  <c r="H6581" i="2"/>
  <c r="G6581" i="2"/>
  <c r="H6580" i="2"/>
  <c r="G6580" i="2"/>
  <c r="H6579" i="2"/>
  <c r="G6579" i="2"/>
  <c r="H6578" i="2"/>
  <c r="G6578" i="2"/>
  <c r="H6577" i="2"/>
  <c r="G6577" i="2"/>
  <c r="H6576" i="2"/>
  <c r="G6576" i="2"/>
  <c r="H6575" i="2"/>
  <c r="G6575" i="2"/>
  <c r="H6574" i="2"/>
  <c r="G6574" i="2"/>
  <c r="H6573" i="2"/>
  <c r="G6573" i="2"/>
  <c r="H6572" i="2"/>
  <c r="G6572" i="2"/>
  <c r="H6571" i="2"/>
  <c r="G6571" i="2"/>
  <c r="H6570" i="2"/>
  <c r="G6570" i="2"/>
  <c r="H6569" i="2"/>
  <c r="G6569" i="2"/>
  <c r="H6568" i="2"/>
  <c r="G6568" i="2"/>
  <c r="H6567" i="2"/>
  <c r="G6567" i="2"/>
  <c r="H6566" i="2"/>
  <c r="G6566" i="2"/>
  <c r="H6565" i="2"/>
  <c r="G6565" i="2"/>
  <c r="H6564" i="2"/>
  <c r="G6564" i="2"/>
  <c r="H6563" i="2"/>
  <c r="G6563" i="2"/>
  <c r="H6562" i="2"/>
  <c r="G6562" i="2"/>
  <c r="H6561" i="2"/>
  <c r="G6561" i="2"/>
  <c r="H6560" i="2"/>
  <c r="G6560" i="2"/>
  <c r="H6559" i="2"/>
  <c r="G6559" i="2"/>
  <c r="H6558" i="2"/>
  <c r="G6558" i="2"/>
  <c r="H6557" i="2"/>
  <c r="G6557" i="2"/>
  <c r="H6556" i="2"/>
  <c r="G6556" i="2"/>
  <c r="H6555" i="2"/>
  <c r="G6555" i="2"/>
  <c r="H6554" i="2"/>
  <c r="G6554" i="2"/>
  <c r="H6553" i="2"/>
  <c r="G6553" i="2"/>
  <c r="H6552" i="2"/>
  <c r="G6552" i="2"/>
  <c r="H6551" i="2"/>
  <c r="G6551" i="2"/>
  <c r="H6550" i="2"/>
  <c r="G6550" i="2"/>
  <c r="H6549" i="2"/>
  <c r="G6549" i="2"/>
  <c r="H6548" i="2"/>
  <c r="G6548" i="2"/>
  <c r="H6547" i="2"/>
  <c r="G6547" i="2"/>
  <c r="H6546" i="2"/>
  <c r="G6546" i="2"/>
  <c r="H6545" i="2"/>
  <c r="G6545" i="2"/>
  <c r="H6544" i="2"/>
  <c r="G6544" i="2"/>
  <c r="H6543" i="2"/>
  <c r="G6543" i="2"/>
  <c r="H6542" i="2"/>
  <c r="G6542" i="2"/>
  <c r="H6541" i="2"/>
  <c r="G6541" i="2"/>
  <c r="H6540" i="2"/>
  <c r="G6540" i="2"/>
  <c r="H6539" i="2"/>
  <c r="G6539" i="2"/>
  <c r="H6538" i="2"/>
  <c r="G6538" i="2"/>
  <c r="H6537" i="2"/>
  <c r="G6537" i="2"/>
  <c r="H6536" i="2"/>
  <c r="G6536" i="2"/>
  <c r="H6535" i="2"/>
  <c r="G6535" i="2"/>
  <c r="H6534" i="2"/>
  <c r="G6534" i="2"/>
  <c r="H6533" i="2"/>
  <c r="G6533" i="2"/>
  <c r="H6532" i="2"/>
  <c r="G6532" i="2"/>
  <c r="H6531" i="2"/>
  <c r="G6531" i="2"/>
  <c r="H6530" i="2"/>
  <c r="G6530" i="2"/>
  <c r="H6529" i="2"/>
  <c r="G6529" i="2"/>
  <c r="H6528" i="2"/>
  <c r="G6528" i="2"/>
  <c r="H6527" i="2"/>
  <c r="G6527" i="2"/>
  <c r="H6526" i="2"/>
  <c r="G6526" i="2"/>
  <c r="H6525" i="2"/>
  <c r="G6525" i="2"/>
  <c r="H6524" i="2"/>
  <c r="G6524" i="2"/>
  <c r="H6523" i="2"/>
  <c r="G6523" i="2"/>
  <c r="H6522" i="2"/>
  <c r="G6522" i="2"/>
  <c r="H6521" i="2"/>
  <c r="G6521" i="2"/>
  <c r="H6520" i="2"/>
  <c r="G6520" i="2"/>
  <c r="H6519" i="2"/>
  <c r="G6519" i="2"/>
  <c r="H6518" i="2"/>
  <c r="G6518" i="2"/>
  <c r="H6517" i="2"/>
  <c r="G6517" i="2"/>
  <c r="H6516" i="2"/>
  <c r="G6516" i="2"/>
  <c r="H6515" i="2"/>
  <c r="G6515" i="2"/>
  <c r="H6514" i="2"/>
  <c r="G6514" i="2"/>
  <c r="H6513" i="2"/>
  <c r="G6513" i="2"/>
  <c r="H6512" i="2"/>
  <c r="G6512" i="2"/>
  <c r="H6511" i="2"/>
  <c r="G6511" i="2"/>
  <c r="H6510" i="2"/>
  <c r="G6510" i="2"/>
  <c r="H6509" i="2"/>
  <c r="G6509" i="2"/>
  <c r="H6508" i="2"/>
  <c r="G6508" i="2"/>
  <c r="H6507" i="2"/>
  <c r="G6507" i="2"/>
  <c r="H6506" i="2"/>
  <c r="G6506" i="2"/>
  <c r="H6505" i="2"/>
  <c r="G6505" i="2"/>
  <c r="H6504" i="2"/>
  <c r="G6504" i="2"/>
  <c r="H6503" i="2"/>
  <c r="G6503" i="2"/>
  <c r="H6502" i="2"/>
  <c r="G6502" i="2"/>
  <c r="H6501" i="2"/>
  <c r="G6501" i="2"/>
  <c r="H6500" i="2"/>
  <c r="G6500" i="2"/>
  <c r="H6499" i="2"/>
  <c r="G6499" i="2"/>
  <c r="H6498" i="2"/>
  <c r="G6498" i="2"/>
  <c r="H6497" i="2"/>
  <c r="G6497" i="2"/>
  <c r="H6496" i="2"/>
  <c r="G6496" i="2"/>
  <c r="H6495" i="2"/>
  <c r="G6495" i="2"/>
  <c r="H6494" i="2"/>
  <c r="G6494" i="2"/>
  <c r="H6493" i="2"/>
  <c r="G6493" i="2"/>
  <c r="H6492" i="2"/>
  <c r="G6492" i="2"/>
  <c r="H6491" i="2"/>
  <c r="G6491" i="2"/>
  <c r="H6490" i="2"/>
  <c r="G6490" i="2"/>
  <c r="H6489" i="2"/>
  <c r="G6489" i="2"/>
  <c r="H6488" i="2"/>
  <c r="G6488" i="2"/>
  <c r="H6487" i="2"/>
  <c r="G6487" i="2"/>
  <c r="H6486" i="2"/>
  <c r="G6486" i="2"/>
  <c r="H6485" i="2"/>
  <c r="G6485" i="2"/>
  <c r="H6484" i="2"/>
  <c r="G6484" i="2"/>
  <c r="H6483" i="2"/>
  <c r="G6483" i="2"/>
  <c r="H6482" i="2"/>
  <c r="G6482" i="2"/>
  <c r="H6481" i="2"/>
  <c r="G6481" i="2"/>
  <c r="H6480" i="2"/>
  <c r="G6480" i="2"/>
  <c r="H6479" i="2"/>
  <c r="G6479" i="2"/>
  <c r="H6478" i="2"/>
  <c r="G6478" i="2"/>
  <c r="H6477" i="2"/>
  <c r="G6477" i="2"/>
  <c r="H6476" i="2"/>
  <c r="G6476" i="2"/>
  <c r="H6475" i="2"/>
  <c r="G6475" i="2"/>
  <c r="H6474" i="2"/>
  <c r="G6474" i="2"/>
  <c r="H6473" i="2"/>
  <c r="G6473" i="2"/>
  <c r="H6472" i="2"/>
  <c r="G6472" i="2"/>
  <c r="H6471" i="2"/>
  <c r="G6471" i="2"/>
  <c r="H6470" i="2"/>
  <c r="G6470" i="2"/>
  <c r="H6469" i="2"/>
  <c r="G6469" i="2"/>
  <c r="H6468" i="2"/>
  <c r="G6468" i="2"/>
  <c r="H6467" i="2"/>
  <c r="G6467" i="2"/>
  <c r="H6466" i="2"/>
  <c r="G6466" i="2"/>
  <c r="H6465" i="2"/>
  <c r="G6465" i="2"/>
  <c r="H6464" i="2"/>
  <c r="G6464" i="2"/>
  <c r="H6463" i="2"/>
  <c r="G6463" i="2"/>
  <c r="H6462" i="2"/>
  <c r="G6462" i="2"/>
  <c r="H6461" i="2"/>
  <c r="G6461" i="2"/>
  <c r="H6460" i="2"/>
  <c r="G6460" i="2"/>
  <c r="H6459" i="2"/>
  <c r="G6459" i="2"/>
  <c r="H6458" i="2"/>
  <c r="G6458" i="2"/>
  <c r="H6457" i="2"/>
  <c r="G6457" i="2"/>
  <c r="H6456" i="2"/>
  <c r="G6456" i="2"/>
  <c r="H6455" i="2"/>
  <c r="G6455" i="2"/>
  <c r="H6454" i="2"/>
  <c r="G6454" i="2"/>
  <c r="H6453" i="2"/>
  <c r="G6453" i="2"/>
  <c r="H6452" i="2"/>
  <c r="G6452" i="2"/>
  <c r="H6451" i="2"/>
  <c r="G6451" i="2"/>
  <c r="H6450" i="2"/>
  <c r="G6450" i="2"/>
  <c r="H6449" i="2"/>
  <c r="G6449" i="2"/>
  <c r="H6448" i="2"/>
  <c r="G6448" i="2"/>
  <c r="H6447" i="2"/>
  <c r="G6447" i="2"/>
  <c r="H6446" i="2"/>
  <c r="G6446" i="2"/>
  <c r="H6445" i="2"/>
  <c r="G6445" i="2"/>
  <c r="H6444" i="2"/>
  <c r="G6444" i="2"/>
  <c r="H6443" i="2"/>
  <c r="G6443" i="2"/>
  <c r="H6442" i="2"/>
  <c r="G6442" i="2"/>
  <c r="H6441" i="2"/>
  <c r="G6441" i="2"/>
  <c r="H6440" i="2"/>
  <c r="G6440" i="2"/>
  <c r="H6439" i="2"/>
  <c r="G6439" i="2"/>
  <c r="H6438" i="2"/>
  <c r="G6438" i="2"/>
  <c r="H6437" i="2"/>
  <c r="G6437" i="2"/>
  <c r="H6436" i="2"/>
  <c r="G6436" i="2"/>
  <c r="H6435" i="2"/>
  <c r="G6435" i="2"/>
  <c r="H6434" i="2"/>
  <c r="G6434" i="2"/>
  <c r="H6433" i="2"/>
  <c r="G6433" i="2"/>
  <c r="H6432" i="2"/>
  <c r="G6432" i="2"/>
  <c r="H6431" i="2"/>
  <c r="G6431" i="2"/>
  <c r="H6430" i="2"/>
  <c r="G6430" i="2"/>
  <c r="H6429" i="2"/>
  <c r="G6429" i="2"/>
  <c r="H6428" i="2"/>
  <c r="G6428" i="2"/>
  <c r="H6427" i="2"/>
  <c r="G6427" i="2"/>
  <c r="H6426" i="2"/>
  <c r="G6426" i="2"/>
  <c r="H6425" i="2"/>
  <c r="G6425" i="2"/>
  <c r="H6424" i="2"/>
  <c r="G6424" i="2"/>
  <c r="H6423" i="2"/>
  <c r="G6423" i="2"/>
  <c r="H6422" i="2"/>
  <c r="G6422" i="2"/>
  <c r="H6421" i="2"/>
  <c r="G6421" i="2"/>
  <c r="H6420" i="2"/>
  <c r="G6420" i="2"/>
  <c r="H6419" i="2"/>
  <c r="G6419" i="2"/>
  <c r="H6418" i="2"/>
  <c r="G6418" i="2"/>
  <c r="H6417" i="2"/>
  <c r="G6417" i="2"/>
  <c r="H6416" i="2"/>
  <c r="G6416" i="2"/>
  <c r="H6415" i="2"/>
  <c r="G6415" i="2"/>
  <c r="H6414" i="2"/>
  <c r="G6414" i="2"/>
  <c r="H6413" i="2"/>
  <c r="G6413" i="2"/>
  <c r="H6412" i="2"/>
  <c r="G6412" i="2"/>
  <c r="H6411" i="2"/>
  <c r="G6411" i="2"/>
  <c r="H6410" i="2"/>
  <c r="G6410" i="2"/>
  <c r="H6409" i="2"/>
  <c r="G6409" i="2"/>
  <c r="H6408" i="2"/>
  <c r="G6408" i="2"/>
  <c r="H6407" i="2"/>
  <c r="G6407" i="2"/>
  <c r="H6406" i="2"/>
  <c r="G6406" i="2"/>
  <c r="H6405" i="2"/>
  <c r="G6405" i="2"/>
  <c r="H6404" i="2"/>
  <c r="G6404" i="2"/>
  <c r="H6403" i="2"/>
  <c r="G6403" i="2"/>
  <c r="H6402" i="2"/>
  <c r="G6402" i="2"/>
  <c r="H6401" i="2"/>
  <c r="G6401" i="2"/>
  <c r="H6400" i="2"/>
  <c r="G6400" i="2"/>
  <c r="H6399" i="2"/>
  <c r="G6399" i="2"/>
  <c r="H6398" i="2"/>
  <c r="G6398" i="2"/>
  <c r="H6397" i="2"/>
  <c r="G6397" i="2"/>
  <c r="H6396" i="2"/>
  <c r="G6396" i="2"/>
  <c r="H6395" i="2"/>
  <c r="G6395" i="2"/>
  <c r="H6394" i="2"/>
  <c r="G6394" i="2"/>
  <c r="H6393" i="2"/>
  <c r="G6393" i="2"/>
  <c r="H6392" i="2"/>
  <c r="G6392" i="2"/>
  <c r="H6391" i="2"/>
  <c r="G6391" i="2"/>
  <c r="H6390" i="2"/>
  <c r="G6390" i="2"/>
  <c r="H6389" i="2"/>
  <c r="G6389" i="2"/>
  <c r="H6388" i="2"/>
  <c r="G6388" i="2"/>
  <c r="H6387" i="2"/>
  <c r="G6387" i="2"/>
  <c r="H6386" i="2"/>
  <c r="G6386" i="2"/>
  <c r="H6385" i="2"/>
  <c r="G6385" i="2"/>
  <c r="H6384" i="2"/>
  <c r="G6384" i="2"/>
  <c r="H6383" i="2"/>
  <c r="G6383" i="2"/>
  <c r="H6382" i="2"/>
  <c r="G6382" i="2"/>
  <c r="H6381" i="2"/>
  <c r="G6381" i="2"/>
  <c r="H6380" i="2"/>
  <c r="G6380" i="2"/>
  <c r="H6379" i="2"/>
  <c r="G6379" i="2"/>
  <c r="H6378" i="2"/>
  <c r="G6378" i="2"/>
  <c r="H6377" i="2"/>
  <c r="G6377" i="2"/>
  <c r="H6376" i="2"/>
  <c r="G6376" i="2"/>
  <c r="H6375" i="2"/>
  <c r="G6375" i="2"/>
  <c r="H6374" i="2"/>
  <c r="G6374" i="2"/>
  <c r="H6373" i="2"/>
  <c r="G6373" i="2"/>
  <c r="H6372" i="2"/>
  <c r="G6372" i="2"/>
  <c r="H6371" i="2"/>
  <c r="G6371" i="2"/>
  <c r="H6370" i="2"/>
  <c r="G6370" i="2"/>
  <c r="H6369" i="2"/>
  <c r="G6369" i="2"/>
  <c r="H6368" i="2"/>
  <c r="G6368" i="2"/>
  <c r="H6367" i="2"/>
  <c r="G6367" i="2"/>
  <c r="H6366" i="2"/>
  <c r="G6366" i="2"/>
  <c r="H6365" i="2"/>
  <c r="G6365" i="2"/>
  <c r="H6364" i="2"/>
  <c r="G6364" i="2"/>
  <c r="H6363" i="2"/>
  <c r="G6363" i="2"/>
  <c r="H6362" i="2"/>
  <c r="G6362" i="2"/>
  <c r="H6361" i="2"/>
  <c r="G6361" i="2"/>
  <c r="H6360" i="2"/>
  <c r="G6360" i="2"/>
  <c r="H6359" i="2"/>
  <c r="G6359" i="2"/>
  <c r="H6358" i="2"/>
  <c r="G6358" i="2"/>
  <c r="H6357" i="2"/>
  <c r="G6357" i="2"/>
  <c r="H6356" i="2"/>
  <c r="G6356" i="2"/>
  <c r="H6355" i="2"/>
  <c r="G6355" i="2"/>
  <c r="H6354" i="2"/>
  <c r="G6354" i="2"/>
  <c r="H6353" i="2"/>
  <c r="G6353" i="2"/>
  <c r="H6352" i="2"/>
  <c r="G6352" i="2"/>
  <c r="H6351" i="2"/>
  <c r="G6351" i="2"/>
  <c r="H6350" i="2"/>
  <c r="G6350" i="2"/>
  <c r="H6349" i="2"/>
  <c r="G6349" i="2"/>
  <c r="H6348" i="2"/>
  <c r="G6348" i="2"/>
  <c r="H6347" i="2"/>
  <c r="G6347" i="2"/>
  <c r="H6346" i="2"/>
  <c r="G6346" i="2"/>
  <c r="H6345" i="2"/>
  <c r="G6345" i="2"/>
  <c r="H6344" i="2"/>
  <c r="G6344" i="2"/>
  <c r="H6343" i="2"/>
  <c r="G6343" i="2"/>
  <c r="H6342" i="2"/>
  <c r="G6342" i="2"/>
  <c r="H6341" i="2"/>
  <c r="G6341" i="2"/>
  <c r="H6340" i="2"/>
  <c r="G6340" i="2"/>
  <c r="H6339" i="2"/>
  <c r="G6339" i="2"/>
  <c r="H6338" i="2"/>
  <c r="G6338" i="2"/>
  <c r="H6337" i="2"/>
  <c r="G6337" i="2"/>
  <c r="H6336" i="2"/>
  <c r="G6336" i="2"/>
  <c r="H6335" i="2"/>
  <c r="G6335" i="2"/>
  <c r="H6334" i="2"/>
  <c r="G6334" i="2"/>
  <c r="H6333" i="2"/>
  <c r="G6333" i="2"/>
  <c r="H6332" i="2"/>
  <c r="G6332" i="2"/>
  <c r="H6331" i="2"/>
  <c r="G6331" i="2"/>
  <c r="H6330" i="2"/>
  <c r="G6330" i="2"/>
  <c r="H6329" i="2"/>
  <c r="G6329" i="2"/>
  <c r="H6328" i="2"/>
  <c r="G6328" i="2"/>
  <c r="H6327" i="2"/>
  <c r="G6327" i="2"/>
  <c r="H6326" i="2"/>
  <c r="G6326" i="2"/>
  <c r="H6325" i="2"/>
  <c r="G6325" i="2"/>
  <c r="H6324" i="2"/>
  <c r="G6324" i="2"/>
  <c r="H6323" i="2"/>
  <c r="G6323" i="2"/>
  <c r="H6322" i="2"/>
  <c r="G6322" i="2"/>
  <c r="H6321" i="2"/>
  <c r="G6321" i="2"/>
  <c r="H6320" i="2"/>
  <c r="G6320" i="2"/>
  <c r="H6319" i="2"/>
  <c r="G6319" i="2"/>
  <c r="H6318" i="2"/>
  <c r="G6318" i="2"/>
  <c r="H6317" i="2"/>
  <c r="G6317" i="2"/>
  <c r="H6316" i="2"/>
  <c r="G6316" i="2"/>
  <c r="H6315" i="2"/>
  <c r="G6315" i="2"/>
  <c r="H6314" i="2"/>
  <c r="G6314" i="2"/>
  <c r="H6313" i="2"/>
  <c r="G6313" i="2"/>
  <c r="H6312" i="2"/>
  <c r="G6312" i="2"/>
  <c r="H6311" i="2"/>
  <c r="G6311" i="2"/>
  <c r="H6310" i="2"/>
  <c r="G6310" i="2"/>
  <c r="H6309" i="2"/>
  <c r="G6309" i="2"/>
  <c r="H6308" i="2"/>
  <c r="G6308" i="2"/>
  <c r="H6307" i="2"/>
  <c r="G6307" i="2"/>
  <c r="H6306" i="2"/>
  <c r="G6306" i="2"/>
  <c r="H6305" i="2"/>
  <c r="G6305" i="2"/>
  <c r="H6304" i="2"/>
  <c r="G6304" i="2"/>
  <c r="H6303" i="2"/>
  <c r="G6303" i="2"/>
  <c r="H6302" i="2"/>
  <c r="G6302" i="2"/>
  <c r="H6301" i="2"/>
  <c r="G6301" i="2"/>
  <c r="H6300" i="2"/>
  <c r="G6300" i="2"/>
  <c r="H6299" i="2"/>
  <c r="G6299" i="2"/>
  <c r="H6298" i="2"/>
  <c r="G6298" i="2"/>
  <c r="H6297" i="2"/>
  <c r="G6297" i="2"/>
  <c r="H6296" i="2"/>
  <c r="G6296" i="2"/>
  <c r="H6295" i="2"/>
  <c r="G6295" i="2"/>
  <c r="H6294" i="2"/>
  <c r="G6294" i="2"/>
  <c r="H6293" i="2"/>
  <c r="G6293" i="2"/>
  <c r="H6292" i="2"/>
  <c r="G6292" i="2"/>
  <c r="H6291" i="2"/>
  <c r="G6291" i="2"/>
  <c r="H6290" i="2"/>
  <c r="G6290" i="2"/>
  <c r="H6289" i="2"/>
  <c r="G6289" i="2"/>
  <c r="H6288" i="2"/>
  <c r="G6288" i="2"/>
  <c r="H6287" i="2"/>
  <c r="G6287" i="2"/>
  <c r="H6286" i="2"/>
  <c r="G6286" i="2"/>
  <c r="H6285" i="2"/>
  <c r="G6285" i="2"/>
  <c r="H6284" i="2"/>
  <c r="G6284" i="2"/>
  <c r="H6283" i="2"/>
  <c r="G6283" i="2"/>
  <c r="H6282" i="2"/>
  <c r="G6282" i="2"/>
  <c r="H6281" i="2"/>
  <c r="G6281" i="2"/>
  <c r="H6280" i="2"/>
  <c r="G6280" i="2"/>
  <c r="H6279" i="2"/>
  <c r="G6279" i="2"/>
  <c r="H6278" i="2"/>
  <c r="G6278" i="2"/>
  <c r="H6277" i="2"/>
  <c r="G6277" i="2"/>
  <c r="H6276" i="2"/>
  <c r="G6276" i="2"/>
  <c r="H6275" i="2"/>
  <c r="G6275" i="2"/>
  <c r="H6274" i="2"/>
  <c r="G6274" i="2"/>
  <c r="H6273" i="2"/>
  <c r="G6273" i="2"/>
  <c r="H6272" i="2"/>
  <c r="G6272" i="2"/>
  <c r="H6271" i="2"/>
  <c r="G6271" i="2"/>
  <c r="H6270" i="2"/>
  <c r="G6270" i="2"/>
  <c r="H6269" i="2"/>
  <c r="G6269" i="2"/>
  <c r="H6268" i="2"/>
  <c r="G6268" i="2"/>
  <c r="H6267" i="2"/>
  <c r="G6267" i="2"/>
  <c r="H6266" i="2"/>
  <c r="G6266" i="2"/>
  <c r="H6265" i="2"/>
  <c r="G6265" i="2"/>
  <c r="H6264" i="2"/>
  <c r="G6264" i="2"/>
  <c r="H6263" i="2"/>
  <c r="G6263" i="2"/>
  <c r="H6262" i="2"/>
  <c r="G6262" i="2"/>
  <c r="H6261" i="2"/>
  <c r="G6261" i="2"/>
  <c r="H6260" i="2"/>
  <c r="G6260" i="2"/>
  <c r="H6259" i="2"/>
  <c r="G6259" i="2"/>
  <c r="H6258" i="2"/>
  <c r="G6258" i="2"/>
  <c r="H6257" i="2"/>
  <c r="G6257" i="2"/>
  <c r="H6256" i="2"/>
  <c r="G6256" i="2"/>
  <c r="H6255" i="2"/>
  <c r="G6255" i="2"/>
  <c r="H6254" i="2"/>
  <c r="G6254" i="2"/>
  <c r="H6253" i="2"/>
  <c r="G6253" i="2"/>
  <c r="H6252" i="2"/>
  <c r="G6252" i="2"/>
  <c r="H6251" i="2"/>
  <c r="G6251" i="2"/>
  <c r="H6250" i="2"/>
  <c r="G6250" i="2"/>
  <c r="H6249" i="2"/>
  <c r="G6249" i="2"/>
  <c r="H6248" i="2"/>
  <c r="G6248" i="2"/>
  <c r="H6247" i="2"/>
  <c r="G6247" i="2"/>
  <c r="H6246" i="2"/>
  <c r="G6246" i="2"/>
  <c r="H6245" i="2"/>
  <c r="G6245" i="2"/>
  <c r="H6244" i="2"/>
  <c r="G6244" i="2"/>
  <c r="H6243" i="2"/>
  <c r="G6243" i="2"/>
  <c r="H6242" i="2"/>
  <c r="G6242" i="2"/>
  <c r="H6241" i="2"/>
  <c r="G6241" i="2"/>
  <c r="H6240" i="2"/>
  <c r="G6240" i="2"/>
  <c r="H6239" i="2"/>
  <c r="G6239" i="2"/>
  <c r="H6238" i="2"/>
  <c r="G6238" i="2"/>
  <c r="H6237" i="2"/>
  <c r="G6237" i="2"/>
  <c r="H6236" i="2"/>
  <c r="G6236" i="2"/>
  <c r="H6235" i="2"/>
  <c r="G6235" i="2"/>
  <c r="H6234" i="2"/>
  <c r="G6234" i="2"/>
  <c r="H6233" i="2"/>
  <c r="G6233" i="2"/>
  <c r="H6232" i="2"/>
  <c r="G6232" i="2"/>
  <c r="H6231" i="2"/>
  <c r="G6231" i="2"/>
  <c r="H6230" i="2"/>
  <c r="G6230" i="2"/>
  <c r="H6229" i="2"/>
  <c r="G6229" i="2"/>
  <c r="H6228" i="2"/>
  <c r="G6228" i="2"/>
  <c r="H6227" i="2"/>
  <c r="G6227" i="2"/>
  <c r="H6226" i="2"/>
  <c r="G6226" i="2"/>
  <c r="H6225" i="2"/>
  <c r="G6225" i="2"/>
  <c r="H6224" i="2"/>
  <c r="G6224" i="2"/>
  <c r="H6223" i="2"/>
  <c r="G6223" i="2"/>
  <c r="H6222" i="2"/>
  <c r="G6222" i="2"/>
  <c r="H6221" i="2"/>
  <c r="G6221" i="2"/>
  <c r="H6220" i="2"/>
  <c r="G6220" i="2"/>
  <c r="H6219" i="2"/>
  <c r="G6219" i="2"/>
  <c r="H6218" i="2"/>
  <c r="G6218" i="2"/>
  <c r="H6217" i="2"/>
  <c r="G6217" i="2"/>
  <c r="H6216" i="2"/>
  <c r="G6216" i="2"/>
  <c r="H6215" i="2"/>
  <c r="G6215" i="2"/>
  <c r="H6214" i="2"/>
  <c r="G6214" i="2"/>
  <c r="H6213" i="2"/>
  <c r="G6213" i="2"/>
  <c r="H6212" i="2"/>
  <c r="G6212" i="2"/>
  <c r="H6211" i="2"/>
  <c r="G6211" i="2"/>
  <c r="H6210" i="2"/>
  <c r="G6210" i="2"/>
  <c r="H6209" i="2"/>
  <c r="G6209" i="2"/>
  <c r="H6208" i="2"/>
  <c r="G6208" i="2"/>
  <c r="H6207" i="2"/>
  <c r="G6207" i="2"/>
  <c r="H6206" i="2"/>
  <c r="G6206" i="2"/>
  <c r="H6205" i="2"/>
  <c r="G6205" i="2"/>
  <c r="H6204" i="2"/>
  <c r="G6204" i="2"/>
  <c r="H6203" i="2"/>
  <c r="G6203" i="2"/>
  <c r="H6202" i="2"/>
  <c r="G6202" i="2"/>
  <c r="H6201" i="2"/>
  <c r="G6201" i="2"/>
  <c r="H6200" i="2"/>
  <c r="G6200" i="2"/>
  <c r="H6199" i="2"/>
  <c r="G6199" i="2"/>
  <c r="H6198" i="2"/>
  <c r="G6198" i="2"/>
  <c r="H6197" i="2"/>
  <c r="G6197" i="2"/>
  <c r="H6196" i="2"/>
  <c r="G6196" i="2"/>
  <c r="H6195" i="2"/>
  <c r="G6195" i="2"/>
  <c r="H6194" i="2"/>
  <c r="G6194" i="2"/>
  <c r="H6193" i="2"/>
  <c r="G6193" i="2"/>
  <c r="H6192" i="2"/>
  <c r="G6192" i="2"/>
  <c r="H6191" i="2"/>
  <c r="G6191" i="2"/>
  <c r="H6190" i="2"/>
  <c r="G6190" i="2"/>
  <c r="H6189" i="2"/>
  <c r="G6189" i="2"/>
  <c r="H6188" i="2"/>
  <c r="G6188" i="2"/>
  <c r="H6187" i="2"/>
  <c r="G6187" i="2"/>
  <c r="H6186" i="2"/>
  <c r="G6186" i="2"/>
  <c r="H6185" i="2"/>
  <c r="G6185" i="2"/>
  <c r="H6184" i="2"/>
  <c r="G6184" i="2"/>
  <c r="H6183" i="2"/>
  <c r="G6183" i="2"/>
  <c r="H6182" i="2"/>
  <c r="G6182" i="2"/>
  <c r="H6181" i="2"/>
  <c r="G6181" i="2"/>
  <c r="H6180" i="2"/>
  <c r="G6180" i="2"/>
  <c r="H6179" i="2"/>
  <c r="G6179" i="2"/>
  <c r="H6178" i="2"/>
  <c r="G6178" i="2"/>
  <c r="H6177" i="2"/>
  <c r="G6177" i="2"/>
  <c r="H6176" i="2"/>
  <c r="G6176" i="2"/>
  <c r="H6175" i="2"/>
  <c r="G6175" i="2"/>
  <c r="H6174" i="2"/>
  <c r="G6174" i="2"/>
  <c r="H6173" i="2"/>
  <c r="G6173" i="2"/>
  <c r="H6172" i="2"/>
  <c r="G6172" i="2"/>
  <c r="H6171" i="2"/>
  <c r="G6171" i="2"/>
  <c r="H6170" i="2"/>
  <c r="G6170" i="2"/>
  <c r="H6169" i="2"/>
  <c r="G6169" i="2"/>
  <c r="H6168" i="2"/>
  <c r="G6168" i="2"/>
  <c r="H6167" i="2"/>
  <c r="G6167" i="2"/>
  <c r="H6166" i="2"/>
  <c r="G6166" i="2"/>
  <c r="H6165" i="2"/>
  <c r="G6165" i="2"/>
  <c r="H6164" i="2"/>
  <c r="G6164" i="2"/>
  <c r="H6163" i="2"/>
  <c r="G6163" i="2"/>
  <c r="H6162" i="2"/>
  <c r="G6162" i="2"/>
  <c r="H6161" i="2"/>
  <c r="G6161" i="2"/>
  <c r="H6160" i="2"/>
  <c r="G6160" i="2"/>
  <c r="H6159" i="2"/>
  <c r="G6159" i="2"/>
  <c r="H6158" i="2"/>
  <c r="G6158" i="2"/>
  <c r="H6157" i="2"/>
  <c r="G6157" i="2"/>
  <c r="H6156" i="2"/>
  <c r="G6156" i="2"/>
  <c r="H6155" i="2"/>
  <c r="G6155" i="2"/>
  <c r="H6154" i="2"/>
  <c r="G6154" i="2"/>
  <c r="H6153" i="2"/>
  <c r="G6153" i="2"/>
  <c r="H6152" i="2"/>
  <c r="G6152" i="2"/>
  <c r="H6151" i="2"/>
  <c r="G6151" i="2"/>
  <c r="H6150" i="2"/>
  <c r="G6150" i="2"/>
  <c r="H6149" i="2"/>
  <c r="G6149" i="2"/>
  <c r="H6148" i="2"/>
  <c r="G6148" i="2"/>
  <c r="H6147" i="2"/>
  <c r="G6147" i="2"/>
  <c r="H6146" i="2"/>
  <c r="G6146" i="2"/>
  <c r="H6145" i="2"/>
  <c r="G6145" i="2"/>
  <c r="H6144" i="2"/>
  <c r="G6144" i="2"/>
  <c r="H6143" i="2"/>
  <c r="G6143" i="2"/>
  <c r="H6142" i="2"/>
  <c r="G6142" i="2"/>
  <c r="H6141" i="2"/>
  <c r="G6141" i="2"/>
  <c r="H6140" i="2"/>
  <c r="G6140" i="2"/>
  <c r="H6139" i="2"/>
  <c r="G6139" i="2"/>
  <c r="H6138" i="2"/>
  <c r="G6138" i="2"/>
  <c r="H6137" i="2"/>
  <c r="G6137" i="2"/>
  <c r="H6136" i="2"/>
  <c r="G6136" i="2"/>
  <c r="H6135" i="2"/>
  <c r="G6135" i="2"/>
  <c r="H6134" i="2"/>
  <c r="G6134" i="2"/>
  <c r="H6133" i="2"/>
  <c r="G6133" i="2"/>
  <c r="H6132" i="2"/>
  <c r="G6132" i="2"/>
  <c r="H6131" i="2"/>
  <c r="G6131" i="2"/>
  <c r="H6130" i="2"/>
  <c r="G6130" i="2"/>
  <c r="H6129" i="2"/>
  <c r="G6129" i="2"/>
  <c r="H6128" i="2"/>
  <c r="G6128" i="2"/>
  <c r="H6127" i="2"/>
  <c r="G6127" i="2"/>
  <c r="H6126" i="2"/>
  <c r="G6126" i="2"/>
  <c r="H6125" i="2"/>
  <c r="G6125" i="2"/>
  <c r="H6124" i="2"/>
  <c r="G6124" i="2"/>
  <c r="H6123" i="2"/>
  <c r="G6123" i="2"/>
  <c r="H6122" i="2"/>
  <c r="G6122" i="2"/>
  <c r="H6121" i="2"/>
  <c r="G6121" i="2"/>
  <c r="H6120" i="2"/>
  <c r="G6120" i="2"/>
  <c r="H6119" i="2"/>
  <c r="G6119" i="2"/>
  <c r="H6118" i="2"/>
  <c r="G6118" i="2"/>
  <c r="H6117" i="2"/>
  <c r="G6117" i="2"/>
  <c r="H6116" i="2"/>
  <c r="G6116" i="2"/>
  <c r="H6115" i="2"/>
  <c r="G6115" i="2"/>
  <c r="H6114" i="2"/>
  <c r="G6114" i="2"/>
  <c r="H6113" i="2"/>
  <c r="G6113" i="2"/>
  <c r="H6112" i="2"/>
  <c r="G6112" i="2"/>
  <c r="H6111" i="2"/>
  <c r="G6111" i="2"/>
  <c r="H6110" i="2"/>
  <c r="G6110" i="2"/>
  <c r="H6109" i="2"/>
  <c r="G6109" i="2"/>
  <c r="H6108" i="2"/>
  <c r="G6108" i="2"/>
  <c r="H6107" i="2"/>
  <c r="G6107" i="2"/>
  <c r="H6106" i="2"/>
  <c r="G6106" i="2"/>
  <c r="H6105" i="2"/>
  <c r="G6105" i="2"/>
  <c r="H6104" i="2"/>
  <c r="G6104" i="2"/>
  <c r="H6103" i="2"/>
  <c r="G6103" i="2"/>
  <c r="H6102" i="2"/>
  <c r="G6102" i="2"/>
  <c r="H6101" i="2"/>
  <c r="G6101" i="2"/>
  <c r="H6100" i="2"/>
  <c r="G6100" i="2"/>
  <c r="H6099" i="2"/>
  <c r="G6099" i="2"/>
  <c r="H6098" i="2"/>
  <c r="G6098" i="2"/>
  <c r="H6097" i="2"/>
  <c r="G6097" i="2"/>
  <c r="H6096" i="2"/>
  <c r="G6096" i="2"/>
  <c r="H6095" i="2"/>
  <c r="G6095" i="2"/>
  <c r="H6094" i="2"/>
  <c r="G6094" i="2"/>
  <c r="H6093" i="2"/>
  <c r="G6093" i="2"/>
  <c r="H6092" i="2"/>
  <c r="G6092" i="2"/>
  <c r="H6091" i="2"/>
  <c r="G6091" i="2"/>
  <c r="H6090" i="2"/>
  <c r="G6090" i="2"/>
  <c r="H6089" i="2"/>
  <c r="G6089" i="2"/>
  <c r="H6088" i="2"/>
  <c r="G6088" i="2"/>
  <c r="H6087" i="2"/>
  <c r="G6087" i="2"/>
  <c r="H6086" i="2"/>
  <c r="G6086" i="2"/>
  <c r="H6085" i="2"/>
  <c r="G6085" i="2"/>
  <c r="H6084" i="2"/>
  <c r="G6084" i="2"/>
  <c r="H6083" i="2"/>
  <c r="G6083" i="2"/>
  <c r="H6082" i="2"/>
  <c r="G6082" i="2"/>
  <c r="H6081" i="2"/>
  <c r="G6081" i="2"/>
  <c r="H6080" i="2"/>
  <c r="G6080" i="2"/>
  <c r="H6079" i="2"/>
  <c r="G6079" i="2"/>
  <c r="H6078" i="2"/>
  <c r="G6078" i="2"/>
  <c r="H6077" i="2"/>
  <c r="G6077" i="2"/>
  <c r="H6076" i="2"/>
  <c r="G6076" i="2"/>
  <c r="H6075" i="2"/>
  <c r="G6075" i="2"/>
  <c r="H6074" i="2"/>
  <c r="G6074" i="2"/>
  <c r="H6073" i="2"/>
  <c r="G6073" i="2"/>
  <c r="H6072" i="2"/>
  <c r="G6072" i="2"/>
  <c r="H6071" i="2"/>
  <c r="G6071" i="2"/>
  <c r="H6070" i="2"/>
  <c r="G6070" i="2"/>
  <c r="H6069" i="2"/>
  <c r="G6069" i="2"/>
  <c r="H6068" i="2"/>
  <c r="G6068" i="2"/>
  <c r="H6067" i="2"/>
  <c r="G6067" i="2"/>
  <c r="H6066" i="2"/>
  <c r="G6066" i="2"/>
  <c r="H6065" i="2"/>
  <c r="G6065" i="2"/>
  <c r="H6064" i="2"/>
  <c r="G6064" i="2"/>
  <c r="H6063" i="2"/>
  <c r="G6063" i="2"/>
  <c r="H6062" i="2"/>
  <c r="G6062" i="2"/>
  <c r="H6061" i="2"/>
  <c r="G6061" i="2"/>
  <c r="H6060" i="2"/>
  <c r="G6060" i="2"/>
  <c r="H6059" i="2"/>
  <c r="G6059" i="2"/>
  <c r="H6058" i="2"/>
  <c r="G6058" i="2"/>
  <c r="H6057" i="2"/>
  <c r="G6057" i="2"/>
  <c r="H6056" i="2"/>
  <c r="G6056" i="2"/>
  <c r="H6055" i="2"/>
  <c r="G6055" i="2"/>
  <c r="H6054" i="2"/>
  <c r="G6054" i="2"/>
  <c r="H6053" i="2"/>
  <c r="G6053" i="2"/>
  <c r="H6052" i="2"/>
  <c r="G6052" i="2"/>
  <c r="H6051" i="2"/>
  <c r="G6051" i="2"/>
  <c r="H6050" i="2"/>
  <c r="G6050" i="2"/>
  <c r="H6049" i="2"/>
  <c r="G6049" i="2"/>
  <c r="H6048" i="2"/>
  <c r="G6048" i="2"/>
  <c r="H6047" i="2"/>
  <c r="G6047" i="2"/>
  <c r="H6046" i="2"/>
  <c r="G6046" i="2"/>
  <c r="H6045" i="2"/>
  <c r="G6045" i="2"/>
  <c r="H6044" i="2"/>
  <c r="G6044" i="2"/>
  <c r="H6043" i="2"/>
  <c r="G6043" i="2"/>
  <c r="H6042" i="2"/>
  <c r="G6042" i="2"/>
  <c r="H6041" i="2"/>
  <c r="G6041" i="2"/>
  <c r="H6040" i="2"/>
  <c r="G6040" i="2"/>
  <c r="H6039" i="2"/>
  <c r="G6039" i="2"/>
  <c r="H6038" i="2"/>
  <c r="G6038" i="2"/>
  <c r="H6037" i="2"/>
  <c r="G6037" i="2"/>
  <c r="H6036" i="2"/>
  <c r="G6036" i="2"/>
  <c r="H6035" i="2"/>
  <c r="G6035" i="2"/>
  <c r="H6034" i="2"/>
  <c r="G6034" i="2"/>
  <c r="H6033" i="2"/>
  <c r="G6033" i="2"/>
  <c r="H6032" i="2"/>
  <c r="G6032" i="2"/>
  <c r="H6031" i="2"/>
  <c r="G6031" i="2"/>
  <c r="H6030" i="2"/>
  <c r="G6030" i="2"/>
  <c r="H6029" i="2"/>
  <c r="G6029" i="2"/>
  <c r="H6028" i="2"/>
  <c r="G6028" i="2"/>
  <c r="H6027" i="2"/>
  <c r="G6027" i="2"/>
  <c r="H6026" i="2"/>
  <c r="G6026" i="2"/>
  <c r="H6025" i="2"/>
  <c r="G6025" i="2"/>
  <c r="H6024" i="2"/>
  <c r="G6024" i="2"/>
  <c r="H6023" i="2"/>
  <c r="G6023" i="2"/>
  <c r="H6022" i="2"/>
  <c r="G6022" i="2"/>
  <c r="H6021" i="2"/>
  <c r="G6021" i="2"/>
  <c r="H6020" i="2"/>
  <c r="G6020" i="2"/>
  <c r="H6019" i="2"/>
  <c r="G6019" i="2"/>
  <c r="H6018" i="2"/>
  <c r="G6018" i="2"/>
  <c r="H6017" i="2"/>
  <c r="G6017" i="2"/>
  <c r="H6016" i="2"/>
  <c r="G6016" i="2"/>
  <c r="H6015" i="2"/>
  <c r="G6015" i="2"/>
  <c r="H6014" i="2"/>
  <c r="G6014" i="2"/>
  <c r="H6013" i="2"/>
  <c r="G6013" i="2"/>
  <c r="H6012" i="2"/>
  <c r="G6012" i="2"/>
  <c r="H6011" i="2"/>
  <c r="G6011" i="2"/>
  <c r="H6010" i="2"/>
  <c r="G6010" i="2"/>
  <c r="H6009" i="2"/>
  <c r="G6009" i="2"/>
  <c r="H6008" i="2"/>
  <c r="G6008" i="2"/>
  <c r="H6007" i="2"/>
  <c r="G6007" i="2"/>
  <c r="H6006" i="2"/>
  <c r="G6006" i="2"/>
  <c r="H6005" i="2"/>
  <c r="G6005" i="2"/>
  <c r="H6004" i="2"/>
  <c r="G6004" i="2"/>
  <c r="H6003" i="2"/>
  <c r="G6003" i="2"/>
  <c r="H6002" i="2"/>
  <c r="G6002" i="2"/>
  <c r="H6001" i="2"/>
  <c r="G6001" i="2"/>
  <c r="H6000" i="2"/>
  <c r="G6000" i="2"/>
  <c r="H5999" i="2"/>
  <c r="G5999" i="2"/>
  <c r="H5998" i="2"/>
  <c r="G5998" i="2"/>
  <c r="H5997" i="2"/>
  <c r="G5997" i="2"/>
  <c r="H5996" i="2"/>
  <c r="G5996" i="2"/>
  <c r="H5995" i="2"/>
  <c r="G5995" i="2"/>
  <c r="H5994" i="2"/>
  <c r="G5994" i="2"/>
  <c r="H5993" i="2"/>
  <c r="G5993" i="2"/>
  <c r="H5992" i="2"/>
  <c r="G5992" i="2"/>
  <c r="H5991" i="2"/>
  <c r="G5991" i="2"/>
  <c r="H5990" i="2"/>
  <c r="G5990" i="2"/>
  <c r="H5989" i="2"/>
  <c r="G5989" i="2"/>
  <c r="H5988" i="2"/>
  <c r="G5988" i="2"/>
  <c r="H5987" i="2"/>
  <c r="G5987" i="2"/>
  <c r="H5986" i="2"/>
  <c r="G5986" i="2"/>
  <c r="H5985" i="2"/>
  <c r="G5985" i="2"/>
  <c r="H5984" i="2"/>
  <c r="G5984" i="2"/>
  <c r="H5983" i="2"/>
  <c r="G5983" i="2"/>
  <c r="H5982" i="2"/>
  <c r="G5982" i="2"/>
  <c r="H5981" i="2"/>
  <c r="G5981" i="2"/>
  <c r="H5980" i="2"/>
  <c r="G5980" i="2"/>
  <c r="H5979" i="2"/>
  <c r="G5979" i="2"/>
  <c r="H5978" i="2"/>
  <c r="G5978" i="2"/>
  <c r="H5977" i="2"/>
  <c r="G5977" i="2"/>
  <c r="H5976" i="2"/>
  <c r="G5976" i="2"/>
  <c r="H5975" i="2"/>
  <c r="G5975" i="2"/>
  <c r="H5974" i="2"/>
  <c r="G5974" i="2"/>
  <c r="H5973" i="2"/>
  <c r="G5973" i="2"/>
  <c r="H5972" i="2"/>
  <c r="G5972" i="2"/>
  <c r="H5971" i="2"/>
  <c r="G5971" i="2"/>
  <c r="H5970" i="2"/>
  <c r="G5970" i="2"/>
  <c r="H5969" i="2"/>
  <c r="G5969" i="2"/>
  <c r="H5968" i="2"/>
  <c r="G5968" i="2"/>
  <c r="H5967" i="2"/>
  <c r="G5967" i="2"/>
  <c r="H5966" i="2"/>
  <c r="G5966" i="2"/>
  <c r="H5965" i="2"/>
  <c r="G5965" i="2"/>
  <c r="H5964" i="2"/>
  <c r="G5964" i="2"/>
  <c r="H5963" i="2"/>
  <c r="G5963" i="2"/>
  <c r="H5962" i="2"/>
  <c r="G5962" i="2"/>
  <c r="H5961" i="2"/>
  <c r="G5961" i="2"/>
  <c r="H5960" i="2"/>
  <c r="G5960" i="2"/>
  <c r="H5959" i="2"/>
  <c r="G5959" i="2"/>
  <c r="H5958" i="2"/>
  <c r="G5958" i="2"/>
  <c r="H5957" i="2"/>
  <c r="G5957" i="2"/>
  <c r="H5956" i="2"/>
  <c r="G5956" i="2"/>
  <c r="H5955" i="2"/>
  <c r="G5955" i="2"/>
  <c r="H5954" i="2"/>
  <c r="G5954" i="2"/>
  <c r="H5953" i="2"/>
  <c r="G5953" i="2"/>
  <c r="H5952" i="2"/>
  <c r="G5952" i="2"/>
  <c r="H5951" i="2"/>
  <c r="G5951" i="2"/>
  <c r="H5950" i="2"/>
  <c r="G5950" i="2"/>
  <c r="H5949" i="2"/>
  <c r="G5949" i="2"/>
  <c r="H5948" i="2"/>
  <c r="G5948" i="2"/>
  <c r="H5947" i="2"/>
  <c r="G5947" i="2"/>
  <c r="H5946" i="2"/>
  <c r="G5946" i="2"/>
  <c r="H5945" i="2"/>
  <c r="G5945" i="2"/>
  <c r="H5944" i="2"/>
  <c r="G5944" i="2"/>
  <c r="H5943" i="2"/>
  <c r="G5943" i="2"/>
  <c r="H5942" i="2"/>
  <c r="G5942" i="2"/>
  <c r="H5941" i="2"/>
  <c r="G5941" i="2"/>
  <c r="H5940" i="2"/>
  <c r="G5940" i="2"/>
  <c r="H5939" i="2"/>
  <c r="G5939" i="2"/>
  <c r="H5938" i="2"/>
  <c r="G5938" i="2"/>
  <c r="H5937" i="2"/>
  <c r="G5937" i="2"/>
  <c r="H5936" i="2"/>
  <c r="G5936" i="2"/>
  <c r="H5935" i="2"/>
  <c r="G5935" i="2"/>
  <c r="H5934" i="2"/>
  <c r="G5934" i="2"/>
  <c r="H5933" i="2"/>
  <c r="G5933" i="2"/>
  <c r="H5932" i="2"/>
  <c r="G5932" i="2"/>
  <c r="H5931" i="2"/>
  <c r="G5931" i="2"/>
  <c r="H5930" i="2"/>
  <c r="G5930" i="2"/>
  <c r="H5929" i="2"/>
  <c r="G5929" i="2"/>
  <c r="H5928" i="2"/>
  <c r="G5928" i="2"/>
  <c r="H5927" i="2"/>
  <c r="G5927" i="2"/>
  <c r="H5926" i="2"/>
  <c r="G5926" i="2"/>
  <c r="H5925" i="2"/>
  <c r="G5925" i="2"/>
  <c r="H5924" i="2"/>
  <c r="G5924" i="2"/>
  <c r="H5923" i="2"/>
  <c r="G5923" i="2"/>
  <c r="H5922" i="2"/>
  <c r="G5922" i="2"/>
  <c r="H5921" i="2"/>
  <c r="G5921" i="2"/>
  <c r="H5920" i="2"/>
  <c r="G5920" i="2"/>
  <c r="H5919" i="2"/>
  <c r="G5919" i="2"/>
  <c r="H5918" i="2"/>
  <c r="G5918" i="2"/>
  <c r="H5917" i="2"/>
  <c r="G5917" i="2"/>
  <c r="H5916" i="2"/>
  <c r="G5916" i="2"/>
  <c r="H5915" i="2"/>
  <c r="G5915" i="2"/>
  <c r="H5914" i="2"/>
  <c r="G5914" i="2"/>
  <c r="H5913" i="2"/>
  <c r="G5913" i="2"/>
  <c r="H5912" i="2"/>
  <c r="G5912" i="2"/>
  <c r="H5911" i="2"/>
  <c r="G5911" i="2"/>
  <c r="H5910" i="2"/>
  <c r="G5910" i="2"/>
  <c r="H5909" i="2"/>
  <c r="G5909" i="2"/>
  <c r="H5908" i="2"/>
  <c r="G5908" i="2"/>
  <c r="H5907" i="2"/>
  <c r="G5907" i="2"/>
  <c r="H5906" i="2"/>
  <c r="G5906" i="2"/>
  <c r="H5905" i="2"/>
  <c r="G5905" i="2"/>
  <c r="H5904" i="2"/>
  <c r="G5904" i="2"/>
  <c r="H5903" i="2"/>
  <c r="G5903" i="2"/>
  <c r="H5902" i="2"/>
  <c r="G5902" i="2"/>
  <c r="H5901" i="2"/>
  <c r="G5901" i="2"/>
  <c r="H5900" i="2"/>
  <c r="G5900" i="2"/>
  <c r="H5899" i="2"/>
  <c r="G5899" i="2"/>
  <c r="H5898" i="2"/>
  <c r="G5898" i="2"/>
  <c r="H5897" i="2"/>
  <c r="G5897" i="2"/>
  <c r="H5896" i="2"/>
  <c r="G5896" i="2"/>
  <c r="H5895" i="2"/>
  <c r="G5895" i="2"/>
  <c r="H5894" i="2"/>
  <c r="G5894" i="2"/>
  <c r="H5893" i="2"/>
  <c r="G5893" i="2"/>
  <c r="H5892" i="2"/>
  <c r="G5892" i="2"/>
  <c r="H5891" i="2"/>
  <c r="G5891" i="2"/>
  <c r="H5890" i="2"/>
  <c r="G5890" i="2"/>
  <c r="H5889" i="2"/>
  <c r="G5889" i="2"/>
  <c r="H5888" i="2"/>
  <c r="G5888" i="2"/>
  <c r="H5887" i="2"/>
  <c r="G5887" i="2"/>
  <c r="H5886" i="2"/>
  <c r="G5886" i="2"/>
  <c r="H5885" i="2"/>
  <c r="G5885" i="2"/>
  <c r="H5884" i="2"/>
  <c r="G5884" i="2"/>
  <c r="H5883" i="2"/>
  <c r="G5883" i="2"/>
  <c r="H5882" i="2"/>
  <c r="G5882" i="2"/>
  <c r="H5881" i="2"/>
  <c r="G5881" i="2"/>
  <c r="H5880" i="2"/>
  <c r="G5880" i="2"/>
  <c r="H5879" i="2"/>
  <c r="G5879" i="2"/>
  <c r="H5878" i="2"/>
  <c r="G5878" i="2"/>
  <c r="H5877" i="2"/>
  <c r="G5877" i="2"/>
  <c r="H5876" i="2"/>
  <c r="G5876" i="2"/>
  <c r="H5875" i="2"/>
  <c r="G5875" i="2"/>
  <c r="H5874" i="2"/>
  <c r="G5874" i="2"/>
  <c r="H5873" i="2"/>
  <c r="G5873" i="2"/>
  <c r="H5872" i="2"/>
  <c r="G5872" i="2"/>
  <c r="H5871" i="2"/>
  <c r="G5871" i="2"/>
  <c r="H5870" i="2"/>
  <c r="G5870" i="2"/>
  <c r="H5869" i="2"/>
  <c r="G5869" i="2"/>
  <c r="H5868" i="2"/>
  <c r="G5868" i="2"/>
  <c r="H5867" i="2"/>
  <c r="G5867" i="2"/>
  <c r="H5866" i="2"/>
  <c r="G5866" i="2"/>
  <c r="H5865" i="2"/>
  <c r="G5865" i="2"/>
  <c r="H5864" i="2"/>
  <c r="G5864" i="2"/>
  <c r="H5863" i="2"/>
  <c r="G5863" i="2"/>
  <c r="H5862" i="2"/>
  <c r="G5862" i="2"/>
  <c r="H5861" i="2"/>
  <c r="G5861" i="2"/>
  <c r="H5860" i="2"/>
  <c r="G5860" i="2"/>
  <c r="H5859" i="2"/>
  <c r="G5859" i="2"/>
  <c r="H5858" i="2"/>
  <c r="G5858" i="2"/>
  <c r="H5857" i="2"/>
  <c r="G5857" i="2"/>
  <c r="H5856" i="2"/>
  <c r="G5856" i="2"/>
  <c r="H5855" i="2"/>
  <c r="G5855" i="2"/>
  <c r="H5854" i="2"/>
  <c r="G5854" i="2"/>
  <c r="H5853" i="2"/>
  <c r="G5853" i="2"/>
  <c r="H5852" i="2"/>
  <c r="G5852" i="2"/>
  <c r="H5851" i="2"/>
  <c r="G5851" i="2"/>
  <c r="H5850" i="2"/>
  <c r="G5850" i="2"/>
  <c r="H5849" i="2"/>
  <c r="G5849" i="2"/>
  <c r="H5848" i="2"/>
  <c r="G5848" i="2"/>
  <c r="H5847" i="2"/>
  <c r="G5847" i="2"/>
  <c r="H5846" i="2"/>
  <c r="G5846" i="2"/>
  <c r="H5845" i="2"/>
  <c r="G5845" i="2"/>
  <c r="H5844" i="2"/>
  <c r="G5844" i="2"/>
  <c r="H5843" i="2"/>
  <c r="G5843" i="2"/>
  <c r="H5842" i="2"/>
  <c r="G5842" i="2"/>
  <c r="H5841" i="2"/>
  <c r="G5841" i="2"/>
  <c r="H5840" i="2"/>
  <c r="G5840" i="2"/>
  <c r="H5839" i="2"/>
  <c r="G5839" i="2"/>
  <c r="H5838" i="2"/>
  <c r="G5838" i="2"/>
  <c r="H5837" i="2"/>
  <c r="G5837" i="2"/>
  <c r="H5836" i="2"/>
  <c r="G5836" i="2"/>
  <c r="H5835" i="2"/>
  <c r="G5835" i="2"/>
  <c r="H5834" i="2"/>
  <c r="G5834" i="2"/>
  <c r="H5833" i="2"/>
  <c r="G5833" i="2"/>
  <c r="H5832" i="2"/>
  <c r="G5832" i="2"/>
  <c r="H5831" i="2"/>
  <c r="G5831" i="2"/>
  <c r="H5830" i="2"/>
  <c r="G5830" i="2"/>
  <c r="H5829" i="2"/>
  <c r="G5829" i="2"/>
  <c r="H5828" i="2"/>
  <c r="G5828" i="2"/>
  <c r="H5827" i="2"/>
  <c r="G5827" i="2"/>
  <c r="H5826" i="2"/>
  <c r="G5826" i="2"/>
  <c r="H5825" i="2"/>
  <c r="G5825" i="2"/>
  <c r="H5824" i="2"/>
  <c r="G5824" i="2"/>
  <c r="H5823" i="2"/>
  <c r="G5823" i="2"/>
  <c r="H5822" i="2"/>
  <c r="G5822" i="2"/>
  <c r="H5821" i="2"/>
  <c r="G5821" i="2"/>
  <c r="H5820" i="2"/>
  <c r="G5820" i="2"/>
  <c r="H5819" i="2"/>
  <c r="G5819" i="2"/>
  <c r="H5818" i="2"/>
  <c r="G5818" i="2"/>
  <c r="H5817" i="2"/>
  <c r="G5817" i="2"/>
  <c r="H5816" i="2"/>
  <c r="G5816" i="2"/>
  <c r="H5815" i="2"/>
  <c r="G5815" i="2"/>
  <c r="H5814" i="2"/>
  <c r="G5814" i="2"/>
  <c r="H5813" i="2"/>
  <c r="G5813" i="2"/>
  <c r="H5812" i="2"/>
  <c r="G5812" i="2"/>
  <c r="H5811" i="2"/>
  <c r="G5811" i="2"/>
  <c r="H5810" i="2"/>
  <c r="G5810" i="2"/>
  <c r="H5809" i="2"/>
  <c r="G5809" i="2"/>
  <c r="H5808" i="2"/>
  <c r="G5808" i="2"/>
  <c r="H5807" i="2"/>
  <c r="G5807" i="2"/>
  <c r="H5806" i="2"/>
  <c r="G5806" i="2"/>
  <c r="H5805" i="2"/>
  <c r="G5805" i="2"/>
  <c r="H5804" i="2"/>
  <c r="G5804" i="2"/>
  <c r="H5803" i="2"/>
  <c r="G5803" i="2"/>
  <c r="H5802" i="2"/>
  <c r="G5802" i="2"/>
  <c r="H5801" i="2"/>
  <c r="G5801" i="2"/>
  <c r="H5800" i="2"/>
  <c r="G5800" i="2"/>
  <c r="H5799" i="2"/>
  <c r="G5799" i="2"/>
  <c r="H5798" i="2"/>
  <c r="G5798" i="2"/>
  <c r="H5797" i="2"/>
  <c r="G5797" i="2"/>
  <c r="H5796" i="2"/>
  <c r="G5796" i="2"/>
  <c r="H5795" i="2"/>
  <c r="G5795" i="2"/>
  <c r="H5794" i="2"/>
  <c r="G5794" i="2"/>
  <c r="H5793" i="2"/>
  <c r="G5793" i="2"/>
  <c r="H5792" i="2"/>
  <c r="G5792" i="2"/>
  <c r="H5791" i="2"/>
  <c r="G5791" i="2"/>
  <c r="H5790" i="2"/>
  <c r="G5790" i="2"/>
  <c r="H5789" i="2"/>
  <c r="G5789" i="2"/>
  <c r="H5788" i="2"/>
  <c r="G5788" i="2"/>
  <c r="H5787" i="2"/>
  <c r="G5787" i="2"/>
  <c r="H5786" i="2"/>
  <c r="G5786" i="2"/>
  <c r="H5785" i="2"/>
  <c r="G5785" i="2"/>
  <c r="H5784" i="2"/>
  <c r="G5784" i="2"/>
  <c r="H5783" i="2"/>
  <c r="G5783" i="2"/>
  <c r="H5782" i="2"/>
  <c r="G5782" i="2"/>
  <c r="H5781" i="2"/>
  <c r="G5781" i="2"/>
  <c r="H5780" i="2"/>
  <c r="G5780" i="2"/>
  <c r="H5779" i="2"/>
  <c r="G5779" i="2"/>
  <c r="H5778" i="2"/>
  <c r="G5778" i="2"/>
  <c r="H5777" i="2"/>
  <c r="G5777" i="2"/>
  <c r="H5776" i="2"/>
  <c r="G5776" i="2"/>
  <c r="H5775" i="2"/>
  <c r="G5775" i="2"/>
  <c r="H5774" i="2"/>
  <c r="G5774" i="2"/>
  <c r="H5773" i="2"/>
  <c r="G5773" i="2"/>
  <c r="H5772" i="2"/>
  <c r="G5772" i="2"/>
  <c r="H5771" i="2"/>
  <c r="G5771" i="2"/>
  <c r="H5770" i="2"/>
  <c r="G5770" i="2"/>
  <c r="H5769" i="2"/>
  <c r="G5769" i="2"/>
  <c r="H5768" i="2"/>
  <c r="G5768" i="2"/>
  <c r="H5767" i="2"/>
  <c r="G5767" i="2"/>
  <c r="H5766" i="2"/>
  <c r="G5766" i="2"/>
  <c r="H5765" i="2"/>
  <c r="G5765" i="2"/>
  <c r="H5764" i="2"/>
  <c r="G5764" i="2"/>
  <c r="H5763" i="2"/>
  <c r="G5763" i="2"/>
  <c r="H5762" i="2"/>
  <c r="G5762" i="2"/>
  <c r="H5761" i="2"/>
  <c r="G5761" i="2"/>
  <c r="H5760" i="2"/>
  <c r="G5760" i="2"/>
  <c r="H5759" i="2"/>
  <c r="G5759" i="2"/>
  <c r="H5758" i="2"/>
  <c r="G5758" i="2"/>
  <c r="H5757" i="2"/>
  <c r="G5757" i="2"/>
  <c r="H5756" i="2"/>
  <c r="G5756" i="2"/>
  <c r="H5755" i="2"/>
  <c r="G5755" i="2"/>
  <c r="H5754" i="2"/>
  <c r="G5754" i="2"/>
  <c r="H5753" i="2"/>
  <c r="G5753" i="2"/>
  <c r="H5752" i="2"/>
  <c r="G5752" i="2"/>
  <c r="H5751" i="2"/>
  <c r="G5751" i="2"/>
  <c r="H5750" i="2"/>
  <c r="G5750" i="2"/>
  <c r="H5749" i="2"/>
  <c r="G5749" i="2"/>
  <c r="H5748" i="2"/>
  <c r="G5748" i="2"/>
  <c r="H5747" i="2"/>
  <c r="G5747" i="2"/>
  <c r="H5746" i="2"/>
  <c r="G5746" i="2"/>
  <c r="H5745" i="2"/>
  <c r="G5745" i="2"/>
  <c r="H5744" i="2"/>
  <c r="G5744" i="2"/>
  <c r="H5743" i="2"/>
  <c r="G5743" i="2"/>
  <c r="H5742" i="2"/>
  <c r="G5742" i="2"/>
  <c r="H5741" i="2"/>
  <c r="G5741" i="2"/>
  <c r="H5740" i="2"/>
  <c r="G5740" i="2"/>
  <c r="H5739" i="2"/>
  <c r="G5739" i="2"/>
  <c r="H5738" i="2"/>
  <c r="G5738" i="2"/>
  <c r="H5737" i="2"/>
  <c r="G5737" i="2"/>
  <c r="H5736" i="2"/>
  <c r="G5736" i="2"/>
  <c r="H5735" i="2"/>
  <c r="G5735" i="2"/>
  <c r="H5734" i="2"/>
  <c r="G5734" i="2"/>
  <c r="H5733" i="2"/>
  <c r="G5733" i="2"/>
  <c r="H5732" i="2"/>
  <c r="G5732" i="2"/>
  <c r="H5731" i="2"/>
  <c r="G5731" i="2"/>
  <c r="H5730" i="2"/>
  <c r="G5730" i="2"/>
  <c r="H5729" i="2"/>
  <c r="G5729" i="2"/>
  <c r="H5728" i="2"/>
  <c r="G5728" i="2"/>
  <c r="H5727" i="2"/>
  <c r="G5727" i="2"/>
  <c r="H5726" i="2"/>
  <c r="G5726" i="2"/>
  <c r="H5725" i="2"/>
  <c r="G5725" i="2"/>
  <c r="H5724" i="2"/>
  <c r="G5724" i="2"/>
  <c r="H5723" i="2"/>
  <c r="G5723" i="2"/>
  <c r="H5722" i="2"/>
  <c r="G5722" i="2"/>
  <c r="H5721" i="2"/>
  <c r="G5721" i="2"/>
  <c r="H5720" i="2"/>
  <c r="G5720" i="2"/>
  <c r="H5719" i="2"/>
  <c r="G5719" i="2"/>
  <c r="H5718" i="2"/>
  <c r="G5718" i="2"/>
  <c r="H5717" i="2"/>
  <c r="G5717" i="2"/>
  <c r="H5716" i="2"/>
  <c r="G5716" i="2"/>
  <c r="H5715" i="2"/>
  <c r="G5715" i="2"/>
  <c r="H5714" i="2"/>
  <c r="G5714" i="2"/>
  <c r="H5713" i="2"/>
  <c r="G5713" i="2"/>
  <c r="H5712" i="2"/>
  <c r="G5712" i="2"/>
  <c r="H5711" i="2"/>
  <c r="G5711" i="2"/>
  <c r="H5710" i="2"/>
  <c r="G5710" i="2"/>
  <c r="H5709" i="2"/>
  <c r="G5709" i="2"/>
  <c r="H5708" i="2"/>
  <c r="G5708" i="2"/>
  <c r="H5707" i="2"/>
  <c r="G5707" i="2"/>
  <c r="H5706" i="2"/>
  <c r="G5706" i="2"/>
  <c r="H5705" i="2"/>
  <c r="G5705" i="2"/>
  <c r="H5704" i="2"/>
  <c r="G5704" i="2"/>
  <c r="H5703" i="2"/>
  <c r="G5703" i="2"/>
  <c r="H5702" i="2"/>
  <c r="G5702" i="2"/>
  <c r="H5701" i="2"/>
  <c r="G5701" i="2"/>
  <c r="H5700" i="2"/>
  <c r="G5700" i="2"/>
  <c r="H5699" i="2"/>
  <c r="G5699" i="2"/>
  <c r="H5698" i="2"/>
  <c r="G5698" i="2"/>
  <c r="H5697" i="2"/>
  <c r="G5697" i="2"/>
  <c r="H5696" i="2"/>
  <c r="G5696" i="2"/>
  <c r="H5695" i="2"/>
  <c r="G5695" i="2"/>
  <c r="H5694" i="2"/>
  <c r="G5694" i="2"/>
  <c r="H5693" i="2"/>
  <c r="G5693" i="2"/>
  <c r="H5692" i="2"/>
  <c r="G5692" i="2"/>
  <c r="H5691" i="2"/>
  <c r="G5691" i="2"/>
  <c r="H5690" i="2"/>
  <c r="G5690" i="2"/>
  <c r="H5689" i="2"/>
  <c r="G5689" i="2"/>
  <c r="H5688" i="2"/>
  <c r="G5688" i="2"/>
  <c r="H5687" i="2"/>
  <c r="G5687" i="2"/>
  <c r="H5686" i="2"/>
  <c r="G5686" i="2"/>
  <c r="H5685" i="2"/>
  <c r="G5685" i="2"/>
  <c r="H5684" i="2"/>
  <c r="G5684" i="2"/>
  <c r="H5683" i="2"/>
  <c r="G5683" i="2"/>
  <c r="H5682" i="2"/>
  <c r="G5682" i="2"/>
  <c r="H5681" i="2"/>
  <c r="G5681" i="2"/>
  <c r="H5680" i="2"/>
  <c r="G5680" i="2"/>
  <c r="H5679" i="2"/>
  <c r="G5679" i="2"/>
  <c r="H5678" i="2"/>
  <c r="G5678" i="2"/>
  <c r="H5677" i="2"/>
  <c r="G5677" i="2"/>
  <c r="H5676" i="2"/>
  <c r="G5676" i="2"/>
  <c r="H5675" i="2"/>
  <c r="G5675" i="2"/>
  <c r="H5674" i="2"/>
  <c r="G5674" i="2"/>
  <c r="H5673" i="2"/>
  <c r="G5673" i="2"/>
  <c r="H5672" i="2"/>
  <c r="G5672" i="2"/>
  <c r="H5671" i="2"/>
  <c r="G5671" i="2"/>
  <c r="H5670" i="2"/>
  <c r="G5670" i="2"/>
  <c r="H5669" i="2"/>
  <c r="G5669" i="2"/>
  <c r="H5668" i="2"/>
  <c r="G5668" i="2"/>
  <c r="H5667" i="2"/>
  <c r="G5667" i="2"/>
  <c r="H5666" i="2"/>
  <c r="G5666" i="2"/>
  <c r="H5665" i="2"/>
  <c r="G5665" i="2"/>
  <c r="H5664" i="2"/>
  <c r="G5664" i="2"/>
  <c r="H5663" i="2"/>
  <c r="G5663" i="2"/>
  <c r="H5662" i="2"/>
  <c r="G5662" i="2"/>
  <c r="H5661" i="2"/>
  <c r="G5661" i="2"/>
  <c r="H5660" i="2"/>
  <c r="G5660" i="2"/>
  <c r="H5659" i="2"/>
  <c r="G5659" i="2"/>
  <c r="H5658" i="2"/>
  <c r="G5658" i="2"/>
  <c r="H5657" i="2"/>
  <c r="G5657" i="2"/>
  <c r="H5656" i="2"/>
  <c r="G5656" i="2"/>
  <c r="H5655" i="2"/>
  <c r="G5655" i="2"/>
  <c r="H5654" i="2"/>
  <c r="G5654" i="2"/>
  <c r="H5653" i="2"/>
  <c r="G5653" i="2"/>
  <c r="H5652" i="2"/>
  <c r="G5652" i="2"/>
  <c r="H5651" i="2"/>
  <c r="G5651" i="2"/>
  <c r="H5650" i="2"/>
  <c r="G5650" i="2"/>
  <c r="H5649" i="2"/>
  <c r="G5649" i="2"/>
  <c r="H5648" i="2"/>
  <c r="G5648" i="2"/>
  <c r="H5647" i="2"/>
  <c r="G5647" i="2"/>
  <c r="H5646" i="2"/>
  <c r="G5646" i="2"/>
  <c r="H5645" i="2"/>
  <c r="G5645" i="2"/>
  <c r="H5644" i="2"/>
  <c r="G5644" i="2"/>
  <c r="H5643" i="2"/>
  <c r="G5643" i="2"/>
  <c r="H5642" i="2"/>
  <c r="G5642" i="2"/>
  <c r="H5641" i="2"/>
  <c r="G5641" i="2"/>
  <c r="H5640" i="2"/>
  <c r="G5640" i="2"/>
  <c r="H5639" i="2"/>
  <c r="G5639" i="2"/>
  <c r="H5638" i="2"/>
  <c r="G5638" i="2"/>
  <c r="H5637" i="2"/>
  <c r="G5637" i="2"/>
  <c r="H5636" i="2"/>
  <c r="G5636" i="2"/>
  <c r="H5635" i="2"/>
  <c r="G5635" i="2"/>
  <c r="H5634" i="2"/>
  <c r="G5634" i="2"/>
  <c r="H5633" i="2"/>
  <c r="G5633" i="2"/>
  <c r="H5632" i="2"/>
  <c r="G5632" i="2"/>
  <c r="H5631" i="2"/>
  <c r="G5631" i="2"/>
  <c r="H5630" i="2"/>
  <c r="G5630" i="2"/>
  <c r="H5629" i="2"/>
  <c r="G5629" i="2"/>
  <c r="H5628" i="2"/>
  <c r="G5628" i="2"/>
  <c r="H5627" i="2"/>
  <c r="G5627" i="2"/>
  <c r="H5626" i="2"/>
  <c r="G5626" i="2"/>
  <c r="H5625" i="2"/>
  <c r="G5625" i="2"/>
  <c r="H5624" i="2"/>
  <c r="G5624" i="2"/>
  <c r="H5623" i="2"/>
  <c r="G5623" i="2"/>
  <c r="H5622" i="2"/>
  <c r="G5622" i="2"/>
  <c r="H5621" i="2"/>
  <c r="G5621" i="2"/>
  <c r="H5620" i="2"/>
  <c r="G5620" i="2"/>
  <c r="H5619" i="2"/>
  <c r="G5619" i="2"/>
  <c r="H5618" i="2"/>
  <c r="G5618" i="2"/>
  <c r="H5617" i="2"/>
  <c r="G5617" i="2"/>
  <c r="H5616" i="2"/>
  <c r="G5616" i="2"/>
  <c r="H5615" i="2"/>
  <c r="G5615" i="2"/>
  <c r="H5614" i="2"/>
  <c r="G5614" i="2"/>
  <c r="H5613" i="2"/>
  <c r="G5613" i="2"/>
  <c r="H5612" i="2"/>
  <c r="G5612" i="2"/>
  <c r="H5611" i="2"/>
  <c r="G5611" i="2"/>
  <c r="H5610" i="2"/>
  <c r="G5610" i="2"/>
  <c r="H5609" i="2"/>
  <c r="G5609" i="2"/>
  <c r="H5608" i="2"/>
  <c r="G5608" i="2"/>
  <c r="H5607" i="2"/>
  <c r="G5607" i="2"/>
  <c r="H5606" i="2"/>
  <c r="G5606" i="2"/>
  <c r="H5605" i="2"/>
  <c r="G5605" i="2"/>
  <c r="H5604" i="2"/>
  <c r="G5604" i="2"/>
  <c r="H5603" i="2"/>
  <c r="G5603" i="2"/>
  <c r="H5602" i="2"/>
  <c r="G5602" i="2"/>
  <c r="H5601" i="2"/>
  <c r="G5601" i="2"/>
  <c r="H5600" i="2"/>
  <c r="G5600" i="2"/>
  <c r="H5599" i="2"/>
  <c r="G5599" i="2"/>
  <c r="H5598" i="2"/>
  <c r="G5598" i="2"/>
  <c r="H5597" i="2"/>
  <c r="G5597" i="2"/>
  <c r="H5596" i="2"/>
  <c r="G5596" i="2"/>
  <c r="H5595" i="2"/>
  <c r="G5595" i="2"/>
  <c r="H5594" i="2"/>
  <c r="G5594" i="2"/>
  <c r="H5593" i="2"/>
  <c r="G5593" i="2"/>
  <c r="H5592" i="2"/>
  <c r="G5592" i="2"/>
  <c r="H5591" i="2"/>
  <c r="G5591" i="2"/>
  <c r="H5590" i="2"/>
  <c r="G5590" i="2"/>
  <c r="H5589" i="2"/>
  <c r="G5589" i="2"/>
  <c r="H5588" i="2"/>
  <c r="G5588" i="2"/>
  <c r="H5587" i="2"/>
  <c r="G5587" i="2"/>
  <c r="H5586" i="2"/>
  <c r="G5586" i="2"/>
  <c r="H5585" i="2"/>
  <c r="G5585" i="2"/>
  <c r="H5584" i="2"/>
  <c r="G5584" i="2"/>
  <c r="H5583" i="2"/>
  <c r="G5583" i="2"/>
  <c r="H5582" i="2"/>
  <c r="G5582" i="2"/>
  <c r="H5581" i="2"/>
  <c r="G5581" i="2"/>
  <c r="H5580" i="2"/>
  <c r="G5580" i="2"/>
  <c r="H5579" i="2"/>
  <c r="G5579" i="2"/>
  <c r="H5578" i="2"/>
  <c r="G5578" i="2"/>
  <c r="H5577" i="2"/>
  <c r="G5577" i="2"/>
  <c r="H5576" i="2"/>
  <c r="G5576" i="2"/>
  <c r="H5575" i="2"/>
  <c r="G5575" i="2"/>
  <c r="H5574" i="2"/>
  <c r="G5574" i="2"/>
  <c r="H5573" i="2"/>
  <c r="G5573" i="2"/>
  <c r="H5572" i="2"/>
  <c r="G5572" i="2"/>
  <c r="H5571" i="2"/>
  <c r="G5571" i="2"/>
  <c r="H5570" i="2"/>
  <c r="G5570" i="2"/>
  <c r="H5569" i="2"/>
  <c r="G5569" i="2"/>
  <c r="H5568" i="2"/>
  <c r="G5568" i="2"/>
  <c r="H5567" i="2"/>
  <c r="G5567" i="2"/>
  <c r="H5566" i="2"/>
  <c r="G5566" i="2"/>
  <c r="H5565" i="2"/>
  <c r="G5565" i="2"/>
  <c r="H5564" i="2"/>
  <c r="G5564" i="2"/>
  <c r="H5563" i="2"/>
  <c r="G5563" i="2"/>
  <c r="H5562" i="2"/>
  <c r="G5562" i="2"/>
  <c r="H5561" i="2"/>
  <c r="G5561" i="2"/>
  <c r="H5560" i="2"/>
  <c r="G5560" i="2"/>
  <c r="H5559" i="2"/>
  <c r="G5559" i="2"/>
  <c r="H5558" i="2"/>
  <c r="G5558" i="2"/>
  <c r="H5557" i="2"/>
  <c r="G5557" i="2"/>
  <c r="H5556" i="2"/>
  <c r="G5556" i="2"/>
  <c r="H5555" i="2"/>
  <c r="G5555" i="2"/>
  <c r="H5554" i="2"/>
  <c r="G5554" i="2"/>
  <c r="H5553" i="2"/>
  <c r="G5553" i="2"/>
  <c r="H5552" i="2"/>
  <c r="G5552" i="2"/>
  <c r="H5551" i="2"/>
  <c r="G5551" i="2"/>
  <c r="H5550" i="2"/>
  <c r="G5550" i="2"/>
  <c r="H5549" i="2"/>
  <c r="G5549" i="2"/>
  <c r="H5548" i="2"/>
  <c r="G5548" i="2"/>
  <c r="H5547" i="2"/>
  <c r="G5547" i="2"/>
  <c r="H5546" i="2"/>
  <c r="G5546" i="2"/>
  <c r="H5545" i="2"/>
  <c r="G5545" i="2"/>
  <c r="H5544" i="2"/>
  <c r="G5544" i="2"/>
  <c r="H5543" i="2"/>
  <c r="G5543" i="2"/>
  <c r="H5542" i="2"/>
  <c r="G5542" i="2"/>
  <c r="H5541" i="2"/>
  <c r="G5541" i="2"/>
  <c r="H5540" i="2"/>
  <c r="G5540" i="2"/>
  <c r="H5539" i="2"/>
  <c r="G5539" i="2"/>
  <c r="H5538" i="2"/>
  <c r="G5538" i="2"/>
  <c r="H5537" i="2"/>
  <c r="G5537" i="2"/>
  <c r="H5536" i="2"/>
  <c r="G5536" i="2"/>
  <c r="H5535" i="2"/>
  <c r="G5535" i="2"/>
  <c r="H5534" i="2"/>
  <c r="G5534" i="2"/>
  <c r="H5533" i="2"/>
  <c r="G5533" i="2"/>
  <c r="H5532" i="2"/>
  <c r="G5532" i="2"/>
  <c r="H5531" i="2"/>
  <c r="G5531" i="2"/>
  <c r="H5530" i="2"/>
  <c r="G5530" i="2"/>
  <c r="H5529" i="2"/>
  <c r="G5529" i="2"/>
  <c r="H5528" i="2"/>
  <c r="G5528" i="2"/>
  <c r="H5527" i="2"/>
  <c r="G5527" i="2"/>
  <c r="H5526" i="2"/>
  <c r="G5526" i="2"/>
  <c r="H5525" i="2"/>
  <c r="G5525" i="2"/>
  <c r="H5524" i="2"/>
  <c r="G5524" i="2"/>
  <c r="H5523" i="2"/>
  <c r="G5523" i="2"/>
  <c r="H5522" i="2"/>
  <c r="G5522" i="2"/>
  <c r="H5521" i="2"/>
  <c r="G5521" i="2"/>
  <c r="H5520" i="2"/>
  <c r="G5520" i="2"/>
  <c r="H5519" i="2"/>
  <c r="G5519" i="2"/>
  <c r="H5518" i="2"/>
  <c r="G5518" i="2"/>
  <c r="H5517" i="2"/>
  <c r="G5517" i="2"/>
  <c r="H5516" i="2"/>
  <c r="G5516" i="2"/>
  <c r="H5515" i="2"/>
  <c r="G5515" i="2"/>
  <c r="H5514" i="2"/>
  <c r="G5514" i="2"/>
  <c r="H5513" i="2"/>
  <c r="G5513" i="2"/>
  <c r="H5512" i="2"/>
  <c r="G5512" i="2"/>
  <c r="H5511" i="2"/>
  <c r="G5511" i="2"/>
  <c r="H5510" i="2"/>
  <c r="G5510" i="2"/>
  <c r="H5509" i="2"/>
  <c r="G5509" i="2"/>
  <c r="H5508" i="2"/>
  <c r="G5508" i="2"/>
  <c r="H5507" i="2"/>
  <c r="G5507" i="2"/>
  <c r="H5506" i="2"/>
  <c r="G5506" i="2"/>
  <c r="H5505" i="2"/>
  <c r="G5505" i="2"/>
  <c r="H5504" i="2"/>
  <c r="G5504" i="2"/>
  <c r="H5503" i="2"/>
  <c r="G5503" i="2"/>
  <c r="H5502" i="2"/>
  <c r="G5502" i="2"/>
  <c r="H5501" i="2"/>
  <c r="G5501" i="2"/>
  <c r="H5500" i="2"/>
  <c r="G5500" i="2"/>
  <c r="H5499" i="2"/>
  <c r="G5499" i="2"/>
  <c r="H5498" i="2"/>
  <c r="G5498" i="2"/>
  <c r="H5497" i="2"/>
  <c r="G5497" i="2"/>
  <c r="H5496" i="2"/>
  <c r="G5496" i="2"/>
  <c r="H5495" i="2"/>
  <c r="G5495" i="2"/>
  <c r="H5494" i="2"/>
  <c r="G5494" i="2"/>
  <c r="H5493" i="2"/>
  <c r="G5493" i="2"/>
  <c r="H5492" i="2"/>
  <c r="G5492" i="2"/>
  <c r="H5491" i="2"/>
  <c r="G5491" i="2"/>
  <c r="H5490" i="2"/>
  <c r="G5490" i="2"/>
  <c r="H5489" i="2"/>
  <c r="G5489" i="2"/>
  <c r="H5488" i="2"/>
  <c r="G5488" i="2"/>
  <c r="H5487" i="2"/>
  <c r="G5487" i="2"/>
  <c r="H5486" i="2"/>
  <c r="G5486" i="2"/>
  <c r="H5485" i="2"/>
  <c r="G5485" i="2"/>
  <c r="H5484" i="2"/>
  <c r="G5484" i="2"/>
  <c r="H5483" i="2"/>
  <c r="G5483" i="2"/>
  <c r="H5482" i="2"/>
  <c r="G5482" i="2"/>
  <c r="H5481" i="2"/>
  <c r="G5481" i="2"/>
  <c r="H5480" i="2"/>
  <c r="G5480" i="2"/>
  <c r="H5479" i="2"/>
  <c r="G5479" i="2"/>
  <c r="H5478" i="2"/>
  <c r="G5478" i="2"/>
  <c r="H5477" i="2"/>
  <c r="G5477" i="2"/>
  <c r="H5476" i="2"/>
  <c r="G5476" i="2"/>
  <c r="H5475" i="2"/>
  <c r="G5475" i="2"/>
  <c r="H5474" i="2"/>
  <c r="G5474" i="2"/>
  <c r="H5473" i="2"/>
  <c r="G5473" i="2"/>
  <c r="H5472" i="2"/>
  <c r="G5472" i="2"/>
  <c r="H5471" i="2"/>
  <c r="G5471" i="2"/>
  <c r="H5470" i="2"/>
  <c r="G5470" i="2"/>
  <c r="H5469" i="2"/>
  <c r="G5469" i="2"/>
  <c r="H5468" i="2"/>
  <c r="G5468" i="2"/>
  <c r="H5467" i="2"/>
  <c r="G5467" i="2"/>
  <c r="H5466" i="2"/>
  <c r="G5466" i="2"/>
  <c r="H5465" i="2"/>
  <c r="G5465" i="2"/>
  <c r="H5464" i="2"/>
  <c r="G5464" i="2"/>
  <c r="H5463" i="2"/>
  <c r="G5463" i="2"/>
  <c r="H5462" i="2"/>
  <c r="G5462" i="2"/>
  <c r="H5461" i="2"/>
  <c r="G5461" i="2"/>
  <c r="H5460" i="2"/>
  <c r="G5460" i="2"/>
  <c r="H5459" i="2"/>
  <c r="G5459" i="2"/>
  <c r="H5458" i="2"/>
  <c r="G5458" i="2"/>
  <c r="H5457" i="2"/>
  <c r="G5457" i="2"/>
  <c r="H5456" i="2"/>
  <c r="G5456" i="2"/>
  <c r="H5455" i="2"/>
  <c r="G5455" i="2"/>
  <c r="H5454" i="2"/>
  <c r="G5454" i="2"/>
  <c r="H5453" i="2"/>
  <c r="G5453" i="2"/>
  <c r="H5452" i="2"/>
  <c r="G5452" i="2"/>
  <c r="H5451" i="2"/>
  <c r="G5451" i="2"/>
  <c r="H5450" i="2"/>
  <c r="G5450" i="2"/>
  <c r="H5449" i="2"/>
  <c r="G5449" i="2"/>
  <c r="H5448" i="2"/>
  <c r="G5448" i="2"/>
  <c r="H5447" i="2"/>
  <c r="G5447" i="2"/>
  <c r="H5446" i="2"/>
  <c r="G5446" i="2"/>
  <c r="H5445" i="2"/>
  <c r="G5445" i="2"/>
  <c r="H5444" i="2"/>
  <c r="G5444" i="2"/>
  <c r="H5443" i="2"/>
  <c r="G5443" i="2"/>
  <c r="H5442" i="2"/>
  <c r="G5442" i="2"/>
  <c r="H5441" i="2"/>
  <c r="G5441" i="2"/>
  <c r="H5440" i="2"/>
  <c r="G5440" i="2"/>
  <c r="H5439" i="2"/>
  <c r="G5439" i="2"/>
  <c r="H5438" i="2"/>
  <c r="G5438" i="2"/>
  <c r="H5437" i="2"/>
  <c r="G5437" i="2"/>
  <c r="H5436" i="2"/>
  <c r="G5436" i="2"/>
  <c r="H5435" i="2"/>
  <c r="G5435" i="2"/>
  <c r="H5434" i="2"/>
  <c r="G5434" i="2"/>
  <c r="H5433" i="2"/>
  <c r="G5433" i="2"/>
  <c r="H5432" i="2"/>
  <c r="G5432" i="2"/>
  <c r="H5431" i="2"/>
  <c r="G5431" i="2"/>
  <c r="H5430" i="2"/>
  <c r="G5430" i="2"/>
  <c r="H5429" i="2"/>
  <c r="G5429" i="2"/>
  <c r="H5428" i="2"/>
  <c r="G5428" i="2"/>
  <c r="H5427" i="2"/>
  <c r="G5427" i="2"/>
  <c r="H5426" i="2"/>
  <c r="G5426" i="2"/>
  <c r="H5425" i="2"/>
  <c r="G5425" i="2"/>
  <c r="H5424" i="2"/>
  <c r="G5424" i="2"/>
  <c r="H5423" i="2"/>
  <c r="G5423" i="2"/>
  <c r="H5422" i="2"/>
  <c r="G5422" i="2"/>
  <c r="H5421" i="2"/>
  <c r="G5421" i="2"/>
  <c r="H5420" i="2"/>
  <c r="G5420" i="2"/>
  <c r="H5419" i="2"/>
  <c r="G5419" i="2"/>
  <c r="H5418" i="2"/>
  <c r="G5418" i="2"/>
  <c r="H5417" i="2"/>
  <c r="G5417" i="2"/>
  <c r="H5416" i="2"/>
  <c r="G5416" i="2"/>
  <c r="H5415" i="2"/>
  <c r="G5415" i="2"/>
  <c r="H5414" i="2"/>
  <c r="G5414" i="2"/>
  <c r="H5413" i="2"/>
  <c r="G5413" i="2"/>
  <c r="H5412" i="2"/>
  <c r="G5412" i="2"/>
  <c r="H5411" i="2"/>
  <c r="G5411" i="2"/>
  <c r="H5410" i="2"/>
  <c r="G5410" i="2"/>
  <c r="H5409" i="2"/>
  <c r="G5409" i="2"/>
  <c r="H5408" i="2"/>
  <c r="G5408" i="2"/>
  <c r="H5407" i="2"/>
  <c r="G5407" i="2"/>
  <c r="H5406" i="2"/>
  <c r="G5406" i="2"/>
  <c r="H5405" i="2"/>
  <c r="G5405" i="2"/>
  <c r="H5404" i="2"/>
  <c r="G5404" i="2"/>
  <c r="H5403" i="2"/>
  <c r="G5403" i="2"/>
  <c r="H5402" i="2"/>
  <c r="G5402" i="2"/>
  <c r="H5401" i="2"/>
  <c r="G5401" i="2"/>
  <c r="H5400" i="2"/>
  <c r="G5400" i="2"/>
  <c r="H5399" i="2"/>
  <c r="G5399" i="2"/>
  <c r="H5398" i="2"/>
  <c r="G5398" i="2"/>
  <c r="H5397" i="2"/>
  <c r="G5397" i="2"/>
  <c r="H5396" i="2"/>
  <c r="G5396" i="2"/>
  <c r="H5395" i="2"/>
  <c r="G5395" i="2"/>
  <c r="H5394" i="2"/>
  <c r="G5394" i="2"/>
  <c r="H5393" i="2"/>
  <c r="G5393" i="2"/>
  <c r="H5392" i="2"/>
  <c r="G5392" i="2"/>
  <c r="H5391" i="2"/>
  <c r="G5391" i="2"/>
  <c r="H5390" i="2"/>
  <c r="G5390" i="2"/>
  <c r="H5389" i="2"/>
  <c r="G5389" i="2"/>
  <c r="H5388" i="2"/>
  <c r="G5388" i="2"/>
  <c r="H5387" i="2"/>
  <c r="G5387" i="2"/>
  <c r="H5386" i="2"/>
  <c r="G5386" i="2"/>
  <c r="H5385" i="2"/>
  <c r="G5385" i="2"/>
  <c r="H5384" i="2"/>
  <c r="G5384" i="2"/>
  <c r="H5383" i="2"/>
  <c r="G5383" i="2"/>
  <c r="H5382" i="2"/>
  <c r="G5382" i="2"/>
  <c r="H5381" i="2"/>
  <c r="G5381" i="2"/>
  <c r="H5380" i="2"/>
  <c r="G5380" i="2"/>
  <c r="H5379" i="2"/>
  <c r="G5379" i="2"/>
  <c r="H5378" i="2"/>
  <c r="G5378" i="2"/>
  <c r="H5377" i="2"/>
  <c r="G5377" i="2"/>
  <c r="H5376" i="2"/>
  <c r="G5376" i="2"/>
  <c r="H5375" i="2"/>
  <c r="G5375" i="2"/>
  <c r="H5374" i="2"/>
  <c r="G5374" i="2"/>
  <c r="H5373" i="2"/>
  <c r="G5373" i="2"/>
  <c r="H5372" i="2"/>
  <c r="G5372" i="2"/>
  <c r="H5371" i="2"/>
  <c r="G5371" i="2"/>
  <c r="H5370" i="2"/>
  <c r="G5370" i="2"/>
  <c r="H5369" i="2"/>
  <c r="G5369" i="2"/>
  <c r="H5368" i="2"/>
  <c r="G5368" i="2"/>
  <c r="H5367" i="2"/>
  <c r="G5367" i="2"/>
  <c r="H5366" i="2"/>
  <c r="G5366" i="2"/>
  <c r="H5365" i="2"/>
  <c r="G5365" i="2"/>
  <c r="H5364" i="2"/>
  <c r="G5364" i="2"/>
  <c r="H5363" i="2"/>
  <c r="G5363" i="2"/>
  <c r="H5362" i="2"/>
  <c r="G5362" i="2"/>
  <c r="H5361" i="2"/>
  <c r="G5361" i="2"/>
  <c r="H5360" i="2"/>
  <c r="G5360" i="2"/>
  <c r="H5359" i="2"/>
  <c r="G5359" i="2"/>
  <c r="H5358" i="2"/>
  <c r="G5358" i="2"/>
  <c r="H5357" i="2"/>
  <c r="G5357" i="2"/>
  <c r="H5356" i="2"/>
  <c r="G5356" i="2"/>
  <c r="H5355" i="2"/>
  <c r="G5355" i="2"/>
  <c r="H5354" i="2"/>
  <c r="G5354" i="2"/>
  <c r="H5353" i="2"/>
  <c r="G5353" i="2"/>
  <c r="H5352" i="2"/>
  <c r="G5352" i="2"/>
  <c r="H5351" i="2"/>
  <c r="G5351" i="2"/>
  <c r="H5350" i="2"/>
  <c r="G5350" i="2"/>
  <c r="H5349" i="2"/>
  <c r="G5349" i="2"/>
  <c r="H5348" i="2"/>
  <c r="G5348" i="2"/>
  <c r="H5347" i="2"/>
  <c r="G5347" i="2"/>
  <c r="H5346" i="2"/>
  <c r="G5346" i="2"/>
  <c r="H5345" i="2"/>
  <c r="G5345" i="2"/>
  <c r="H5344" i="2"/>
  <c r="G5344" i="2"/>
  <c r="H5343" i="2"/>
  <c r="G5343" i="2"/>
  <c r="H5342" i="2"/>
  <c r="G5342" i="2"/>
  <c r="H5341" i="2"/>
  <c r="G5341" i="2"/>
  <c r="H5340" i="2"/>
  <c r="G5340" i="2"/>
  <c r="H5339" i="2"/>
  <c r="G5339" i="2"/>
  <c r="H5338" i="2"/>
  <c r="G5338" i="2"/>
  <c r="H5337" i="2"/>
  <c r="G5337" i="2"/>
  <c r="H5336" i="2"/>
  <c r="G5336" i="2"/>
  <c r="H5335" i="2"/>
  <c r="G5335" i="2"/>
  <c r="H5334" i="2"/>
  <c r="G5334" i="2"/>
  <c r="H5333" i="2"/>
  <c r="G5333" i="2"/>
  <c r="H5332" i="2"/>
  <c r="G5332" i="2"/>
  <c r="H5331" i="2"/>
  <c r="G5331" i="2"/>
  <c r="H5330" i="2"/>
  <c r="G5330" i="2"/>
  <c r="H5329" i="2"/>
  <c r="G5329" i="2"/>
  <c r="H5328" i="2"/>
  <c r="G5328" i="2"/>
  <c r="H5327" i="2"/>
  <c r="G5327" i="2"/>
  <c r="H5326" i="2"/>
  <c r="G5326" i="2"/>
  <c r="H5325" i="2"/>
  <c r="G5325" i="2"/>
  <c r="H5324" i="2"/>
  <c r="G5324" i="2"/>
  <c r="H5323" i="2"/>
  <c r="G5323" i="2"/>
  <c r="H5322" i="2"/>
  <c r="G5322" i="2"/>
  <c r="H5321" i="2"/>
  <c r="G5321" i="2"/>
  <c r="H5320" i="2"/>
  <c r="G5320" i="2"/>
  <c r="H5319" i="2"/>
  <c r="G5319" i="2"/>
  <c r="H5318" i="2"/>
  <c r="G5318" i="2"/>
  <c r="H5317" i="2"/>
  <c r="G5317" i="2"/>
  <c r="H5316" i="2"/>
  <c r="G5316" i="2"/>
  <c r="H5315" i="2"/>
  <c r="G5315" i="2"/>
  <c r="H5314" i="2"/>
  <c r="G5314" i="2"/>
  <c r="H5313" i="2"/>
  <c r="G5313" i="2"/>
  <c r="H5312" i="2"/>
  <c r="G5312" i="2"/>
  <c r="H5311" i="2"/>
  <c r="G5311" i="2"/>
  <c r="H5310" i="2"/>
  <c r="G5310" i="2"/>
  <c r="H5309" i="2"/>
  <c r="G5309" i="2"/>
  <c r="H5308" i="2"/>
  <c r="G5308" i="2"/>
  <c r="H5307" i="2"/>
  <c r="G5307" i="2"/>
  <c r="H5306" i="2"/>
  <c r="G5306" i="2"/>
  <c r="H5305" i="2"/>
  <c r="G5305" i="2"/>
  <c r="H5304" i="2"/>
  <c r="G5304" i="2"/>
  <c r="H5303" i="2"/>
  <c r="G5303" i="2"/>
  <c r="H5302" i="2"/>
  <c r="G5302" i="2"/>
  <c r="H5301" i="2"/>
  <c r="G5301" i="2"/>
  <c r="H5300" i="2"/>
  <c r="G5300" i="2"/>
  <c r="H5299" i="2"/>
  <c r="G5299" i="2"/>
  <c r="H5298" i="2"/>
  <c r="G5298" i="2"/>
  <c r="H5297" i="2"/>
  <c r="G5297" i="2"/>
  <c r="H5296" i="2"/>
  <c r="G5296" i="2"/>
  <c r="H5295" i="2"/>
  <c r="G5295" i="2"/>
  <c r="H5294" i="2"/>
  <c r="G5294" i="2"/>
  <c r="H5293" i="2"/>
  <c r="G5293" i="2"/>
  <c r="H5292" i="2"/>
  <c r="G5292" i="2"/>
  <c r="H5291" i="2"/>
  <c r="G5291" i="2"/>
  <c r="H5290" i="2"/>
  <c r="G5290" i="2"/>
  <c r="H5289" i="2"/>
  <c r="G5289" i="2"/>
  <c r="H5288" i="2"/>
  <c r="G5288" i="2"/>
  <c r="H5287" i="2"/>
  <c r="G5287" i="2"/>
  <c r="H5286" i="2"/>
  <c r="G5286" i="2"/>
  <c r="H5285" i="2"/>
  <c r="G5285" i="2"/>
  <c r="H5284" i="2"/>
  <c r="G5284" i="2"/>
  <c r="H5283" i="2"/>
  <c r="G5283" i="2"/>
  <c r="H5282" i="2"/>
  <c r="G5282" i="2"/>
  <c r="H5281" i="2"/>
  <c r="G5281" i="2"/>
  <c r="H5280" i="2"/>
  <c r="G5280" i="2"/>
  <c r="H5279" i="2"/>
  <c r="G5279" i="2"/>
  <c r="H5278" i="2"/>
  <c r="G5278" i="2"/>
  <c r="H5277" i="2"/>
  <c r="G5277" i="2"/>
  <c r="H5276" i="2"/>
  <c r="G5276" i="2"/>
  <c r="H5275" i="2"/>
  <c r="G5275" i="2"/>
  <c r="H5274" i="2"/>
  <c r="G5274" i="2"/>
  <c r="H5273" i="2"/>
  <c r="G5273" i="2"/>
  <c r="H5272" i="2"/>
  <c r="G5272" i="2"/>
  <c r="H5271" i="2"/>
  <c r="G5271" i="2"/>
  <c r="H5270" i="2"/>
  <c r="G5270" i="2"/>
  <c r="H5269" i="2"/>
  <c r="G5269" i="2"/>
  <c r="H5268" i="2"/>
  <c r="G5268" i="2"/>
  <c r="H5267" i="2"/>
  <c r="G5267" i="2"/>
  <c r="H5266" i="2"/>
  <c r="G5266" i="2"/>
  <c r="H5265" i="2"/>
  <c r="G5265" i="2"/>
  <c r="H5264" i="2"/>
  <c r="G5264" i="2"/>
  <c r="H5263" i="2"/>
  <c r="G5263" i="2"/>
  <c r="H5262" i="2"/>
  <c r="G5262" i="2"/>
  <c r="H5261" i="2"/>
  <c r="G5261" i="2"/>
  <c r="H5260" i="2"/>
  <c r="G5260" i="2"/>
  <c r="H5259" i="2"/>
  <c r="G5259" i="2"/>
  <c r="H5258" i="2"/>
  <c r="G5258" i="2"/>
  <c r="H5257" i="2"/>
  <c r="G5257" i="2"/>
  <c r="H5256" i="2"/>
  <c r="G5256" i="2"/>
  <c r="H5255" i="2"/>
  <c r="G5255" i="2"/>
  <c r="H5254" i="2"/>
  <c r="G5254" i="2"/>
  <c r="H5253" i="2"/>
  <c r="G5253" i="2"/>
  <c r="H5252" i="2"/>
  <c r="G5252" i="2"/>
  <c r="H5251" i="2"/>
  <c r="G5251" i="2"/>
  <c r="H5250" i="2"/>
  <c r="G5250" i="2"/>
  <c r="H5249" i="2"/>
  <c r="G5249" i="2"/>
  <c r="H5248" i="2"/>
  <c r="G5248" i="2"/>
  <c r="H5247" i="2"/>
  <c r="G5247" i="2"/>
  <c r="H5246" i="2"/>
  <c r="G5246" i="2"/>
  <c r="H5245" i="2"/>
  <c r="G5245" i="2"/>
  <c r="H5244" i="2"/>
  <c r="G5244" i="2"/>
  <c r="H5243" i="2"/>
  <c r="G5243" i="2"/>
  <c r="H5242" i="2"/>
  <c r="G5242" i="2"/>
  <c r="H5241" i="2"/>
  <c r="G5241" i="2"/>
  <c r="H5240" i="2"/>
  <c r="G5240" i="2"/>
  <c r="H5239" i="2"/>
  <c r="G5239" i="2"/>
  <c r="H5238" i="2"/>
  <c r="G5238" i="2"/>
  <c r="H5237" i="2"/>
  <c r="G5237" i="2"/>
  <c r="H5236" i="2"/>
  <c r="G5236" i="2"/>
  <c r="H5235" i="2"/>
  <c r="G5235" i="2"/>
  <c r="H5234" i="2"/>
  <c r="G5234" i="2"/>
  <c r="H5233" i="2"/>
  <c r="G5233" i="2"/>
  <c r="H5232" i="2"/>
  <c r="G5232" i="2"/>
  <c r="H5231" i="2"/>
  <c r="G5231" i="2"/>
  <c r="H5230" i="2"/>
  <c r="G5230" i="2"/>
  <c r="H5229" i="2"/>
  <c r="G5229" i="2"/>
  <c r="H5228" i="2"/>
  <c r="G5228" i="2"/>
  <c r="H5227" i="2"/>
  <c r="G5227" i="2"/>
  <c r="H5226" i="2"/>
  <c r="G5226" i="2"/>
  <c r="H5225" i="2"/>
  <c r="G5225" i="2"/>
  <c r="H5224" i="2"/>
  <c r="G5224" i="2"/>
  <c r="H5223" i="2"/>
  <c r="G5223" i="2"/>
  <c r="H5222" i="2"/>
  <c r="G5222" i="2"/>
  <c r="H5221" i="2"/>
  <c r="G5221" i="2"/>
  <c r="H5220" i="2"/>
  <c r="G5220" i="2"/>
  <c r="H5219" i="2"/>
  <c r="G5219" i="2"/>
  <c r="H5218" i="2"/>
  <c r="G5218" i="2"/>
  <c r="H5217" i="2"/>
  <c r="G5217" i="2"/>
  <c r="H5216" i="2"/>
  <c r="G5216" i="2"/>
  <c r="H5215" i="2"/>
  <c r="G5215" i="2"/>
  <c r="H5214" i="2"/>
  <c r="G5214" i="2"/>
  <c r="H5213" i="2"/>
  <c r="G5213" i="2"/>
  <c r="H5212" i="2"/>
  <c r="G5212" i="2"/>
  <c r="H5211" i="2"/>
  <c r="G5211" i="2"/>
  <c r="H5210" i="2"/>
  <c r="G5210" i="2"/>
  <c r="H5209" i="2"/>
  <c r="G5209" i="2"/>
  <c r="H5208" i="2"/>
  <c r="G5208" i="2"/>
  <c r="H5207" i="2"/>
  <c r="G5207" i="2"/>
  <c r="H5206" i="2"/>
  <c r="G5206" i="2"/>
  <c r="H5205" i="2"/>
  <c r="G5205" i="2"/>
  <c r="H5204" i="2"/>
  <c r="G5204" i="2"/>
  <c r="H5203" i="2"/>
  <c r="G5203" i="2"/>
  <c r="H5202" i="2"/>
  <c r="G5202" i="2"/>
  <c r="H5201" i="2"/>
  <c r="G5201" i="2"/>
  <c r="H5200" i="2"/>
  <c r="G5200" i="2"/>
  <c r="H5199" i="2"/>
  <c r="G5199" i="2"/>
  <c r="H5198" i="2"/>
  <c r="G5198" i="2"/>
  <c r="H5197" i="2"/>
  <c r="G5197" i="2"/>
  <c r="H5196" i="2"/>
  <c r="G5196" i="2"/>
  <c r="H5195" i="2"/>
  <c r="G5195" i="2"/>
  <c r="H5194" i="2"/>
  <c r="G5194" i="2"/>
  <c r="H5193" i="2"/>
  <c r="G5193" i="2"/>
  <c r="H5192" i="2"/>
  <c r="G5192" i="2"/>
  <c r="H5191" i="2"/>
  <c r="G5191" i="2"/>
  <c r="H5190" i="2"/>
  <c r="G5190" i="2"/>
  <c r="H5189" i="2"/>
  <c r="G5189" i="2"/>
  <c r="H5188" i="2"/>
  <c r="G5188" i="2"/>
  <c r="H5187" i="2"/>
  <c r="G5187" i="2"/>
  <c r="H5186" i="2"/>
  <c r="G5186" i="2"/>
  <c r="H5185" i="2"/>
  <c r="G5185" i="2"/>
  <c r="H5184" i="2"/>
  <c r="G5184" i="2"/>
  <c r="H5183" i="2"/>
  <c r="G5183" i="2"/>
  <c r="H5182" i="2"/>
  <c r="G5182" i="2"/>
  <c r="H5181" i="2"/>
  <c r="G5181" i="2"/>
  <c r="H5180" i="2"/>
  <c r="G5180" i="2"/>
  <c r="H5179" i="2"/>
  <c r="G5179" i="2"/>
  <c r="H5178" i="2"/>
  <c r="G5178" i="2"/>
  <c r="H5177" i="2"/>
  <c r="G5177" i="2"/>
  <c r="H5176" i="2"/>
  <c r="G5176" i="2"/>
  <c r="H5175" i="2"/>
  <c r="G5175" i="2"/>
  <c r="H5174" i="2"/>
  <c r="G5174" i="2"/>
  <c r="H5173" i="2"/>
  <c r="G5173" i="2"/>
  <c r="H5172" i="2"/>
  <c r="G5172" i="2"/>
  <c r="H5171" i="2"/>
  <c r="G5171" i="2"/>
  <c r="H5170" i="2"/>
  <c r="G5170" i="2"/>
  <c r="H5169" i="2"/>
  <c r="G5169" i="2"/>
  <c r="H5168" i="2"/>
  <c r="G5168" i="2"/>
  <c r="H5167" i="2"/>
  <c r="G5167" i="2"/>
  <c r="H5166" i="2"/>
  <c r="G5166" i="2"/>
  <c r="H5165" i="2"/>
  <c r="G5165" i="2"/>
  <c r="H5164" i="2"/>
  <c r="G5164" i="2"/>
  <c r="H5163" i="2"/>
  <c r="G5163" i="2"/>
  <c r="H5162" i="2"/>
  <c r="G5162" i="2"/>
  <c r="H5161" i="2"/>
  <c r="G5161" i="2"/>
  <c r="H5160" i="2"/>
  <c r="G5160" i="2"/>
  <c r="H5159" i="2"/>
  <c r="G5159" i="2"/>
  <c r="H5158" i="2"/>
  <c r="G5158" i="2"/>
  <c r="H5157" i="2"/>
  <c r="G5157" i="2"/>
  <c r="H5156" i="2"/>
  <c r="G5156" i="2"/>
  <c r="H5155" i="2"/>
  <c r="G5155" i="2"/>
  <c r="H5154" i="2"/>
  <c r="G5154" i="2"/>
  <c r="H5153" i="2"/>
  <c r="G5153" i="2"/>
  <c r="H5152" i="2"/>
  <c r="G5152" i="2"/>
  <c r="H5151" i="2"/>
  <c r="G5151" i="2"/>
  <c r="H5150" i="2"/>
  <c r="G5150" i="2"/>
  <c r="H5149" i="2"/>
  <c r="G5149" i="2"/>
  <c r="H5148" i="2"/>
  <c r="G5148" i="2"/>
  <c r="H5147" i="2"/>
  <c r="G5147" i="2"/>
  <c r="H5146" i="2"/>
  <c r="G5146" i="2"/>
  <c r="H5145" i="2"/>
  <c r="G5145" i="2"/>
  <c r="H5144" i="2"/>
  <c r="G5144" i="2"/>
  <c r="H5143" i="2"/>
  <c r="G5143" i="2"/>
  <c r="H5142" i="2"/>
  <c r="G5142" i="2"/>
  <c r="H5141" i="2"/>
  <c r="G5141" i="2"/>
  <c r="H5140" i="2"/>
  <c r="G5140" i="2"/>
  <c r="H5139" i="2"/>
  <c r="G5139" i="2"/>
  <c r="H5138" i="2"/>
  <c r="G5138" i="2"/>
  <c r="H5137" i="2"/>
  <c r="G5137" i="2"/>
  <c r="H5136" i="2"/>
  <c r="G5136" i="2"/>
  <c r="H5135" i="2"/>
  <c r="G5135" i="2"/>
  <c r="H5134" i="2"/>
  <c r="G5134" i="2"/>
  <c r="H5133" i="2"/>
  <c r="G5133" i="2"/>
  <c r="H5132" i="2"/>
  <c r="G5132" i="2"/>
  <c r="H5131" i="2"/>
  <c r="G5131" i="2"/>
  <c r="H5130" i="2"/>
  <c r="G5130" i="2"/>
  <c r="H5129" i="2"/>
  <c r="G5129" i="2"/>
  <c r="H5128" i="2"/>
  <c r="G5128" i="2"/>
  <c r="H5127" i="2"/>
  <c r="G5127" i="2"/>
  <c r="H5126" i="2"/>
  <c r="G5126" i="2"/>
  <c r="H5125" i="2"/>
  <c r="G5125" i="2"/>
  <c r="H5124" i="2"/>
  <c r="G5124" i="2"/>
  <c r="H5123" i="2"/>
  <c r="G5123" i="2"/>
  <c r="H5122" i="2"/>
  <c r="G5122" i="2"/>
  <c r="H5121" i="2"/>
  <c r="G5121" i="2"/>
  <c r="H5120" i="2"/>
  <c r="G5120" i="2"/>
  <c r="H5119" i="2"/>
  <c r="G5119" i="2"/>
  <c r="H5118" i="2"/>
  <c r="G5118" i="2"/>
  <c r="H5117" i="2"/>
  <c r="G5117" i="2"/>
  <c r="H5116" i="2"/>
  <c r="G5116" i="2"/>
  <c r="H5115" i="2"/>
  <c r="G5115" i="2"/>
  <c r="H5114" i="2"/>
  <c r="G5114" i="2"/>
  <c r="H5113" i="2"/>
  <c r="G5113" i="2"/>
  <c r="H5112" i="2"/>
  <c r="G5112" i="2"/>
  <c r="H5111" i="2"/>
  <c r="G5111" i="2"/>
  <c r="H5110" i="2"/>
  <c r="G5110" i="2"/>
  <c r="H5109" i="2"/>
  <c r="G5109" i="2"/>
  <c r="H5108" i="2"/>
  <c r="G5108" i="2"/>
  <c r="H5107" i="2"/>
  <c r="G5107" i="2"/>
  <c r="H5106" i="2"/>
  <c r="G5106" i="2"/>
  <c r="H5105" i="2"/>
  <c r="G5105" i="2"/>
  <c r="H5104" i="2"/>
  <c r="G5104" i="2"/>
  <c r="H5103" i="2"/>
  <c r="G5103" i="2"/>
  <c r="H5102" i="2"/>
  <c r="G5102" i="2"/>
  <c r="H5101" i="2"/>
  <c r="G5101" i="2"/>
  <c r="H5100" i="2"/>
  <c r="G5100" i="2"/>
  <c r="H5099" i="2"/>
  <c r="G5099" i="2"/>
  <c r="H5098" i="2"/>
  <c r="G5098" i="2"/>
  <c r="H5097" i="2"/>
  <c r="G5097" i="2"/>
  <c r="H5096" i="2"/>
  <c r="G5096" i="2"/>
  <c r="H5095" i="2"/>
  <c r="G5095" i="2"/>
  <c r="H5094" i="2"/>
  <c r="G5094" i="2"/>
  <c r="H5093" i="2"/>
  <c r="G5093" i="2"/>
  <c r="H5092" i="2"/>
  <c r="G5092" i="2"/>
  <c r="H5091" i="2"/>
  <c r="G5091" i="2"/>
  <c r="H5090" i="2"/>
  <c r="G5090" i="2"/>
  <c r="H5089" i="2"/>
  <c r="G5089" i="2"/>
  <c r="H5088" i="2"/>
  <c r="G5088" i="2"/>
  <c r="H5087" i="2"/>
  <c r="G5087" i="2"/>
  <c r="H5086" i="2"/>
  <c r="G5086" i="2"/>
  <c r="H5085" i="2"/>
  <c r="G5085" i="2"/>
  <c r="H5084" i="2"/>
  <c r="G5084" i="2"/>
  <c r="H5083" i="2"/>
  <c r="G5083" i="2"/>
  <c r="H5082" i="2"/>
  <c r="G5082" i="2"/>
  <c r="H5081" i="2"/>
  <c r="G5081" i="2"/>
  <c r="H5080" i="2"/>
  <c r="G5080" i="2"/>
  <c r="H5079" i="2"/>
  <c r="G5079" i="2"/>
  <c r="H5078" i="2"/>
  <c r="G5078" i="2"/>
  <c r="H5077" i="2"/>
  <c r="G5077" i="2"/>
  <c r="H5076" i="2"/>
  <c r="G5076" i="2"/>
  <c r="H5075" i="2"/>
  <c r="G5075" i="2"/>
  <c r="H5074" i="2"/>
  <c r="G5074" i="2"/>
  <c r="H5073" i="2"/>
  <c r="G5073" i="2"/>
  <c r="H5072" i="2"/>
  <c r="G5072" i="2"/>
  <c r="H5071" i="2"/>
  <c r="G5071" i="2"/>
  <c r="H5070" i="2"/>
  <c r="G5070" i="2"/>
  <c r="H5069" i="2"/>
  <c r="G5069" i="2"/>
  <c r="H5068" i="2"/>
  <c r="G5068" i="2"/>
  <c r="H5067" i="2"/>
  <c r="G5067" i="2"/>
  <c r="H5066" i="2"/>
  <c r="G5066" i="2"/>
  <c r="H5065" i="2"/>
  <c r="G5065" i="2"/>
  <c r="H5064" i="2"/>
  <c r="G5064" i="2"/>
  <c r="H5063" i="2"/>
  <c r="G5063" i="2"/>
  <c r="H5062" i="2"/>
  <c r="G5062" i="2"/>
  <c r="H5061" i="2"/>
  <c r="G5061" i="2"/>
  <c r="H5060" i="2"/>
  <c r="G5060" i="2"/>
  <c r="H5059" i="2"/>
  <c r="G5059" i="2"/>
  <c r="H5058" i="2"/>
  <c r="G5058" i="2"/>
  <c r="H5057" i="2"/>
  <c r="G5057" i="2"/>
  <c r="H5056" i="2"/>
  <c r="G5056" i="2"/>
  <c r="H5055" i="2"/>
  <c r="G5055" i="2"/>
  <c r="H5054" i="2"/>
  <c r="G5054" i="2"/>
  <c r="H5053" i="2"/>
  <c r="G5053" i="2"/>
  <c r="H5052" i="2"/>
  <c r="G5052" i="2"/>
  <c r="H5051" i="2"/>
  <c r="G5051" i="2"/>
  <c r="H5050" i="2"/>
  <c r="G5050" i="2"/>
  <c r="H5049" i="2"/>
  <c r="G5049" i="2"/>
  <c r="H5048" i="2"/>
  <c r="G5048" i="2"/>
  <c r="H5047" i="2"/>
  <c r="G5047" i="2"/>
  <c r="H5046" i="2"/>
  <c r="G5046" i="2"/>
  <c r="H5045" i="2"/>
  <c r="G5045" i="2"/>
  <c r="H5044" i="2"/>
  <c r="G5044" i="2"/>
  <c r="H5043" i="2"/>
  <c r="G5043" i="2"/>
  <c r="H5042" i="2"/>
  <c r="G5042" i="2"/>
  <c r="H5041" i="2"/>
  <c r="G5041" i="2"/>
  <c r="H5040" i="2"/>
  <c r="G5040" i="2"/>
  <c r="H5039" i="2"/>
  <c r="G5039" i="2"/>
  <c r="H5038" i="2"/>
  <c r="G5038" i="2"/>
  <c r="H5037" i="2"/>
  <c r="G5037" i="2"/>
  <c r="H5036" i="2"/>
  <c r="G5036" i="2"/>
  <c r="H5035" i="2"/>
  <c r="G5035" i="2"/>
  <c r="H5034" i="2"/>
  <c r="G5034" i="2"/>
  <c r="H5033" i="2"/>
  <c r="G5033" i="2"/>
  <c r="H5032" i="2"/>
  <c r="G5032" i="2"/>
  <c r="H5031" i="2"/>
  <c r="G5031" i="2"/>
  <c r="H5030" i="2"/>
  <c r="G5030" i="2"/>
  <c r="H5029" i="2"/>
  <c r="G5029" i="2"/>
  <c r="H5028" i="2"/>
  <c r="G5028" i="2"/>
  <c r="H5027" i="2"/>
  <c r="G5027" i="2"/>
  <c r="H5026" i="2"/>
  <c r="G5026" i="2"/>
  <c r="H5025" i="2"/>
  <c r="G5025" i="2"/>
  <c r="H5024" i="2"/>
  <c r="G5024" i="2"/>
  <c r="H5023" i="2"/>
  <c r="G5023" i="2"/>
  <c r="H5022" i="2"/>
  <c r="G5022" i="2"/>
  <c r="H5021" i="2"/>
  <c r="G5021" i="2"/>
  <c r="H5020" i="2"/>
  <c r="G5020" i="2"/>
  <c r="H5019" i="2"/>
  <c r="G5019" i="2"/>
  <c r="H5018" i="2"/>
  <c r="G5018" i="2"/>
  <c r="H5017" i="2"/>
  <c r="G5017" i="2"/>
  <c r="H5016" i="2"/>
  <c r="G5016" i="2"/>
  <c r="H5015" i="2"/>
  <c r="G5015" i="2"/>
  <c r="H5014" i="2"/>
  <c r="G5014" i="2"/>
  <c r="H5013" i="2"/>
  <c r="G5013" i="2"/>
  <c r="H5012" i="2"/>
  <c r="G5012" i="2"/>
  <c r="H5011" i="2"/>
  <c r="G5011" i="2"/>
  <c r="H5010" i="2"/>
  <c r="G5010" i="2"/>
  <c r="H5009" i="2"/>
  <c r="G5009" i="2"/>
  <c r="H5008" i="2"/>
  <c r="G5008" i="2"/>
  <c r="H5007" i="2"/>
  <c r="G5007" i="2"/>
  <c r="H5006" i="2"/>
  <c r="G5006" i="2"/>
  <c r="H5005" i="2"/>
  <c r="G5005" i="2"/>
  <c r="H5004" i="2"/>
  <c r="G5004" i="2"/>
  <c r="H5003" i="2"/>
  <c r="G5003" i="2"/>
  <c r="H5002" i="2"/>
  <c r="G5002" i="2"/>
  <c r="H5001" i="2"/>
  <c r="G5001" i="2"/>
  <c r="H5000" i="2"/>
  <c r="G5000" i="2"/>
  <c r="H4999" i="2"/>
  <c r="G4999" i="2"/>
  <c r="H4998" i="2"/>
  <c r="G4998" i="2"/>
  <c r="H4997" i="2"/>
  <c r="G4997" i="2"/>
  <c r="H4996" i="2"/>
  <c r="G4996" i="2"/>
  <c r="H4995" i="2"/>
  <c r="G4995" i="2"/>
  <c r="H4994" i="2"/>
  <c r="G4994" i="2"/>
  <c r="H4993" i="2"/>
  <c r="G4993" i="2"/>
  <c r="H4992" i="2"/>
  <c r="G4992" i="2"/>
  <c r="H4991" i="2"/>
  <c r="G4991" i="2"/>
  <c r="H4990" i="2"/>
  <c r="G4990" i="2"/>
  <c r="H4989" i="2"/>
  <c r="G4989" i="2"/>
  <c r="H4988" i="2"/>
  <c r="G4988" i="2"/>
  <c r="H4987" i="2"/>
  <c r="G4987" i="2"/>
  <c r="H4986" i="2"/>
  <c r="G4986" i="2"/>
  <c r="H4985" i="2"/>
  <c r="G4985" i="2"/>
  <c r="H4984" i="2"/>
  <c r="G4984" i="2"/>
  <c r="H4983" i="2"/>
  <c r="G4983" i="2"/>
  <c r="H4982" i="2"/>
  <c r="G4982" i="2"/>
  <c r="H4981" i="2"/>
  <c r="G4981" i="2"/>
  <c r="H4980" i="2"/>
  <c r="G4980" i="2"/>
  <c r="H4979" i="2"/>
  <c r="G4979" i="2"/>
  <c r="H4978" i="2"/>
  <c r="G4978" i="2"/>
  <c r="H4977" i="2"/>
  <c r="G4977" i="2"/>
  <c r="H4976" i="2"/>
  <c r="G4976" i="2"/>
  <c r="H4975" i="2"/>
  <c r="G4975" i="2"/>
  <c r="H4974" i="2"/>
  <c r="G4974" i="2"/>
  <c r="H4973" i="2"/>
  <c r="G4973" i="2"/>
  <c r="H4972" i="2"/>
  <c r="G4972" i="2"/>
  <c r="H4971" i="2"/>
  <c r="G4971" i="2"/>
  <c r="H4970" i="2"/>
  <c r="G4970" i="2"/>
  <c r="H4969" i="2"/>
  <c r="G4969" i="2"/>
  <c r="H4968" i="2"/>
  <c r="G4968" i="2"/>
  <c r="H4967" i="2"/>
  <c r="G4967" i="2"/>
  <c r="H4966" i="2"/>
  <c r="G4966" i="2"/>
  <c r="H4965" i="2"/>
  <c r="G4965" i="2"/>
  <c r="H4964" i="2"/>
  <c r="G4964" i="2"/>
  <c r="H4963" i="2"/>
  <c r="G4963" i="2"/>
  <c r="H4962" i="2"/>
  <c r="G4962" i="2"/>
  <c r="H4961" i="2"/>
  <c r="G4961" i="2"/>
  <c r="H4960" i="2"/>
  <c r="G4960" i="2"/>
  <c r="H4959" i="2"/>
  <c r="G4959" i="2"/>
  <c r="H4958" i="2"/>
  <c r="G4958" i="2"/>
  <c r="H4957" i="2"/>
  <c r="G4957" i="2"/>
  <c r="H4956" i="2"/>
  <c r="G4956" i="2"/>
  <c r="H4955" i="2"/>
  <c r="G4955" i="2"/>
  <c r="H4954" i="2"/>
  <c r="G4954" i="2"/>
  <c r="H4953" i="2"/>
  <c r="G4953" i="2"/>
  <c r="H4952" i="2"/>
  <c r="G4952" i="2"/>
  <c r="H4951" i="2"/>
  <c r="G4951" i="2"/>
  <c r="H4950" i="2"/>
  <c r="G4950" i="2"/>
  <c r="H4949" i="2"/>
  <c r="G4949" i="2"/>
  <c r="H4948" i="2"/>
  <c r="G4948" i="2"/>
  <c r="H4947" i="2"/>
  <c r="G4947" i="2"/>
  <c r="H4946" i="2"/>
  <c r="G4946" i="2"/>
  <c r="H4945" i="2"/>
  <c r="G4945" i="2"/>
  <c r="H4944" i="2"/>
  <c r="G4944" i="2"/>
  <c r="H4943" i="2"/>
  <c r="G4943" i="2"/>
  <c r="H4942" i="2"/>
  <c r="G4942" i="2"/>
  <c r="H4941" i="2"/>
  <c r="G4941" i="2"/>
  <c r="H4940" i="2"/>
  <c r="G4940" i="2"/>
  <c r="H4939" i="2"/>
  <c r="G4939" i="2"/>
  <c r="H4938" i="2"/>
  <c r="G4938" i="2"/>
  <c r="H4937" i="2"/>
  <c r="G4937" i="2"/>
  <c r="H4936" i="2"/>
  <c r="G4936" i="2"/>
  <c r="H4935" i="2"/>
  <c r="G4935" i="2"/>
  <c r="H4934" i="2"/>
  <c r="G4934" i="2"/>
  <c r="H4933" i="2"/>
  <c r="G4933" i="2"/>
  <c r="H4932" i="2"/>
  <c r="G4932" i="2"/>
  <c r="H4931" i="2"/>
  <c r="G4931" i="2"/>
  <c r="H4930" i="2"/>
  <c r="G4930" i="2"/>
  <c r="H4929" i="2"/>
  <c r="G4929" i="2"/>
  <c r="H4928" i="2"/>
  <c r="G4928" i="2"/>
  <c r="H4927" i="2"/>
  <c r="G4927" i="2"/>
  <c r="H4926" i="2"/>
  <c r="G4926" i="2"/>
  <c r="H4925" i="2"/>
  <c r="G4925" i="2"/>
  <c r="H4924" i="2"/>
  <c r="G4924" i="2"/>
  <c r="H4923" i="2"/>
  <c r="G4923" i="2"/>
  <c r="H4922" i="2"/>
  <c r="G4922" i="2"/>
  <c r="H4921" i="2"/>
  <c r="G4921" i="2"/>
  <c r="H4920" i="2"/>
  <c r="G4920" i="2"/>
  <c r="H4919" i="2"/>
  <c r="G4919" i="2"/>
  <c r="H4918" i="2"/>
  <c r="G4918" i="2"/>
  <c r="H4917" i="2"/>
  <c r="G4917" i="2"/>
  <c r="H4916" i="2"/>
  <c r="G4916" i="2"/>
  <c r="H4915" i="2"/>
  <c r="G4915" i="2"/>
  <c r="H4914" i="2"/>
  <c r="G4914" i="2"/>
  <c r="H4913" i="2"/>
  <c r="G4913" i="2"/>
  <c r="H4912" i="2"/>
  <c r="G4912" i="2"/>
  <c r="H4911" i="2"/>
  <c r="G4911" i="2"/>
  <c r="H4910" i="2"/>
  <c r="G4910" i="2"/>
  <c r="H4909" i="2"/>
  <c r="G4909" i="2"/>
  <c r="H4908" i="2"/>
  <c r="G4908" i="2"/>
  <c r="H4907" i="2"/>
  <c r="G4907" i="2"/>
  <c r="H4906" i="2"/>
  <c r="G4906" i="2"/>
  <c r="H4905" i="2"/>
  <c r="G4905" i="2"/>
  <c r="H4904" i="2"/>
  <c r="G4904" i="2"/>
  <c r="H4903" i="2"/>
  <c r="G4903" i="2"/>
  <c r="H4902" i="2"/>
  <c r="G4902" i="2"/>
  <c r="H4901" i="2"/>
  <c r="G4901" i="2"/>
  <c r="H4900" i="2"/>
  <c r="G4900" i="2"/>
  <c r="H4899" i="2"/>
  <c r="G4899" i="2"/>
  <c r="H4898" i="2"/>
  <c r="G4898" i="2"/>
  <c r="H4897" i="2"/>
  <c r="G4897" i="2"/>
  <c r="H4896" i="2"/>
  <c r="G4896" i="2"/>
  <c r="H4895" i="2"/>
  <c r="G4895" i="2"/>
  <c r="H4894" i="2"/>
  <c r="G4894" i="2"/>
  <c r="H4893" i="2"/>
  <c r="G4893" i="2"/>
  <c r="H4892" i="2"/>
  <c r="G4892" i="2"/>
  <c r="H4891" i="2"/>
  <c r="G4891" i="2"/>
  <c r="H4890" i="2"/>
  <c r="G4890" i="2"/>
  <c r="H4889" i="2"/>
  <c r="G4889" i="2"/>
  <c r="H4888" i="2"/>
  <c r="G4888" i="2"/>
  <c r="H4887" i="2"/>
  <c r="G4887" i="2"/>
  <c r="H4886" i="2"/>
  <c r="G4886" i="2"/>
  <c r="H4885" i="2"/>
  <c r="G4885" i="2"/>
  <c r="H4884" i="2"/>
  <c r="G4884" i="2"/>
  <c r="H4883" i="2"/>
  <c r="G4883" i="2"/>
  <c r="H4882" i="2"/>
  <c r="G4882" i="2"/>
  <c r="H4881" i="2"/>
  <c r="G4881" i="2"/>
  <c r="H4880" i="2"/>
  <c r="G4880" i="2"/>
  <c r="H4879" i="2"/>
  <c r="G4879" i="2"/>
  <c r="H4878" i="2"/>
  <c r="G4878" i="2"/>
  <c r="H4877" i="2"/>
  <c r="G4877" i="2"/>
  <c r="H4876" i="2"/>
  <c r="G4876" i="2"/>
  <c r="H4875" i="2"/>
  <c r="G4875" i="2"/>
  <c r="H4874" i="2"/>
  <c r="G4874" i="2"/>
  <c r="H4873" i="2"/>
  <c r="G4873" i="2"/>
  <c r="H4872" i="2"/>
  <c r="G4872" i="2"/>
  <c r="H4871" i="2"/>
  <c r="G4871" i="2"/>
  <c r="H4870" i="2"/>
  <c r="G4870" i="2"/>
  <c r="H4869" i="2"/>
  <c r="G4869" i="2"/>
  <c r="H4868" i="2"/>
  <c r="G4868" i="2"/>
  <c r="H4867" i="2"/>
  <c r="G4867" i="2"/>
  <c r="H4866" i="2"/>
  <c r="G4866" i="2"/>
  <c r="H4865" i="2"/>
  <c r="G4865" i="2"/>
  <c r="H4864" i="2"/>
  <c r="G4864" i="2"/>
  <c r="H4863" i="2"/>
  <c r="G4863" i="2"/>
  <c r="H4862" i="2"/>
  <c r="G4862" i="2"/>
  <c r="H4861" i="2"/>
  <c r="G4861" i="2"/>
  <c r="H4860" i="2"/>
  <c r="G4860" i="2"/>
  <c r="H4859" i="2"/>
  <c r="G4859" i="2"/>
  <c r="H4858" i="2"/>
  <c r="G4858" i="2"/>
  <c r="H4857" i="2"/>
  <c r="G4857" i="2"/>
  <c r="H4856" i="2"/>
  <c r="G4856" i="2"/>
  <c r="H4855" i="2"/>
  <c r="G4855" i="2"/>
  <c r="H4854" i="2"/>
  <c r="G4854" i="2"/>
  <c r="H4853" i="2"/>
  <c r="G4853" i="2"/>
  <c r="H4852" i="2"/>
  <c r="G4852" i="2"/>
  <c r="H4851" i="2"/>
  <c r="G4851" i="2"/>
  <c r="H4850" i="2"/>
  <c r="G4850" i="2"/>
  <c r="H4849" i="2"/>
  <c r="G4849" i="2"/>
  <c r="H4848" i="2"/>
  <c r="G4848" i="2"/>
  <c r="H4847" i="2"/>
  <c r="G4847" i="2"/>
  <c r="H4846" i="2"/>
  <c r="G4846" i="2"/>
  <c r="H4845" i="2"/>
  <c r="G4845" i="2"/>
  <c r="H4844" i="2"/>
  <c r="G4844" i="2"/>
  <c r="H4843" i="2"/>
  <c r="G4843" i="2"/>
  <c r="H4842" i="2"/>
  <c r="G4842" i="2"/>
  <c r="H4841" i="2"/>
  <c r="G4841" i="2"/>
  <c r="H4840" i="2"/>
  <c r="G4840" i="2"/>
  <c r="H4839" i="2"/>
  <c r="G4839" i="2"/>
  <c r="H4838" i="2"/>
  <c r="G4838" i="2"/>
  <c r="H4837" i="2"/>
  <c r="G4837" i="2"/>
  <c r="H4836" i="2"/>
  <c r="G4836" i="2"/>
  <c r="H4835" i="2"/>
  <c r="G4835" i="2"/>
  <c r="H4834" i="2"/>
  <c r="G4834" i="2"/>
  <c r="H4833" i="2"/>
  <c r="G4833" i="2"/>
  <c r="H4832" i="2"/>
  <c r="G4832" i="2"/>
  <c r="H4831" i="2"/>
  <c r="G4831" i="2"/>
  <c r="H4830" i="2"/>
  <c r="G4830" i="2"/>
  <c r="H4829" i="2"/>
  <c r="G4829" i="2"/>
  <c r="H4828" i="2"/>
  <c r="G4828" i="2"/>
  <c r="H4827" i="2"/>
  <c r="G4827" i="2"/>
  <c r="H4826" i="2"/>
  <c r="G4826" i="2"/>
  <c r="H4825" i="2"/>
  <c r="G4825" i="2"/>
  <c r="H4824" i="2"/>
  <c r="G4824" i="2"/>
  <c r="H4823" i="2"/>
  <c r="G4823" i="2"/>
  <c r="H4822" i="2"/>
  <c r="G4822" i="2"/>
  <c r="H4821" i="2"/>
  <c r="G4821" i="2"/>
  <c r="H4820" i="2"/>
  <c r="G4820" i="2"/>
  <c r="H4819" i="2"/>
  <c r="G4819" i="2"/>
  <c r="H4818" i="2"/>
  <c r="G4818" i="2"/>
  <c r="H4817" i="2"/>
  <c r="G4817" i="2"/>
  <c r="H4816" i="2"/>
  <c r="G4816" i="2"/>
  <c r="H4815" i="2"/>
  <c r="G4815" i="2"/>
  <c r="H4814" i="2"/>
  <c r="G4814" i="2"/>
  <c r="H4813" i="2"/>
  <c r="G4813" i="2"/>
  <c r="H4812" i="2"/>
  <c r="G4812" i="2"/>
  <c r="H4811" i="2"/>
  <c r="G4811" i="2"/>
  <c r="H4810" i="2"/>
  <c r="G4810" i="2"/>
  <c r="H4809" i="2"/>
  <c r="G4809" i="2"/>
  <c r="H4808" i="2"/>
  <c r="G4808" i="2"/>
  <c r="H4807" i="2"/>
  <c r="G4807" i="2"/>
  <c r="H4806" i="2"/>
  <c r="G4806" i="2"/>
  <c r="H4805" i="2"/>
  <c r="G4805" i="2"/>
  <c r="H4804" i="2"/>
  <c r="G4804" i="2"/>
  <c r="H4803" i="2"/>
  <c r="G4803" i="2"/>
  <c r="H4802" i="2"/>
  <c r="G4802" i="2"/>
  <c r="H4801" i="2"/>
  <c r="G4801" i="2"/>
  <c r="H4800" i="2"/>
  <c r="G4800" i="2"/>
  <c r="H4799" i="2"/>
  <c r="G4799" i="2"/>
  <c r="H4798" i="2"/>
  <c r="G4798" i="2"/>
  <c r="H4797" i="2"/>
  <c r="G4797" i="2"/>
  <c r="H4796" i="2"/>
  <c r="G4796" i="2"/>
  <c r="H4795" i="2"/>
  <c r="G4795" i="2"/>
  <c r="H4794" i="2"/>
  <c r="G4794" i="2"/>
  <c r="H4793" i="2"/>
  <c r="G4793" i="2"/>
  <c r="H4792" i="2"/>
  <c r="G4792" i="2"/>
  <c r="H4791" i="2"/>
  <c r="G4791" i="2"/>
  <c r="H4790" i="2"/>
  <c r="G4790" i="2"/>
  <c r="H4789" i="2"/>
  <c r="G4789" i="2"/>
  <c r="H4788" i="2"/>
  <c r="G4788" i="2"/>
  <c r="H4787" i="2"/>
  <c r="G4787" i="2"/>
  <c r="H4786" i="2"/>
  <c r="G4786" i="2"/>
  <c r="H4785" i="2"/>
  <c r="G4785" i="2"/>
  <c r="H4784" i="2"/>
  <c r="G4784" i="2"/>
  <c r="H4783" i="2"/>
  <c r="G4783" i="2"/>
  <c r="H4782" i="2"/>
  <c r="G4782" i="2"/>
  <c r="H4781" i="2"/>
  <c r="G4781" i="2"/>
  <c r="H4780" i="2"/>
  <c r="G4780" i="2"/>
  <c r="H4779" i="2"/>
  <c r="G4779" i="2"/>
  <c r="H4778" i="2"/>
  <c r="G4778" i="2"/>
  <c r="H4777" i="2"/>
  <c r="G4777" i="2"/>
  <c r="H4776" i="2"/>
  <c r="G4776" i="2"/>
  <c r="H4775" i="2"/>
  <c r="G4775" i="2"/>
  <c r="H4774" i="2"/>
  <c r="G4774" i="2"/>
  <c r="H4773" i="2"/>
  <c r="G4773" i="2"/>
  <c r="H4772" i="2"/>
  <c r="G4772" i="2"/>
  <c r="H4771" i="2"/>
  <c r="G4771" i="2"/>
  <c r="H4770" i="2"/>
  <c r="G4770" i="2"/>
  <c r="H4769" i="2"/>
  <c r="G4769" i="2"/>
  <c r="H4768" i="2"/>
  <c r="G4768" i="2"/>
  <c r="H4767" i="2"/>
  <c r="G4767" i="2"/>
  <c r="H4766" i="2"/>
  <c r="G4766" i="2"/>
  <c r="H4765" i="2"/>
  <c r="G4765" i="2"/>
  <c r="H4764" i="2"/>
  <c r="G4764" i="2"/>
  <c r="H4763" i="2"/>
  <c r="G4763" i="2"/>
  <c r="H4762" i="2"/>
  <c r="G4762" i="2"/>
  <c r="H4761" i="2"/>
  <c r="G4761" i="2"/>
  <c r="H4760" i="2"/>
  <c r="G4760" i="2"/>
  <c r="H4759" i="2"/>
  <c r="G4759" i="2"/>
  <c r="H4758" i="2"/>
  <c r="G4758" i="2"/>
  <c r="H4757" i="2"/>
  <c r="G4757" i="2"/>
  <c r="H4756" i="2"/>
  <c r="G4756" i="2"/>
  <c r="H4755" i="2"/>
  <c r="G4755" i="2"/>
  <c r="H4754" i="2"/>
  <c r="G4754" i="2"/>
  <c r="H4753" i="2"/>
  <c r="G4753" i="2"/>
  <c r="H4752" i="2"/>
  <c r="G4752" i="2"/>
  <c r="H4751" i="2"/>
  <c r="G4751" i="2"/>
  <c r="H4750" i="2"/>
  <c r="G4750" i="2"/>
  <c r="H4749" i="2"/>
  <c r="G4749" i="2"/>
  <c r="H4748" i="2"/>
  <c r="G4748" i="2"/>
  <c r="H4747" i="2"/>
  <c r="G4747" i="2"/>
  <c r="H4746" i="2"/>
  <c r="G4746" i="2"/>
  <c r="H4745" i="2"/>
  <c r="G4745" i="2"/>
  <c r="H4744" i="2"/>
  <c r="G4744" i="2"/>
  <c r="H4743" i="2"/>
  <c r="G4743" i="2"/>
  <c r="H4742" i="2"/>
  <c r="G4742" i="2"/>
  <c r="H4741" i="2"/>
  <c r="G4741" i="2"/>
  <c r="H4740" i="2"/>
  <c r="G4740" i="2"/>
  <c r="H4739" i="2"/>
  <c r="G4739" i="2"/>
  <c r="H4738" i="2"/>
  <c r="G4738" i="2"/>
  <c r="H4737" i="2"/>
  <c r="G4737" i="2"/>
  <c r="H4736" i="2"/>
  <c r="G4736" i="2"/>
  <c r="H4735" i="2"/>
  <c r="G4735" i="2"/>
  <c r="H4734" i="2"/>
  <c r="G4734" i="2"/>
  <c r="H4733" i="2"/>
  <c r="G4733" i="2"/>
  <c r="H4732" i="2"/>
  <c r="G4732" i="2"/>
  <c r="H4731" i="2"/>
  <c r="G4731" i="2"/>
  <c r="H4730" i="2"/>
  <c r="G4730" i="2"/>
  <c r="H4729" i="2"/>
  <c r="G4729" i="2"/>
  <c r="H4728" i="2"/>
  <c r="G4728" i="2"/>
  <c r="H4727" i="2"/>
  <c r="G4727" i="2"/>
  <c r="H4726" i="2"/>
  <c r="G4726" i="2"/>
  <c r="H4725" i="2"/>
  <c r="G4725" i="2"/>
  <c r="H4724" i="2"/>
  <c r="G4724" i="2"/>
  <c r="H4723" i="2"/>
  <c r="G4723" i="2"/>
  <c r="H4722" i="2"/>
  <c r="G4722" i="2"/>
  <c r="H4721" i="2"/>
  <c r="G4721" i="2"/>
  <c r="H4720" i="2"/>
  <c r="G4720" i="2"/>
  <c r="H4719" i="2"/>
  <c r="G4719" i="2"/>
  <c r="H4718" i="2"/>
  <c r="G4718" i="2"/>
  <c r="H4717" i="2"/>
  <c r="G4717" i="2"/>
  <c r="H4716" i="2"/>
  <c r="G4716" i="2"/>
  <c r="H4715" i="2"/>
  <c r="G4715" i="2"/>
  <c r="H4714" i="2"/>
  <c r="G4714" i="2"/>
  <c r="H4713" i="2"/>
  <c r="G4713" i="2"/>
  <c r="H4712" i="2"/>
  <c r="G4712" i="2"/>
  <c r="H4711" i="2"/>
  <c r="G4711" i="2"/>
  <c r="H4710" i="2"/>
  <c r="G4710" i="2"/>
  <c r="H4709" i="2"/>
  <c r="G4709" i="2"/>
  <c r="H4708" i="2"/>
  <c r="G4708" i="2"/>
  <c r="H4707" i="2"/>
  <c r="G4707" i="2"/>
  <c r="H4706" i="2"/>
  <c r="G4706" i="2"/>
  <c r="H4705" i="2"/>
  <c r="G4705" i="2"/>
  <c r="H4704" i="2"/>
  <c r="G4704" i="2"/>
  <c r="H4703" i="2"/>
  <c r="G4703" i="2"/>
  <c r="H4702" i="2"/>
  <c r="G4702" i="2"/>
  <c r="H4701" i="2"/>
  <c r="G4701" i="2"/>
  <c r="H4700" i="2"/>
  <c r="G4700" i="2"/>
  <c r="H4699" i="2"/>
  <c r="G4699" i="2"/>
  <c r="H4698" i="2"/>
  <c r="G4698" i="2"/>
  <c r="H4697" i="2"/>
  <c r="G4697" i="2"/>
  <c r="H4696" i="2"/>
  <c r="G4696" i="2"/>
  <c r="H4695" i="2"/>
  <c r="G4695" i="2"/>
  <c r="H4694" i="2"/>
  <c r="G4694" i="2"/>
  <c r="H4693" i="2"/>
  <c r="G4693" i="2"/>
  <c r="H4692" i="2"/>
  <c r="G4692" i="2"/>
  <c r="H4691" i="2"/>
  <c r="G4691" i="2"/>
  <c r="H4690" i="2"/>
  <c r="G4690" i="2"/>
  <c r="H4689" i="2"/>
  <c r="G4689" i="2"/>
  <c r="H4688" i="2"/>
  <c r="G4688" i="2"/>
  <c r="H4687" i="2"/>
  <c r="G4687" i="2"/>
  <c r="H4686" i="2"/>
  <c r="G4686" i="2"/>
  <c r="H4685" i="2"/>
  <c r="G4685" i="2"/>
  <c r="H4684" i="2"/>
  <c r="G4684" i="2"/>
  <c r="H4683" i="2"/>
  <c r="G4683" i="2"/>
  <c r="H4682" i="2"/>
  <c r="G4682" i="2"/>
  <c r="H4681" i="2"/>
  <c r="G4681" i="2"/>
  <c r="H4680" i="2"/>
  <c r="G4680" i="2"/>
  <c r="H4679" i="2"/>
  <c r="G4679" i="2"/>
  <c r="H4678" i="2"/>
  <c r="G4678" i="2"/>
  <c r="H4677" i="2"/>
  <c r="G4677" i="2"/>
  <c r="H4676" i="2"/>
  <c r="G4676" i="2"/>
  <c r="H4675" i="2"/>
  <c r="G4675" i="2"/>
  <c r="H4674" i="2"/>
  <c r="G4674" i="2"/>
  <c r="H4673" i="2"/>
  <c r="G4673" i="2"/>
  <c r="H4672" i="2"/>
  <c r="G4672" i="2"/>
  <c r="H4671" i="2"/>
  <c r="G4671" i="2"/>
  <c r="H4670" i="2"/>
  <c r="G4670" i="2"/>
  <c r="H4669" i="2"/>
  <c r="G4669" i="2"/>
  <c r="H4668" i="2"/>
  <c r="G4668" i="2"/>
  <c r="H4667" i="2"/>
  <c r="G4667" i="2"/>
  <c r="H4666" i="2"/>
  <c r="G4666" i="2"/>
  <c r="H4665" i="2"/>
  <c r="G4665" i="2"/>
  <c r="H4664" i="2"/>
  <c r="G4664" i="2"/>
  <c r="H4663" i="2"/>
  <c r="G4663" i="2"/>
  <c r="H4662" i="2"/>
  <c r="G4662" i="2"/>
  <c r="H4661" i="2"/>
  <c r="G4661" i="2"/>
  <c r="H4660" i="2"/>
  <c r="G4660" i="2"/>
  <c r="H4659" i="2"/>
  <c r="G4659" i="2"/>
  <c r="H4658" i="2"/>
  <c r="G4658" i="2"/>
  <c r="H4657" i="2"/>
  <c r="G4657" i="2"/>
  <c r="H4656" i="2"/>
  <c r="G4656" i="2"/>
  <c r="H4655" i="2"/>
  <c r="G4655" i="2"/>
  <c r="H4654" i="2"/>
  <c r="G4654" i="2"/>
  <c r="H4653" i="2"/>
  <c r="G4653" i="2"/>
  <c r="H4652" i="2"/>
  <c r="G4652" i="2"/>
  <c r="H4651" i="2"/>
  <c r="G4651" i="2"/>
  <c r="H4650" i="2"/>
  <c r="G4650" i="2"/>
  <c r="H4649" i="2"/>
  <c r="G4649" i="2"/>
  <c r="H4648" i="2"/>
  <c r="G4648" i="2"/>
  <c r="H4647" i="2"/>
  <c r="G4647" i="2"/>
  <c r="H4646" i="2"/>
  <c r="G4646" i="2"/>
  <c r="H4645" i="2"/>
  <c r="G4645" i="2"/>
  <c r="H4644" i="2"/>
  <c r="G4644" i="2"/>
  <c r="H4643" i="2"/>
  <c r="G4643" i="2"/>
  <c r="H4642" i="2"/>
  <c r="G4642" i="2"/>
  <c r="H4641" i="2"/>
  <c r="G4641" i="2"/>
  <c r="H4640" i="2"/>
  <c r="G4640" i="2"/>
  <c r="H4639" i="2"/>
  <c r="G4639" i="2"/>
  <c r="H4638" i="2"/>
  <c r="G4638" i="2"/>
  <c r="H4637" i="2"/>
  <c r="G4637" i="2"/>
  <c r="H4636" i="2"/>
  <c r="G4636" i="2"/>
  <c r="H4635" i="2"/>
  <c r="G4635" i="2"/>
  <c r="H4634" i="2"/>
  <c r="G4634" i="2"/>
  <c r="H4633" i="2"/>
  <c r="G4633" i="2"/>
  <c r="H4632" i="2"/>
  <c r="G4632" i="2"/>
  <c r="H4631" i="2"/>
  <c r="G4631" i="2"/>
  <c r="H4630" i="2"/>
  <c r="G4630" i="2"/>
  <c r="H4629" i="2"/>
  <c r="G4629" i="2"/>
  <c r="H4628" i="2"/>
  <c r="G4628" i="2"/>
  <c r="H4627" i="2"/>
  <c r="G4627" i="2"/>
  <c r="H4626" i="2"/>
  <c r="G4626" i="2"/>
  <c r="H4625" i="2"/>
  <c r="G4625" i="2"/>
  <c r="H4624" i="2"/>
  <c r="G4624" i="2"/>
  <c r="H4623" i="2"/>
  <c r="G4623" i="2"/>
  <c r="H4622" i="2"/>
  <c r="G4622" i="2"/>
  <c r="H4621" i="2"/>
  <c r="G4621" i="2"/>
  <c r="H4620" i="2"/>
  <c r="G4620" i="2"/>
  <c r="H4619" i="2"/>
  <c r="G4619" i="2"/>
  <c r="H4618" i="2"/>
  <c r="G4618" i="2"/>
  <c r="H4617" i="2"/>
  <c r="G4617" i="2"/>
  <c r="H4616" i="2"/>
  <c r="G4616" i="2"/>
  <c r="H4615" i="2"/>
  <c r="G4615" i="2"/>
  <c r="H4614" i="2"/>
  <c r="G4614" i="2"/>
  <c r="H4613" i="2"/>
  <c r="G4613" i="2"/>
  <c r="H4612" i="2"/>
  <c r="G4612" i="2"/>
  <c r="H4611" i="2"/>
  <c r="G4611" i="2"/>
  <c r="H4610" i="2"/>
  <c r="G4610" i="2"/>
  <c r="H4609" i="2"/>
  <c r="G4609" i="2"/>
  <c r="H4608" i="2"/>
  <c r="G4608" i="2"/>
  <c r="H4607" i="2"/>
  <c r="G4607" i="2"/>
  <c r="H4606" i="2"/>
  <c r="G4606" i="2"/>
  <c r="H4605" i="2"/>
  <c r="G4605" i="2"/>
  <c r="H4604" i="2"/>
  <c r="G4604" i="2"/>
  <c r="H4603" i="2"/>
  <c r="G4603" i="2"/>
  <c r="H4602" i="2"/>
  <c r="G4602" i="2"/>
  <c r="H4601" i="2"/>
  <c r="G4601" i="2"/>
  <c r="H4600" i="2"/>
  <c r="G4600" i="2"/>
  <c r="H4599" i="2"/>
  <c r="G4599" i="2"/>
  <c r="H4598" i="2"/>
  <c r="G4598" i="2"/>
  <c r="H4597" i="2"/>
  <c r="G4597" i="2"/>
  <c r="H4596" i="2"/>
  <c r="G4596" i="2"/>
  <c r="H4595" i="2"/>
  <c r="G4595" i="2"/>
  <c r="H4594" i="2"/>
  <c r="G4594" i="2"/>
  <c r="H4593" i="2"/>
  <c r="G4593" i="2"/>
  <c r="H4592" i="2"/>
  <c r="G4592" i="2"/>
  <c r="H4591" i="2"/>
  <c r="G4591" i="2"/>
  <c r="H4590" i="2"/>
  <c r="G4590" i="2"/>
  <c r="H4589" i="2"/>
  <c r="G4589" i="2"/>
  <c r="H4588" i="2"/>
  <c r="G4588" i="2"/>
  <c r="H4587" i="2"/>
  <c r="G4587" i="2"/>
  <c r="H4586" i="2"/>
  <c r="G4586" i="2"/>
  <c r="H4585" i="2"/>
  <c r="G4585" i="2"/>
  <c r="H4584" i="2"/>
  <c r="G4584" i="2"/>
  <c r="H4583" i="2"/>
  <c r="G4583" i="2"/>
  <c r="H4582" i="2"/>
  <c r="G4582" i="2"/>
  <c r="H4581" i="2"/>
  <c r="G4581" i="2"/>
  <c r="H4580" i="2"/>
  <c r="G4580" i="2"/>
  <c r="H4579" i="2"/>
  <c r="G4579" i="2"/>
  <c r="H4578" i="2"/>
  <c r="G4578" i="2"/>
  <c r="H4577" i="2"/>
  <c r="G4577" i="2"/>
  <c r="H4576" i="2"/>
  <c r="G4576" i="2"/>
  <c r="H4575" i="2"/>
  <c r="G4575" i="2"/>
  <c r="H4574" i="2"/>
  <c r="G4574" i="2"/>
  <c r="H4573" i="2"/>
  <c r="G4573" i="2"/>
  <c r="H4572" i="2"/>
  <c r="G4572" i="2"/>
  <c r="H4571" i="2"/>
  <c r="G4571" i="2"/>
  <c r="H4570" i="2"/>
  <c r="G4570" i="2"/>
  <c r="H4569" i="2"/>
  <c r="G4569" i="2"/>
  <c r="H4568" i="2"/>
  <c r="G4568" i="2"/>
  <c r="H4567" i="2"/>
  <c r="G4567" i="2"/>
  <c r="H4566" i="2"/>
  <c r="G4566" i="2"/>
  <c r="H4565" i="2"/>
  <c r="G4565" i="2"/>
  <c r="H4564" i="2"/>
  <c r="G4564" i="2"/>
  <c r="H4563" i="2"/>
  <c r="G4563" i="2"/>
  <c r="H4562" i="2"/>
  <c r="G4562" i="2"/>
  <c r="H4561" i="2"/>
  <c r="G4561" i="2"/>
  <c r="H4560" i="2"/>
  <c r="G4560" i="2"/>
  <c r="H4559" i="2"/>
  <c r="G4559" i="2"/>
  <c r="H4558" i="2"/>
  <c r="G4558" i="2"/>
  <c r="H4557" i="2"/>
  <c r="G4557" i="2"/>
  <c r="H4556" i="2"/>
  <c r="G4556" i="2"/>
  <c r="H4555" i="2"/>
  <c r="G4555" i="2"/>
  <c r="H4554" i="2"/>
  <c r="G4554" i="2"/>
  <c r="H4553" i="2"/>
  <c r="G4553" i="2"/>
  <c r="H4552" i="2"/>
  <c r="G4552" i="2"/>
  <c r="H4551" i="2"/>
  <c r="G4551" i="2"/>
  <c r="H4550" i="2"/>
  <c r="G4550" i="2"/>
  <c r="H4549" i="2"/>
  <c r="G4549" i="2"/>
  <c r="H4548" i="2"/>
  <c r="G4548" i="2"/>
  <c r="H4547" i="2"/>
  <c r="G4547" i="2"/>
  <c r="H4546" i="2"/>
  <c r="G4546" i="2"/>
  <c r="H4545" i="2"/>
  <c r="G4545" i="2"/>
  <c r="H4544" i="2"/>
  <c r="G4544" i="2"/>
  <c r="H4543" i="2"/>
  <c r="G4543" i="2"/>
  <c r="H4542" i="2"/>
  <c r="G4542" i="2"/>
  <c r="H4541" i="2"/>
  <c r="G4541" i="2"/>
  <c r="H4540" i="2"/>
  <c r="G4540" i="2"/>
  <c r="H4539" i="2"/>
  <c r="G4539" i="2"/>
  <c r="H4538" i="2"/>
  <c r="G4538" i="2"/>
  <c r="H4537" i="2"/>
  <c r="G4537" i="2"/>
  <c r="H4536" i="2"/>
  <c r="G4536" i="2"/>
  <c r="H4535" i="2"/>
  <c r="G4535" i="2"/>
  <c r="H4534" i="2"/>
  <c r="G4534" i="2"/>
  <c r="H4533" i="2"/>
  <c r="G4533" i="2"/>
  <c r="H4532" i="2"/>
  <c r="G4532" i="2"/>
  <c r="H4531" i="2"/>
  <c r="G4531" i="2"/>
  <c r="H4530" i="2"/>
  <c r="G4530" i="2"/>
  <c r="H4529" i="2"/>
  <c r="G4529" i="2"/>
  <c r="H4528" i="2"/>
  <c r="G4528" i="2"/>
  <c r="H4527" i="2"/>
  <c r="G4527" i="2"/>
  <c r="H4526" i="2"/>
  <c r="G4526" i="2"/>
  <c r="H4525" i="2"/>
  <c r="G4525" i="2"/>
  <c r="H4524" i="2"/>
  <c r="G4524" i="2"/>
  <c r="H4523" i="2"/>
  <c r="G4523" i="2"/>
  <c r="H4522" i="2"/>
  <c r="G4522" i="2"/>
  <c r="H4521" i="2"/>
  <c r="G4521" i="2"/>
  <c r="H4520" i="2"/>
  <c r="G4520" i="2"/>
  <c r="H4519" i="2"/>
  <c r="G4519" i="2"/>
  <c r="H4518" i="2"/>
  <c r="G4518" i="2"/>
  <c r="H4517" i="2"/>
  <c r="G4517" i="2"/>
  <c r="H4516" i="2"/>
  <c r="G4516" i="2"/>
  <c r="H4515" i="2"/>
  <c r="G4515" i="2"/>
  <c r="H4514" i="2"/>
  <c r="G4514" i="2"/>
  <c r="H4513" i="2"/>
  <c r="G4513" i="2"/>
  <c r="H4512" i="2"/>
  <c r="G4512" i="2"/>
  <c r="H4511" i="2"/>
  <c r="G4511" i="2"/>
  <c r="H4510" i="2"/>
  <c r="G4510" i="2"/>
  <c r="H4509" i="2"/>
  <c r="G4509" i="2"/>
  <c r="H4508" i="2"/>
  <c r="G4508" i="2"/>
  <c r="H4507" i="2"/>
  <c r="G4507" i="2"/>
  <c r="H4506" i="2"/>
  <c r="G4506" i="2"/>
  <c r="H4505" i="2"/>
  <c r="G4505" i="2"/>
  <c r="H4504" i="2"/>
  <c r="G4504" i="2"/>
  <c r="H4503" i="2"/>
  <c r="G4503" i="2"/>
  <c r="H4502" i="2"/>
  <c r="G4502" i="2"/>
  <c r="H4501" i="2"/>
  <c r="G4501" i="2"/>
  <c r="H4500" i="2"/>
  <c r="G4500" i="2"/>
  <c r="H4499" i="2"/>
  <c r="G4499" i="2"/>
  <c r="H4498" i="2"/>
  <c r="G4498" i="2"/>
  <c r="H4497" i="2"/>
  <c r="G4497" i="2"/>
  <c r="H4496" i="2"/>
  <c r="G4496" i="2"/>
  <c r="H4495" i="2"/>
  <c r="G4495" i="2"/>
  <c r="H4494" i="2"/>
  <c r="G4494" i="2"/>
  <c r="H4493" i="2"/>
  <c r="G4493" i="2"/>
  <c r="H4492" i="2"/>
  <c r="G4492" i="2"/>
  <c r="H4491" i="2"/>
  <c r="G4491" i="2"/>
  <c r="H4490" i="2"/>
  <c r="G4490" i="2"/>
  <c r="H4489" i="2"/>
  <c r="G4489" i="2"/>
  <c r="H4488" i="2"/>
  <c r="G4488" i="2"/>
  <c r="H4487" i="2"/>
  <c r="G4487" i="2"/>
  <c r="H4486" i="2"/>
  <c r="G4486" i="2"/>
  <c r="H4485" i="2"/>
  <c r="G4485" i="2"/>
  <c r="H4484" i="2"/>
  <c r="G4484" i="2"/>
  <c r="H4483" i="2"/>
  <c r="G4483" i="2"/>
  <c r="H4482" i="2"/>
  <c r="G4482" i="2"/>
  <c r="H4481" i="2"/>
  <c r="G4481" i="2"/>
  <c r="H4480" i="2"/>
  <c r="G4480" i="2"/>
  <c r="H4479" i="2"/>
  <c r="G4479" i="2"/>
  <c r="H4478" i="2"/>
  <c r="G4478" i="2"/>
  <c r="H4477" i="2"/>
  <c r="G4477" i="2"/>
  <c r="H4476" i="2"/>
  <c r="G4476" i="2"/>
  <c r="H4475" i="2"/>
  <c r="G4475" i="2"/>
  <c r="H4474" i="2"/>
  <c r="G4474" i="2"/>
  <c r="H4473" i="2"/>
  <c r="G4473" i="2"/>
  <c r="H4472" i="2"/>
  <c r="G4472" i="2"/>
  <c r="H4471" i="2"/>
  <c r="G4471" i="2"/>
  <c r="H4470" i="2"/>
  <c r="G4470" i="2"/>
  <c r="H4469" i="2"/>
  <c r="G4469" i="2"/>
  <c r="H4468" i="2"/>
  <c r="G4468" i="2"/>
  <c r="H4467" i="2"/>
  <c r="G4467" i="2"/>
  <c r="H4466" i="2"/>
  <c r="G4466" i="2"/>
  <c r="H4465" i="2"/>
  <c r="G4465" i="2"/>
  <c r="H4464" i="2"/>
  <c r="G4464" i="2"/>
  <c r="H4463" i="2"/>
  <c r="G4463" i="2"/>
  <c r="H4462" i="2"/>
  <c r="G4462" i="2"/>
  <c r="H4461" i="2"/>
  <c r="G4461" i="2"/>
  <c r="H4460" i="2"/>
  <c r="G4460" i="2"/>
  <c r="H4459" i="2"/>
  <c r="G4459" i="2"/>
  <c r="H4458" i="2"/>
  <c r="G4458" i="2"/>
  <c r="H4457" i="2"/>
  <c r="G4457" i="2"/>
  <c r="H4456" i="2"/>
  <c r="G4456" i="2"/>
  <c r="H4455" i="2"/>
  <c r="G4455" i="2"/>
  <c r="H4454" i="2"/>
  <c r="G4454" i="2"/>
  <c r="H4453" i="2"/>
  <c r="G4453" i="2"/>
  <c r="H4452" i="2"/>
  <c r="G4452" i="2"/>
  <c r="H4451" i="2"/>
  <c r="G4451" i="2"/>
  <c r="H4450" i="2"/>
  <c r="G4450" i="2"/>
  <c r="H4449" i="2"/>
  <c r="G4449" i="2"/>
  <c r="H4448" i="2"/>
  <c r="G4448" i="2"/>
  <c r="H4447" i="2"/>
  <c r="G4447" i="2"/>
  <c r="H4446" i="2"/>
  <c r="G4446" i="2"/>
  <c r="H4445" i="2"/>
  <c r="G4445" i="2"/>
  <c r="H4444" i="2"/>
  <c r="G4444" i="2"/>
  <c r="H4443" i="2"/>
  <c r="G4443" i="2"/>
  <c r="H4442" i="2"/>
  <c r="G4442" i="2"/>
  <c r="H4441" i="2"/>
  <c r="G4441" i="2"/>
  <c r="H4440" i="2"/>
  <c r="G4440" i="2"/>
  <c r="H4439" i="2"/>
  <c r="G4439" i="2"/>
  <c r="H4438" i="2"/>
  <c r="G4438" i="2"/>
  <c r="H4437" i="2"/>
  <c r="G4437" i="2"/>
  <c r="H4436" i="2"/>
  <c r="G4436" i="2"/>
  <c r="H4435" i="2"/>
  <c r="G4435" i="2"/>
  <c r="H4434" i="2"/>
  <c r="G4434" i="2"/>
  <c r="H4433" i="2"/>
  <c r="G4433" i="2"/>
  <c r="H4432" i="2"/>
  <c r="G4432" i="2"/>
  <c r="H4431" i="2"/>
  <c r="G4431" i="2"/>
  <c r="H4430" i="2"/>
  <c r="G4430" i="2"/>
  <c r="H4429" i="2"/>
  <c r="G4429" i="2"/>
  <c r="H4428" i="2"/>
  <c r="G4428" i="2"/>
  <c r="H4427" i="2"/>
  <c r="G4427" i="2"/>
  <c r="H4426" i="2"/>
  <c r="G4426" i="2"/>
  <c r="H4425" i="2"/>
  <c r="G4425" i="2"/>
  <c r="H4424" i="2"/>
  <c r="G4424" i="2"/>
  <c r="H4423" i="2"/>
  <c r="G4423" i="2"/>
  <c r="H4422" i="2"/>
  <c r="G4422" i="2"/>
  <c r="H4421" i="2"/>
  <c r="G4421" i="2"/>
  <c r="H4420" i="2"/>
  <c r="G4420" i="2"/>
  <c r="H4419" i="2"/>
  <c r="G4419" i="2"/>
  <c r="H4418" i="2"/>
  <c r="G4418" i="2"/>
  <c r="H4417" i="2"/>
  <c r="G4417" i="2"/>
  <c r="H4416" i="2"/>
  <c r="G4416" i="2"/>
  <c r="H4415" i="2"/>
  <c r="G4415" i="2"/>
  <c r="H4414" i="2"/>
  <c r="G4414" i="2"/>
  <c r="H4413" i="2"/>
  <c r="G4413" i="2"/>
  <c r="H4412" i="2"/>
  <c r="G4412" i="2"/>
  <c r="H4411" i="2"/>
  <c r="G4411" i="2"/>
  <c r="H4410" i="2"/>
  <c r="G4410" i="2"/>
  <c r="H4409" i="2"/>
  <c r="G4409" i="2"/>
  <c r="H4408" i="2"/>
  <c r="G4408" i="2"/>
  <c r="H4407" i="2"/>
  <c r="G4407" i="2"/>
  <c r="H4406" i="2"/>
  <c r="G4406" i="2"/>
  <c r="H4405" i="2"/>
  <c r="G4405" i="2"/>
  <c r="H4404" i="2"/>
  <c r="G4404" i="2"/>
  <c r="H4403" i="2"/>
  <c r="G4403" i="2"/>
  <c r="H4402" i="2"/>
  <c r="G4402" i="2"/>
  <c r="H4401" i="2"/>
  <c r="G4401" i="2"/>
  <c r="H4400" i="2"/>
  <c r="G4400" i="2"/>
  <c r="H4399" i="2"/>
  <c r="G4399" i="2"/>
  <c r="H4398" i="2"/>
  <c r="G4398" i="2"/>
  <c r="H4397" i="2"/>
  <c r="G4397" i="2"/>
  <c r="H4396" i="2"/>
  <c r="G4396" i="2"/>
  <c r="H4395" i="2"/>
  <c r="G4395" i="2"/>
  <c r="H4394" i="2"/>
  <c r="G4394" i="2"/>
  <c r="H4393" i="2"/>
  <c r="G4393" i="2"/>
  <c r="H4392" i="2"/>
  <c r="G4392" i="2"/>
  <c r="H4391" i="2"/>
  <c r="G4391" i="2"/>
  <c r="H4390" i="2"/>
  <c r="G4390" i="2"/>
  <c r="H4389" i="2"/>
  <c r="G4389" i="2"/>
  <c r="H4388" i="2"/>
  <c r="G4388" i="2"/>
  <c r="H4387" i="2"/>
  <c r="G4387" i="2"/>
  <c r="H4386" i="2"/>
  <c r="G4386" i="2"/>
  <c r="H4385" i="2"/>
  <c r="G4385" i="2"/>
  <c r="H4384" i="2"/>
  <c r="G4384" i="2"/>
  <c r="H4383" i="2"/>
  <c r="G4383" i="2"/>
  <c r="H4382" i="2"/>
  <c r="G4382" i="2"/>
  <c r="H4381" i="2"/>
  <c r="G4381" i="2"/>
  <c r="H4380" i="2"/>
  <c r="G4380" i="2"/>
  <c r="H4379" i="2"/>
  <c r="G4379" i="2"/>
  <c r="H4378" i="2"/>
  <c r="G4378" i="2"/>
  <c r="H4377" i="2"/>
  <c r="G4377" i="2"/>
  <c r="H4376" i="2"/>
  <c r="G4376" i="2"/>
  <c r="H4375" i="2"/>
  <c r="G4375" i="2"/>
  <c r="H4374" i="2"/>
  <c r="G4374" i="2"/>
  <c r="H4373" i="2"/>
  <c r="G4373" i="2"/>
  <c r="H4372" i="2"/>
  <c r="G4372" i="2"/>
  <c r="H4371" i="2"/>
  <c r="G4371" i="2"/>
  <c r="H4370" i="2"/>
  <c r="G4370" i="2"/>
  <c r="H4369" i="2"/>
  <c r="G4369" i="2"/>
  <c r="H4368" i="2"/>
  <c r="G4368" i="2"/>
  <c r="H4367" i="2"/>
  <c r="G4367" i="2"/>
  <c r="H4366" i="2"/>
  <c r="G4366" i="2"/>
  <c r="H4365" i="2"/>
  <c r="G4365" i="2"/>
  <c r="H4364" i="2"/>
  <c r="G4364" i="2"/>
  <c r="H4363" i="2"/>
  <c r="G4363" i="2"/>
  <c r="H4362" i="2"/>
  <c r="G4362" i="2"/>
  <c r="H4361" i="2"/>
  <c r="G4361" i="2"/>
  <c r="H4360" i="2"/>
  <c r="G4360" i="2"/>
  <c r="H4359" i="2"/>
  <c r="G4359" i="2"/>
  <c r="H4358" i="2"/>
  <c r="G4358" i="2"/>
  <c r="H4357" i="2"/>
  <c r="G4357" i="2"/>
  <c r="H4356" i="2"/>
  <c r="G4356" i="2"/>
  <c r="H4355" i="2"/>
  <c r="G4355" i="2"/>
  <c r="H4354" i="2"/>
  <c r="G4354" i="2"/>
  <c r="H4353" i="2"/>
  <c r="G4353" i="2"/>
  <c r="H4352" i="2"/>
  <c r="G4352" i="2"/>
  <c r="H4351" i="2"/>
  <c r="G4351" i="2"/>
  <c r="H4350" i="2"/>
  <c r="G4350" i="2"/>
  <c r="H4349" i="2"/>
  <c r="G4349" i="2"/>
  <c r="H4348" i="2"/>
  <c r="G4348" i="2"/>
  <c r="H4347" i="2"/>
  <c r="G4347" i="2"/>
  <c r="H4346" i="2"/>
  <c r="G4346" i="2"/>
  <c r="H4345" i="2"/>
  <c r="G4345" i="2"/>
  <c r="H4344" i="2"/>
  <c r="G4344" i="2"/>
  <c r="H4343" i="2"/>
  <c r="G4343" i="2"/>
  <c r="H4342" i="2"/>
  <c r="G4342" i="2"/>
  <c r="H4341" i="2"/>
  <c r="G4341" i="2"/>
  <c r="H4340" i="2"/>
  <c r="G4340" i="2"/>
  <c r="H4339" i="2"/>
  <c r="G4339" i="2"/>
  <c r="H4338" i="2"/>
  <c r="G4338" i="2"/>
  <c r="H4337" i="2"/>
  <c r="G4337" i="2"/>
  <c r="H4336" i="2"/>
  <c r="G4336" i="2"/>
  <c r="H4335" i="2"/>
  <c r="G4335" i="2"/>
  <c r="H4334" i="2"/>
  <c r="G4334" i="2"/>
  <c r="H4333" i="2"/>
  <c r="G4333" i="2"/>
  <c r="H4332" i="2"/>
  <c r="G4332" i="2"/>
  <c r="H4331" i="2"/>
  <c r="G4331" i="2"/>
  <c r="H4330" i="2"/>
  <c r="G4330" i="2"/>
  <c r="H4329" i="2"/>
  <c r="G4329" i="2"/>
  <c r="H4328" i="2"/>
  <c r="G4328" i="2"/>
  <c r="H4327" i="2"/>
  <c r="G4327" i="2"/>
  <c r="H4326" i="2"/>
  <c r="G4326" i="2"/>
  <c r="H4325" i="2"/>
  <c r="G4325" i="2"/>
  <c r="H4324" i="2"/>
  <c r="G4324" i="2"/>
  <c r="H4323" i="2"/>
  <c r="G4323" i="2"/>
  <c r="H4322" i="2"/>
  <c r="G4322" i="2"/>
  <c r="H4321" i="2"/>
  <c r="G4321" i="2"/>
  <c r="H4320" i="2"/>
  <c r="G4320" i="2"/>
  <c r="H4319" i="2"/>
  <c r="G4319" i="2"/>
  <c r="H4318" i="2"/>
  <c r="G4318" i="2"/>
  <c r="H4317" i="2"/>
  <c r="G4317" i="2"/>
  <c r="H4316" i="2"/>
  <c r="G4316" i="2"/>
  <c r="H4315" i="2"/>
  <c r="G4315" i="2"/>
  <c r="H4314" i="2"/>
  <c r="G4314" i="2"/>
  <c r="H4313" i="2"/>
  <c r="G4313" i="2"/>
  <c r="H4312" i="2"/>
  <c r="G4312" i="2"/>
  <c r="H4311" i="2"/>
  <c r="G4311" i="2"/>
  <c r="H4310" i="2"/>
  <c r="G4310" i="2"/>
  <c r="H4309" i="2"/>
  <c r="G4309" i="2"/>
  <c r="H4308" i="2"/>
  <c r="G4308" i="2"/>
  <c r="H4307" i="2"/>
  <c r="G4307" i="2"/>
  <c r="H4306" i="2"/>
  <c r="G4306" i="2"/>
  <c r="H4305" i="2"/>
  <c r="G4305" i="2"/>
  <c r="H4304" i="2"/>
  <c r="G4304" i="2"/>
  <c r="H4303" i="2"/>
  <c r="G4303" i="2"/>
  <c r="H4302" i="2"/>
  <c r="G4302" i="2"/>
  <c r="H4301" i="2"/>
  <c r="G4301" i="2"/>
  <c r="H4300" i="2"/>
  <c r="G4300" i="2"/>
  <c r="H4299" i="2"/>
  <c r="G4299" i="2"/>
  <c r="H4298" i="2"/>
  <c r="G4298" i="2"/>
  <c r="H4297" i="2"/>
  <c r="G4297" i="2"/>
  <c r="H4296" i="2"/>
  <c r="G4296" i="2"/>
  <c r="H4295" i="2"/>
  <c r="G4295" i="2"/>
  <c r="H4294" i="2"/>
  <c r="G4294" i="2"/>
  <c r="H4293" i="2"/>
  <c r="G4293" i="2"/>
  <c r="H4292" i="2"/>
  <c r="G4292" i="2"/>
  <c r="H4291" i="2"/>
  <c r="G4291" i="2"/>
  <c r="H4290" i="2"/>
  <c r="G4290" i="2"/>
  <c r="H4289" i="2"/>
  <c r="G4289" i="2"/>
  <c r="H4288" i="2"/>
  <c r="G4288" i="2"/>
  <c r="H4287" i="2"/>
  <c r="G4287" i="2"/>
  <c r="H4286" i="2"/>
  <c r="G4286" i="2"/>
  <c r="H4285" i="2"/>
  <c r="G4285" i="2"/>
  <c r="H4284" i="2"/>
  <c r="G4284" i="2"/>
  <c r="H4283" i="2"/>
  <c r="G4283" i="2"/>
  <c r="H4282" i="2"/>
  <c r="G4282" i="2"/>
  <c r="H4281" i="2"/>
  <c r="G4281" i="2"/>
  <c r="H4280" i="2"/>
  <c r="G4280" i="2"/>
  <c r="H4279" i="2"/>
  <c r="G4279" i="2"/>
  <c r="H4278" i="2"/>
  <c r="G4278" i="2"/>
  <c r="H4277" i="2"/>
  <c r="G4277" i="2"/>
  <c r="H4276" i="2"/>
  <c r="G4276" i="2"/>
  <c r="H4275" i="2"/>
  <c r="G4275" i="2"/>
  <c r="H4274" i="2"/>
  <c r="G4274" i="2"/>
  <c r="H4273" i="2"/>
  <c r="G4273" i="2"/>
  <c r="H4272" i="2"/>
  <c r="G4272" i="2"/>
  <c r="H4271" i="2"/>
  <c r="G4271" i="2"/>
  <c r="H4270" i="2"/>
  <c r="G4270" i="2"/>
  <c r="H4269" i="2"/>
  <c r="G4269" i="2"/>
  <c r="H4268" i="2"/>
  <c r="G4268" i="2"/>
  <c r="H4267" i="2"/>
  <c r="G4267" i="2"/>
  <c r="H4266" i="2"/>
  <c r="G4266" i="2"/>
  <c r="H4265" i="2"/>
  <c r="G4265" i="2"/>
  <c r="H4264" i="2"/>
  <c r="G4264" i="2"/>
  <c r="H4263" i="2"/>
  <c r="G4263" i="2"/>
  <c r="H4262" i="2"/>
  <c r="G4262" i="2"/>
  <c r="H4261" i="2"/>
  <c r="G4261" i="2"/>
  <c r="H4260" i="2"/>
  <c r="G4260" i="2"/>
  <c r="H4259" i="2"/>
  <c r="G4259" i="2"/>
  <c r="H4258" i="2"/>
  <c r="G4258" i="2"/>
  <c r="H4257" i="2"/>
  <c r="G4257" i="2"/>
  <c r="H4256" i="2"/>
  <c r="G4256" i="2"/>
  <c r="H4255" i="2"/>
  <c r="G4255" i="2"/>
  <c r="H4254" i="2"/>
  <c r="G4254" i="2"/>
  <c r="H4253" i="2"/>
  <c r="G4253" i="2"/>
  <c r="H4252" i="2"/>
  <c r="G4252" i="2"/>
  <c r="H4251" i="2"/>
  <c r="G4251" i="2"/>
  <c r="H4250" i="2"/>
  <c r="G4250" i="2"/>
  <c r="H4249" i="2"/>
  <c r="G4249" i="2"/>
  <c r="H4248" i="2"/>
  <c r="G4248" i="2"/>
  <c r="H4247" i="2"/>
  <c r="G4247" i="2"/>
  <c r="H4246" i="2"/>
  <c r="G4246" i="2"/>
  <c r="H4245" i="2"/>
  <c r="G4245" i="2"/>
  <c r="H4244" i="2"/>
  <c r="G4244" i="2"/>
  <c r="H4243" i="2"/>
  <c r="G4243" i="2"/>
  <c r="H4242" i="2"/>
  <c r="G4242" i="2"/>
  <c r="H4241" i="2"/>
  <c r="G4241" i="2"/>
  <c r="H4240" i="2"/>
  <c r="G4240" i="2"/>
  <c r="H4239" i="2"/>
  <c r="G4239" i="2"/>
  <c r="H4238" i="2"/>
  <c r="G4238" i="2"/>
  <c r="H4237" i="2"/>
  <c r="G4237" i="2"/>
  <c r="H4236" i="2"/>
  <c r="G4236" i="2"/>
  <c r="H4235" i="2"/>
  <c r="G4235" i="2"/>
  <c r="H4234" i="2"/>
  <c r="G4234" i="2"/>
  <c r="H4233" i="2"/>
  <c r="G4233" i="2"/>
  <c r="H4232" i="2"/>
  <c r="G4232" i="2"/>
  <c r="H4231" i="2"/>
  <c r="G4231" i="2"/>
  <c r="H4230" i="2"/>
  <c r="G4230" i="2"/>
  <c r="H4229" i="2"/>
  <c r="G4229" i="2"/>
  <c r="H4228" i="2"/>
  <c r="G4228" i="2"/>
  <c r="H4227" i="2"/>
  <c r="G4227" i="2"/>
  <c r="H4226" i="2"/>
  <c r="G4226" i="2"/>
  <c r="H4225" i="2"/>
  <c r="G4225" i="2"/>
  <c r="H4224" i="2"/>
  <c r="G4224" i="2"/>
  <c r="H4223" i="2"/>
  <c r="G4223" i="2"/>
  <c r="H4222" i="2"/>
  <c r="G4222" i="2"/>
  <c r="H4221" i="2"/>
  <c r="G4221" i="2"/>
  <c r="H4220" i="2"/>
  <c r="G4220" i="2"/>
  <c r="H4219" i="2"/>
  <c r="G4219" i="2"/>
  <c r="H4218" i="2"/>
  <c r="G4218" i="2"/>
  <c r="H4217" i="2"/>
  <c r="G4217" i="2"/>
  <c r="H4216" i="2"/>
  <c r="G4216" i="2"/>
  <c r="H4215" i="2"/>
  <c r="G4215" i="2"/>
  <c r="H4214" i="2"/>
  <c r="G4214" i="2"/>
  <c r="H4213" i="2"/>
  <c r="G4213" i="2"/>
  <c r="H4212" i="2"/>
  <c r="G4212" i="2"/>
  <c r="H4211" i="2"/>
  <c r="G4211" i="2"/>
  <c r="H4210" i="2"/>
  <c r="G4210" i="2"/>
  <c r="H4209" i="2"/>
  <c r="G4209" i="2"/>
  <c r="H4208" i="2"/>
  <c r="G4208" i="2"/>
  <c r="H4207" i="2"/>
  <c r="G4207" i="2"/>
  <c r="H4206" i="2"/>
  <c r="G4206" i="2"/>
  <c r="H4205" i="2"/>
  <c r="G4205" i="2"/>
  <c r="H4204" i="2"/>
  <c r="G4204" i="2"/>
  <c r="H4203" i="2"/>
  <c r="G4203" i="2"/>
  <c r="H4202" i="2"/>
  <c r="G4202" i="2"/>
  <c r="H4201" i="2"/>
  <c r="G4201" i="2"/>
  <c r="H4200" i="2"/>
  <c r="G4200" i="2"/>
  <c r="H4199" i="2"/>
  <c r="G4199" i="2"/>
  <c r="H4198" i="2"/>
  <c r="G4198" i="2"/>
  <c r="H4197" i="2"/>
  <c r="G4197" i="2"/>
  <c r="H4196" i="2"/>
  <c r="G4196" i="2"/>
  <c r="H4195" i="2"/>
  <c r="G4195" i="2"/>
  <c r="H4194" i="2"/>
  <c r="G4194" i="2"/>
  <c r="H4193" i="2"/>
  <c r="G4193" i="2"/>
  <c r="H4192" i="2"/>
  <c r="G4192" i="2"/>
  <c r="H4191" i="2"/>
  <c r="G4191" i="2"/>
  <c r="H4190" i="2"/>
  <c r="G4190" i="2"/>
  <c r="H4189" i="2"/>
  <c r="G4189" i="2"/>
  <c r="H4188" i="2"/>
  <c r="G4188" i="2"/>
  <c r="H4187" i="2"/>
  <c r="G4187" i="2"/>
  <c r="H4186" i="2"/>
  <c r="G4186" i="2"/>
  <c r="H4185" i="2"/>
  <c r="G4185" i="2"/>
  <c r="H4184" i="2"/>
  <c r="G4184" i="2"/>
  <c r="H4183" i="2"/>
  <c r="G4183" i="2"/>
  <c r="H4182" i="2"/>
  <c r="G4182" i="2"/>
  <c r="H4181" i="2"/>
  <c r="G4181" i="2"/>
  <c r="H4180" i="2"/>
  <c r="G4180" i="2"/>
  <c r="H4179" i="2"/>
  <c r="G4179" i="2"/>
  <c r="H4178" i="2"/>
  <c r="G4178" i="2"/>
  <c r="H4177" i="2"/>
  <c r="G4177" i="2"/>
  <c r="H4176" i="2"/>
  <c r="G4176" i="2"/>
  <c r="H4175" i="2"/>
  <c r="G4175" i="2"/>
  <c r="H4174" i="2"/>
  <c r="G4174" i="2"/>
  <c r="H4173" i="2"/>
  <c r="G4173" i="2"/>
  <c r="H4172" i="2"/>
  <c r="G4172" i="2"/>
  <c r="H4171" i="2"/>
  <c r="G4171" i="2"/>
  <c r="H4170" i="2"/>
  <c r="G4170" i="2"/>
  <c r="H4169" i="2"/>
  <c r="G4169" i="2"/>
  <c r="H4168" i="2"/>
  <c r="G4168" i="2"/>
  <c r="H4167" i="2"/>
  <c r="G4167" i="2"/>
  <c r="H4166" i="2"/>
  <c r="G4166" i="2"/>
  <c r="H4165" i="2"/>
  <c r="G4165" i="2"/>
  <c r="H4164" i="2"/>
  <c r="G4164" i="2"/>
  <c r="H4163" i="2"/>
  <c r="G4163" i="2"/>
  <c r="H4162" i="2"/>
  <c r="G4162" i="2"/>
  <c r="H4161" i="2"/>
  <c r="G4161" i="2"/>
  <c r="H4160" i="2"/>
  <c r="G4160" i="2"/>
  <c r="H4159" i="2"/>
  <c r="G4159" i="2"/>
  <c r="H4158" i="2"/>
  <c r="G4158" i="2"/>
  <c r="H4157" i="2"/>
  <c r="G4157" i="2"/>
  <c r="H4156" i="2"/>
  <c r="G4156" i="2"/>
  <c r="H4155" i="2"/>
  <c r="G4155" i="2"/>
  <c r="H4154" i="2"/>
  <c r="G4154" i="2"/>
  <c r="H4153" i="2"/>
  <c r="G4153" i="2"/>
  <c r="H4152" i="2"/>
  <c r="G4152" i="2"/>
  <c r="H4151" i="2"/>
  <c r="G4151" i="2"/>
  <c r="H4150" i="2"/>
  <c r="G4150" i="2"/>
  <c r="H4149" i="2"/>
  <c r="G4149" i="2"/>
  <c r="H4148" i="2"/>
  <c r="G4148" i="2"/>
  <c r="H4147" i="2"/>
  <c r="G4147" i="2"/>
  <c r="H4146" i="2"/>
  <c r="G4146" i="2"/>
  <c r="H4145" i="2"/>
  <c r="G4145" i="2"/>
  <c r="H4144" i="2"/>
  <c r="G4144" i="2"/>
  <c r="H4143" i="2"/>
  <c r="G4143" i="2"/>
  <c r="H4142" i="2"/>
  <c r="G4142" i="2"/>
  <c r="H4141" i="2"/>
  <c r="G4141" i="2"/>
  <c r="H4140" i="2"/>
  <c r="G4140" i="2"/>
  <c r="H4139" i="2"/>
  <c r="G4139" i="2"/>
  <c r="H4138" i="2"/>
  <c r="G4138" i="2"/>
  <c r="H4137" i="2"/>
  <c r="G4137" i="2"/>
  <c r="H4136" i="2"/>
  <c r="G4136" i="2"/>
  <c r="H4135" i="2"/>
  <c r="G4135" i="2"/>
  <c r="H4134" i="2"/>
  <c r="G4134" i="2"/>
  <c r="H4133" i="2"/>
  <c r="G4133" i="2"/>
  <c r="H4132" i="2"/>
  <c r="G4132" i="2"/>
  <c r="H4131" i="2"/>
  <c r="G4131" i="2"/>
  <c r="H4130" i="2"/>
  <c r="G4130" i="2"/>
  <c r="H4129" i="2"/>
  <c r="G4129" i="2"/>
  <c r="H4128" i="2"/>
  <c r="G4128" i="2"/>
  <c r="H4127" i="2"/>
  <c r="G4127" i="2"/>
  <c r="H4126" i="2"/>
  <c r="G4126" i="2"/>
  <c r="H4125" i="2"/>
  <c r="G4125" i="2"/>
  <c r="H4124" i="2"/>
  <c r="G4124" i="2"/>
  <c r="H4123" i="2"/>
  <c r="G4123" i="2"/>
  <c r="H4122" i="2"/>
  <c r="G4122" i="2"/>
  <c r="H4121" i="2"/>
  <c r="G4121" i="2"/>
  <c r="H4120" i="2"/>
  <c r="G4120" i="2"/>
  <c r="H4119" i="2"/>
  <c r="G4119" i="2"/>
  <c r="H4118" i="2"/>
  <c r="G4118" i="2"/>
  <c r="H4117" i="2"/>
  <c r="G4117" i="2"/>
  <c r="H4116" i="2"/>
  <c r="G4116" i="2"/>
  <c r="H4115" i="2"/>
  <c r="G4115" i="2"/>
  <c r="H4114" i="2"/>
  <c r="G4114" i="2"/>
  <c r="H4113" i="2"/>
  <c r="G4113" i="2"/>
  <c r="H4112" i="2"/>
  <c r="G4112" i="2"/>
  <c r="H4111" i="2"/>
  <c r="G4111" i="2"/>
  <c r="H4110" i="2"/>
  <c r="G4110" i="2"/>
  <c r="H4109" i="2"/>
  <c r="G4109" i="2"/>
  <c r="H4108" i="2"/>
  <c r="G4108" i="2"/>
  <c r="H4107" i="2"/>
  <c r="G4107" i="2"/>
  <c r="H4106" i="2"/>
  <c r="G4106" i="2"/>
  <c r="H4105" i="2"/>
  <c r="G4105" i="2"/>
  <c r="H4104" i="2"/>
  <c r="G4104" i="2"/>
  <c r="H4103" i="2"/>
  <c r="G4103" i="2"/>
  <c r="H4102" i="2"/>
  <c r="G4102" i="2"/>
  <c r="H4101" i="2"/>
  <c r="G4101" i="2"/>
  <c r="H4100" i="2"/>
  <c r="G4100" i="2"/>
  <c r="H4099" i="2"/>
  <c r="G4099" i="2"/>
  <c r="H4098" i="2"/>
  <c r="G4098" i="2"/>
  <c r="H4097" i="2"/>
  <c r="G4097" i="2"/>
  <c r="H4096" i="2"/>
  <c r="G4096" i="2"/>
  <c r="H4095" i="2"/>
  <c r="G4095" i="2"/>
  <c r="H4094" i="2"/>
  <c r="G4094" i="2"/>
  <c r="H4093" i="2"/>
  <c r="G4093" i="2"/>
  <c r="H4092" i="2"/>
  <c r="G4092" i="2"/>
  <c r="H4091" i="2"/>
  <c r="G4091" i="2"/>
  <c r="H4090" i="2"/>
  <c r="G4090" i="2"/>
  <c r="H4089" i="2"/>
  <c r="G4089" i="2"/>
  <c r="H4088" i="2"/>
  <c r="G4088" i="2"/>
  <c r="H4087" i="2"/>
  <c r="G4087" i="2"/>
  <c r="H4086" i="2"/>
  <c r="G4086" i="2"/>
  <c r="H4085" i="2"/>
  <c r="G4085" i="2"/>
  <c r="H4084" i="2"/>
  <c r="G4084" i="2"/>
  <c r="H4083" i="2"/>
  <c r="G4083" i="2"/>
  <c r="H4082" i="2"/>
  <c r="G4082" i="2"/>
  <c r="H4081" i="2"/>
  <c r="G4081" i="2"/>
  <c r="H4080" i="2"/>
  <c r="G4080" i="2"/>
  <c r="H4079" i="2"/>
  <c r="G4079" i="2"/>
  <c r="H4078" i="2"/>
  <c r="G4078" i="2"/>
  <c r="H4077" i="2"/>
  <c r="G4077" i="2"/>
  <c r="H4076" i="2"/>
  <c r="G4076" i="2"/>
  <c r="H4075" i="2"/>
  <c r="G4075" i="2"/>
  <c r="H4074" i="2"/>
  <c r="G4074" i="2"/>
  <c r="H4073" i="2"/>
  <c r="G4073" i="2"/>
  <c r="H4072" i="2"/>
  <c r="G4072" i="2"/>
  <c r="H4071" i="2"/>
  <c r="G4071" i="2"/>
  <c r="H4070" i="2"/>
  <c r="G4070" i="2"/>
  <c r="H4069" i="2"/>
  <c r="G4069" i="2"/>
  <c r="H4068" i="2"/>
  <c r="G4068" i="2"/>
  <c r="H4067" i="2"/>
  <c r="G4067" i="2"/>
  <c r="H4066" i="2"/>
  <c r="G4066" i="2"/>
  <c r="H4065" i="2"/>
  <c r="G4065" i="2"/>
  <c r="H4064" i="2"/>
  <c r="G4064" i="2"/>
  <c r="H4063" i="2"/>
  <c r="G4063" i="2"/>
  <c r="H4062" i="2"/>
  <c r="G4062" i="2"/>
  <c r="H4061" i="2"/>
  <c r="G4061" i="2"/>
  <c r="H4060" i="2"/>
  <c r="G4060" i="2"/>
  <c r="H4059" i="2"/>
  <c r="G4059" i="2"/>
  <c r="H4058" i="2"/>
  <c r="G4058" i="2"/>
  <c r="H4057" i="2"/>
  <c r="G4057" i="2"/>
  <c r="H4056" i="2"/>
  <c r="G4056" i="2"/>
  <c r="H4055" i="2"/>
  <c r="G4055" i="2"/>
  <c r="H4054" i="2"/>
  <c r="G4054" i="2"/>
  <c r="H4053" i="2"/>
  <c r="G4053" i="2"/>
  <c r="H4052" i="2"/>
  <c r="G4052" i="2"/>
  <c r="H4051" i="2"/>
  <c r="G4051" i="2"/>
  <c r="H4050" i="2"/>
  <c r="G4050" i="2"/>
  <c r="H4049" i="2"/>
  <c r="G4049" i="2"/>
  <c r="H4048" i="2"/>
  <c r="G4048" i="2"/>
  <c r="H4047" i="2"/>
  <c r="G4047" i="2"/>
  <c r="H4046" i="2"/>
  <c r="G4046" i="2"/>
  <c r="H4045" i="2"/>
  <c r="G4045" i="2"/>
  <c r="H4044" i="2"/>
  <c r="G4044" i="2"/>
  <c r="H4043" i="2"/>
  <c r="G4043" i="2"/>
  <c r="H4042" i="2"/>
  <c r="G4042" i="2"/>
  <c r="H4041" i="2"/>
  <c r="G4041" i="2"/>
  <c r="H4040" i="2"/>
  <c r="G4040" i="2"/>
  <c r="H4039" i="2"/>
  <c r="G4039" i="2"/>
  <c r="H4038" i="2"/>
  <c r="G4038" i="2"/>
  <c r="H4037" i="2"/>
  <c r="G4037" i="2"/>
  <c r="H4036" i="2"/>
  <c r="G4036" i="2"/>
  <c r="H4035" i="2"/>
  <c r="G4035" i="2"/>
  <c r="H4034" i="2"/>
  <c r="G4034" i="2"/>
  <c r="H4033" i="2"/>
  <c r="G4033" i="2"/>
  <c r="H4032" i="2"/>
  <c r="G4032" i="2"/>
  <c r="H4031" i="2"/>
  <c r="G4031" i="2"/>
  <c r="H4030" i="2"/>
  <c r="G4030" i="2"/>
  <c r="H4029" i="2"/>
  <c r="G4029" i="2"/>
  <c r="H4028" i="2"/>
  <c r="G4028" i="2"/>
  <c r="H4027" i="2"/>
  <c r="G4027" i="2"/>
  <c r="H4026" i="2"/>
  <c r="G4026" i="2"/>
  <c r="H4025" i="2"/>
  <c r="G4025" i="2"/>
  <c r="H4024" i="2"/>
  <c r="G4024" i="2"/>
  <c r="H4023" i="2"/>
  <c r="G4023" i="2"/>
  <c r="H4022" i="2"/>
  <c r="G4022" i="2"/>
  <c r="H4021" i="2"/>
  <c r="G4021" i="2"/>
  <c r="H4020" i="2"/>
  <c r="G4020" i="2"/>
  <c r="H4019" i="2"/>
  <c r="G4019" i="2"/>
  <c r="H4018" i="2"/>
  <c r="G4018" i="2"/>
  <c r="H4017" i="2"/>
  <c r="G4017" i="2"/>
  <c r="H4016" i="2"/>
  <c r="G4016" i="2"/>
  <c r="H4015" i="2"/>
  <c r="G4015" i="2"/>
  <c r="H4014" i="2"/>
  <c r="G4014" i="2"/>
  <c r="H4013" i="2"/>
  <c r="G4013" i="2"/>
  <c r="H4012" i="2"/>
  <c r="G4012" i="2"/>
  <c r="H4011" i="2"/>
  <c r="G4011" i="2"/>
  <c r="H4010" i="2"/>
  <c r="G4010" i="2"/>
  <c r="H4009" i="2"/>
  <c r="G4009" i="2"/>
  <c r="H4008" i="2"/>
  <c r="G4008" i="2"/>
  <c r="H4007" i="2"/>
  <c r="G4007" i="2"/>
  <c r="H4006" i="2"/>
  <c r="G4006" i="2"/>
  <c r="H4005" i="2"/>
  <c r="G4005" i="2"/>
  <c r="H4004" i="2"/>
  <c r="G4004" i="2"/>
  <c r="H4003" i="2"/>
  <c r="G4003" i="2"/>
  <c r="H4002" i="2"/>
  <c r="G4002" i="2"/>
  <c r="H4001" i="2"/>
  <c r="G4001" i="2"/>
  <c r="H4000" i="2"/>
  <c r="G4000" i="2"/>
  <c r="H3999" i="2"/>
  <c r="G3999" i="2"/>
  <c r="H3998" i="2"/>
  <c r="G3998" i="2"/>
  <c r="H3997" i="2"/>
  <c r="G3997" i="2"/>
  <c r="H3996" i="2"/>
  <c r="G3996" i="2"/>
  <c r="H3995" i="2"/>
  <c r="G3995" i="2"/>
  <c r="H3994" i="2"/>
  <c r="G3994" i="2"/>
  <c r="H3993" i="2"/>
  <c r="G3993" i="2"/>
  <c r="H3992" i="2"/>
  <c r="G3992" i="2"/>
  <c r="H3991" i="2"/>
  <c r="G3991" i="2"/>
  <c r="H3990" i="2"/>
  <c r="G3990" i="2"/>
  <c r="H3989" i="2"/>
  <c r="G3989" i="2"/>
  <c r="H3988" i="2"/>
  <c r="G3988" i="2"/>
  <c r="H3987" i="2"/>
  <c r="G3987" i="2"/>
  <c r="H3986" i="2"/>
  <c r="G3986" i="2"/>
  <c r="H3985" i="2"/>
  <c r="G3985" i="2"/>
  <c r="H3984" i="2"/>
  <c r="G3984" i="2"/>
  <c r="H3983" i="2"/>
  <c r="G3983" i="2"/>
  <c r="H3982" i="2"/>
  <c r="G3982" i="2"/>
  <c r="H3981" i="2"/>
  <c r="G3981" i="2"/>
  <c r="H3980" i="2"/>
  <c r="G3980" i="2"/>
  <c r="H3979" i="2"/>
  <c r="G3979" i="2"/>
  <c r="H3978" i="2"/>
  <c r="G3978" i="2"/>
  <c r="H3977" i="2"/>
  <c r="G3977" i="2"/>
  <c r="H3976" i="2"/>
  <c r="G3976" i="2"/>
  <c r="H3975" i="2"/>
  <c r="G3975" i="2"/>
  <c r="H3974" i="2"/>
  <c r="G3974" i="2"/>
  <c r="H3973" i="2"/>
  <c r="G3973" i="2"/>
  <c r="H3972" i="2"/>
  <c r="G3972" i="2"/>
  <c r="H3971" i="2"/>
  <c r="G3971" i="2"/>
  <c r="H3970" i="2"/>
  <c r="G3970" i="2"/>
  <c r="H3969" i="2"/>
  <c r="G3969" i="2"/>
  <c r="H3968" i="2"/>
  <c r="G3968" i="2"/>
  <c r="H3967" i="2"/>
  <c r="G3967" i="2"/>
  <c r="H3966" i="2"/>
  <c r="G3966" i="2"/>
  <c r="H3965" i="2"/>
  <c r="G3965" i="2"/>
  <c r="H3964" i="2"/>
  <c r="G3964" i="2"/>
  <c r="H3963" i="2"/>
  <c r="G3963" i="2"/>
  <c r="H3962" i="2"/>
  <c r="G3962" i="2"/>
  <c r="H3961" i="2"/>
  <c r="G3961" i="2"/>
  <c r="H3960" i="2"/>
  <c r="G3960" i="2"/>
  <c r="H3959" i="2"/>
  <c r="G3959" i="2"/>
  <c r="H3958" i="2"/>
  <c r="G3958" i="2"/>
  <c r="H3957" i="2"/>
  <c r="G3957" i="2"/>
  <c r="H3956" i="2"/>
  <c r="G3956" i="2"/>
  <c r="H3955" i="2"/>
  <c r="G3955" i="2"/>
  <c r="H3954" i="2"/>
  <c r="G3954" i="2"/>
  <c r="H3953" i="2"/>
  <c r="G3953" i="2"/>
  <c r="H3952" i="2"/>
  <c r="G3952" i="2"/>
  <c r="H3951" i="2"/>
  <c r="G3951" i="2"/>
  <c r="H3950" i="2"/>
  <c r="G3950" i="2"/>
  <c r="H3949" i="2"/>
  <c r="G3949" i="2"/>
  <c r="H3948" i="2"/>
  <c r="G3948" i="2"/>
  <c r="H3947" i="2"/>
  <c r="G3947" i="2"/>
  <c r="H3946" i="2"/>
  <c r="G3946" i="2"/>
  <c r="H3945" i="2"/>
  <c r="G3945" i="2"/>
  <c r="H3944" i="2"/>
  <c r="G3944" i="2"/>
  <c r="H3943" i="2"/>
  <c r="G3943" i="2"/>
  <c r="H3942" i="2"/>
  <c r="G3942" i="2"/>
  <c r="H3941" i="2"/>
  <c r="G3941" i="2"/>
  <c r="H3940" i="2"/>
  <c r="G3940" i="2"/>
  <c r="H3939" i="2"/>
  <c r="G3939" i="2"/>
  <c r="H3938" i="2"/>
  <c r="G3938" i="2"/>
  <c r="H3937" i="2"/>
  <c r="G3937" i="2"/>
  <c r="H3936" i="2"/>
  <c r="G3936" i="2"/>
  <c r="H3935" i="2"/>
  <c r="G3935" i="2"/>
  <c r="H3934" i="2"/>
  <c r="G3934" i="2"/>
  <c r="H3933" i="2"/>
  <c r="G3933" i="2"/>
  <c r="H3932" i="2"/>
  <c r="G3932" i="2"/>
  <c r="H3931" i="2"/>
  <c r="G3931" i="2"/>
  <c r="H3930" i="2"/>
  <c r="G3930" i="2"/>
  <c r="H3929" i="2"/>
  <c r="G3929" i="2"/>
  <c r="H3928" i="2"/>
  <c r="G3928" i="2"/>
  <c r="H3927" i="2"/>
  <c r="G3927" i="2"/>
  <c r="H3926" i="2"/>
  <c r="G3926" i="2"/>
  <c r="H3925" i="2"/>
  <c r="G3925" i="2"/>
  <c r="H3924" i="2"/>
  <c r="G3924" i="2"/>
  <c r="H3923" i="2"/>
  <c r="G3923" i="2"/>
  <c r="H3922" i="2"/>
  <c r="G3922" i="2"/>
  <c r="H3921" i="2"/>
  <c r="G3921" i="2"/>
  <c r="H3920" i="2"/>
  <c r="G3920" i="2"/>
  <c r="H3919" i="2"/>
  <c r="G3919" i="2"/>
  <c r="H3918" i="2"/>
  <c r="G3918" i="2"/>
  <c r="H3917" i="2"/>
  <c r="G3917" i="2"/>
  <c r="H3916" i="2"/>
  <c r="G3916" i="2"/>
  <c r="H3915" i="2"/>
  <c r="G3915" i="2"/>
  <c r="H3914" i="2"/>
  <c r="G3914" i="2"/>
  <c r="H3913" i="2"/>
  <c r="G3913" i="2"/>
  <c r="H3912" i="2"/>
  <c r="G3912" i="2"/>
  <c r="H3911" i="2"/>
  <c r="G3911" i="2"/>
  <c r="H3910" i="2"/>
  <c r="G3910" i="2"/>
  <c r="H3909" i="2"/>
  <c r="G3909" i="2"/>
  <c r="H3908" i="2"/>
  <c r="G3908" i="2"/>
  <c r="H3907" i="2"/>
  <c r="G3907" i="2"/>
  <c r="H3906" i="2"/>
  <c r="G3906" i="2"/>
  <c r="H3905" i="2"/>
  <c r="G3905" i="2"/>
  <c r="H3904" i="2"/>
  <c r="G3904" i="2"/>
  <c r="H3903" i="2"/>
  <c r="G3903" i="2"/>
  <c r="H3902" i="2"/>
  <c r="G3902" i="2"/>
  <c r="H3901" i="2"/>
  <c r="G3901" i="2"/>
  <c r="H3900" i="2"/>
  <c r="G3900" i="2"/>
  <c r="H3899" i="2"/>
  <c r="G3899" i="2"/>
  <c r="H3898" i="2"/>
  <c r="G3898" i="2"/>
  <c r="H3897" i="2"/>
  <c r="G3897" i="2"/>
  <c r="H3896" i="2"/>
  <c r="G3896" i="2"/>
  <c r="H3895" i="2"/>
  <c r="G3895" i="2"/>
  <c r="H3894" i="2"/>
  <c r="G3894" i="2"/>
  <c r="H3893" i="2"/>
  <c r="G3893" i="2"/>
  <c r="H3892" i="2"/>
  <c r="G3892" i="2"/>
  <c r="H3891" i="2"/>
  <c r="G3891" i="2"/>
  <c r="H3890" i="2"/>
  <c r="G3890" i="2"/>
  <c r="H3889" i="2"/>
  <c r="G3889" i="2"/>
  <c r="H3888" i="2"/>
  <c r="G3888" i="2"/>
  <c r="H3887" i="2"/>
  <c r="G3887" i="2"/>
  <c r="H3886" i="2"/>
  <c r="G3886" i="2"/>
  <c r="H3885" i="2"/>
  <c r="G3885" i="2"/>
  <c r="H3884" i="2"/>
  <c r="G3884" i="2"/>
  <c r="H3883" i="2"/>
  <c r="G3883" i="2"/>
  <c r="H3882" i="2"/>
  <c r="G3882" i="2"/>
  <c r="H3881" i="2"/>
  <c r="G3881" i="2"/>
  <c r="H3880" i="2"/>
  <c r="G3880" i="2"/>
  <c r="H3879" i="2"/>
  <c r="G3879" i="2"/>
  <c r="H3878" i="2"/>
  <c r="G3878" i="2"/>
  <c r="H3877" i="2"/>
  <c r="G3877" i="2"/>
  <c r="H3876" i="2"/>
  <c r="G3876" i="2"/>
  <c r="H3875" i="2"/>
  <c r="G3875" i="2"/>
  <c r="H3874" i="2"/>
  <c r="G3874" i="2"/>
  <c r="H3873" i="2"/>
  <c r="G3873" i="2"/>
  <c r="H3872" i="2"/>
  <c r="G3872" i="2"/>
  <c r="H3871" i="2"/>
  <c r="G3871" i="2"/>
  <c r="H3870" i="2"/>
  <c r="G3870" i="2"/>
  <c r="H3869" i="2"/>
  <c r="G3869" i="2"/>
  <c r="H3868" i="2"/>
  <c r="G3868" i="2"/>
  <c r="H3867" i="2"/>
  <c r="G3867" i="2"/>
  <c r="H3866" i="2"/>
  <c r="G3866" i="2"/>
  <c r="H3865" i="2"/>
  <c r="G3865" i="2"/>
  <c r="H3864" i="2"/>
  <c r="G3864" i="2"/>
  <c r="H3863" i="2"/>
  <c r="G3863" i="2"/>
  <c r="H3862" i="2"/>
  <c r="G3862" i="2"/>
  <c r="H3861" i="2"/>
  <c r="G3861" i="2"/>
  <c r="H3860" i="2"/>
  <c r="G3860" i="2"/>
  <c r="H3859" i="2"/>
  <c r="G3859" i="2"/>
  <c r="H3858" i="2"/>
  <c r="G3858" i="2"/>
  <c r="H3857" i="2"/>
  <c r="G3857" i="2"/>
  <c r="H3856" i="2"/>
  <c r="G3856" i="2"/>
  <c r="H3855" i="2"/>
  <c r="G3855" i="2"/>
  <c r="H3854" i="2"/>
  <c r="G3854" i="2"/>
  <c r="H3853" i="2"/>
  <c r="G3853" i="2"/>
  <c r="H3852" i="2"/>
  <c r="G3852" i="2"/>
  <c r="H3851" i="2"/>
  <c r="G3851" i="2"/>
  <c r="H3850" i="2"/>
  <c r="G3850" i="2"/>
  <c r="H3849" i="2"/>
  <c r="G3849" i="2"/>
  <c r="H3848" i="2"/>
  <c r="G3848" i="2"/>
  <c r="H3847" i="2"/>
  <c r="G3847" i="2"/>
  <c r="H3846" i="2"/>
  <c r="G3846" i="2"/>
  <c r="H3845" i="2"/>
  <c r="G3845" i="2"/>
  <c r="H3844" i="2"/>
  <c r="G3844" i="2"/>
  <c r="H3843" i="2"/>
  <c r="G3843" i="2"/>
  <c r="H3842" i="2"/>
  <c r="G3842" i="2"/>
  <c r="H3841" i="2"/>
  <c r="G3841" i="2"/>
  <c r="H3840" i="2"/>
  <c r="G3840" i="2"/>
  <c r="H3839" i="2"/>
  <c r="G3839" i="2"/>
  <c r="H3838" i="2"/>
  <c r="G3838" i="2"/>
  <c r="H3837" i="2"/>
  <c r="G3837" i="2"/>
  <c r="H3836" i="2"/>
  <c r="G3836" i="2"/>
  <c r="H3835" i="2"/>
  <c r="G3835" i="2"/>
  <c r="H3834" i="2"/>
  <c r="G3834" i="2"/>
  <c r="H3833" i="2"/>
  <c r="G3833" i="2"/>
  <c r="H3832" i="2"/>
  <c r="G3832" i="2"/>
  <c r="H3831" i="2"/>
  <c r="G3831" i="2"/>
  <c r="H3830" i="2"/>
  <c r="G3830" i="2"/>
  <c r="H3829" i="2"/>
  <c r="G3829" i="2"/>
  <c r="H3828" i="2"/>
  <c r="G3828" i="2"/>
  <c r="H3827" i="2"/>
  <c r="G3827" i="2"/>
  <c r="H3826" i="2"/>
  <c r="G3826" i="2"/>
  <c r="H3825" i="2"/>
  <c r="G3825" i="2"/>
  <c r="H3824" i="2"/>
  <c r="G3824" i="2"/>
  <c r="H3823" i="2"/>
  <c r="G3823" i="2"/>
  <c r="H3822" i="2"/>
  <c r="G3822" i="2"/>
  <c r="H3821" i="2"/>
  <c r="G3821" i="2"/>
  <c r="H3820" i="2"/>
  <c r="G3820" i="2"/>
  <c r="H3819" i="2"/>
  <c r="G3819" i="2"/>
  <c r="H3818" i="2"/>
  <c r="G3818" i="2"/>
  <c r="H3817" i="2"/>
  <c r="G3817" i="2"/>
  <c r="H3816" i="2"/>
  <c r="G3816" i="2"/>
  <c r="H3815" i="2"/>
  <c r="G3815" i="2"/>
  <c r="H3814" i="2"/>
  <c r="G3814" i="2"/>
  <c r="H3813" i="2"/>
  <c r="G3813" i="2"/>
  <c r="H3812" i="2"/>
  <c r="G3812" i="2"/>
  <c r="H3811" i="2"/>
  <c r="G3811" i="2"/>
  <c r="H3810" i="2"/>
  <c r="G3810" i="2"/>
  <c r="H3809" i="2"/>
  <c r="G3809" i="2"/>
  <c r="H3808" i="2"/>
  <c r="G3808" i="2"/>
  <c r="H3807" i="2"/>
  <c r="G3807" i="2"/>
  <c r="H3806" i="2"/>
  <c r="G3806" i="2"/>
  <c r="H3805" i="2"/>
  <c r="G3805" i="2"/>
  <c r="H3804" i="2"/>
  <c r="G3804" i="2"/>
  <c r="H3803" i="2"/>
  <c r="G3803" i="2"/>
  <c r="H3802" i="2"/>
  <c r="G3802" i="2"/>
  <c r="H3801" i="2"/>
  <c r="G3801" i="2"/>
  <c r="H3800" i="2"/>
  <c r="G3800" i="2"/>
  <c r="H3799" i="2"/>
  <c r="G3799" i="2"/>
  <c r="H3798" i="2"/>
  <c r="G3798" i="2"/>
  <c r="H3797" i="2"/>
  <c r="G3797" i="2"/>
  <c r="H3796" i="2"/>
  <c r="G3796" i="2"/>
  <c r="H3795" i="2"/>
  <c r="G3795" i="2"/>
  <c r="H3794" i="2"/>
  <c r="G3794" i="2"/>
  <c r="H3793" i="2"/>
  <c r="G3793" i="2"/>
  <c r="H3792" i="2"/>
  <c r="G3792" i="2"/>
  <c r="H3791" i="2"/>
  <c r="G3791" i="2"/>
  <c r="H3790" i="2"/>
  <c r="G3790" i="2"/>
  <c r="H3789" i="2"/>
  <c r="G3789" i="2"/>
  <c r="H3788" i="2"/>
  <c r="G3788" i="2"/>
  <c r="H3787" i="2"/>
  <c r="G3787" i="2"/>
  <c r="H3786" i="2"/>
  <c r="G3786" i="2"/>
  <c r="H3785" i="2"/>
  <c r="G3785" i="2"/>
  <c r="H3784" i="2"/>
  <c r="G3784" i="2"/>
  <c r="H3783" i="2"/>
  <c r="G3783" i="2"/>
  <c r="H3782" i="2"/>
  <c r="G3782" i="2"/>
  <c r="H3781" i="2"/>
  <c r="G3781" i="2"/>
  <c r="H3780" i="2"/>
  <c r="G3780" i="2"/>
  <c r="H3779" i="2"/>
  <c r="G3779" i="2"/>
  <c r="H3778" i="2"/>
  <c r="G3778" i="2"/>
  <c r="H3777" i="2"/>
  <c r="G3777" i="2"/>
  <c r="H3776" i="2"/>
  <c r="G3776" i="2"/>
  <c r="H3775" i="2"/>
  <c r="G3775" i="2"/>
  <c r="H3774" i="2"/>
  <c r="G3774" i="2"/>
  <c r="H3773" i="2"/>
  <c r="G3773" i="2"/>
  <c r="H3772" i="2"/>
  <c r="G3772" i="2"/>
  <c r="H3771" i="2"/>
  <c r="G3771" i="2"/>
  <c r="H3770" i="2"/>
  <c r="G3770" i="2"/>
  <c r="H3769" i="2"/>
  <c r="G3769" i="2"/>
  <c r="H3768" i="2"/>
  <c r="G3768" i="2"/>
  <c r="H3767" i="2"/>
  <c r="G3767" i="2"/>
  <c r="H3766" i="2"/>
  <c r="G3766" i="2"/>
  <c r="H3765" i="2"/>
  <c r="G3765" i="2"/>
  <c r="H3764" i="2"/>
  <c r="G3764" i="2"/>
  <c r="H3763" i="2"/>
  <c r="G3763" i="2"/>
  <c r="H3762" i="2"/>
  <c r="G3762" i="2"/>
  <c r="H3761" i="2"/>
  <c r="G3761" i="2"/>
  <c r="H3760" i="2"/>
  <c r="G3760" i="2"/>
  <c r="H3759" i="2"/>
  <c r="G3759" i="2"/>
  <c r="H3758" i="2"/>
  <c r="G3758" i="2"/>
  <c r="H3757" i="2"/>
  <c r="G3757" i="2"/>
  <c r="H3756" i="2"/>
  <c r="G3756" i="2"/>
  <c r="H3755" i="2"/>
  <c r="G3755" i="2"/>
  <c r="H3754" i="2"/>
  <c r="G3754" i="2"/>
  <c r="H3753" i="2"/>
  <c r="G3753" i="2"/>
  <c r="H3752" i="2"/>
  <c r="G3752" i="2"/>
  <c r="H3751" i="2"/>
  <c r="G3751" i="2"/>
  <c r="H3750" i="2"/>
  <c r="G3750" i="2"/>
  <c r="H3749" i="2"/>
  <c r="G3749" i="2"/>
  <c r="H3748" i="2"/>
  <c r="G3748" i="2"/>
  <c r="H3747" i="2"/>
  <c r="G3747" i="2"/>
  <c r="H3746" i="2"/>
  <c r="G3746" i="2"/>
  <c r="H3745" i="2"/>
  <c r="G3745" i="2"/>
  <c r="H3744" i="2"/>
  <c r="G3744" i="2"/>
  <c r="H3743" i="2"/>
  <c r="G3743" i="2"/>
  <c r="H3742" i="2"/>
  <c r="G3742" i="2"/>
  <c r="H3741" i="2"/>
  <c r="G3741" i="2"/>
  <c r="H3740" i="2"/>
  <c r="G3740" i="2"/>
  <c r="H3739" i="2"/>
  <c r="G3739" i="2"/>
  <c r="H3738" i="2"/>
  <c r="G3738" i="2"/>
  <c r="H3737" i="2"/>
  <c r="G3737" i="2"/>
  <c r="H3736" i="2"/>
  <c r="G3736" i="2"/>
  <c r="H3735" i="2"/>
  <c r="G3735" i="2"/>
  <c r="H3734" i="2"/>
  <c r="G3734" i="2"/>
  <c r="H3733" i="2"/>
  <c r="G3733" i="2"/>
  <c r="H3732" i="2"/>
  <c r="G3732" i="2"/>
  <c r="H3731" i="2"/>
  <c r="G3731" i="2"/>
  <c r="H3730" i="2"/>
  <c r="G3730" i="2"/>
  <c r="H3729" i="2"/>
  <c r="G3729" i="2"/>
  <c r="H3728" i="2"/>
  <c r="G3728" i="2"/>
  <c r="H3727" i="2"/>
  <c r="G3727" i="2"/>
  <c r="H3726" i="2"/>
  <c r="G3726" i="2"/>
  <c r="H3725" i="2"/>
  <c r="G3725" i="2"/>
  <c r="H3724" i="2"/>
  <c r="G3724" i="2"/>
  <c r="H3723" i="2"/>
  <c r="G3723" i="2"/>
  <c r="H3722" i="2"/>
  <c r="G3722" i="2"/>
  <c r="H3721" i="2"/>
  <c r="G3721" i="2"/>
  <c r="H3720" i="2"/>
  <c r="G3720" i="2"/>
  <c r="H3719" i="2"/>
  <c r="G3719" i="2"/>
  <c r="H3718" i="2"/>
  <c r="G3718" i="2"/>
  <c r="H3717" i="2"/>
  <c r="G3717" i="2"/>
  <c r="H3716" i="2"/>
  <c r="G3716" i="2"/>
  <c r="H3715" i="2"/>
  <c r="G3715" i="2"/>
  <c r="H3714" i="2"/>
  <c r="G3714" i="2"/>
  <c r="H3713" i="2"/>
  <c r="G3713" i="2"/>
  <c r="H3712" i="2"/>
  <c r="G3712" i="2"/>
  <c r="H3711" i="2"/>
  <c r="G3711" i="2"/>
  <c r="H3710" i="2"/>
  <c r="G3710" i="2"/>
  <c r="H3709" i="2"/>
  <c r="G3709" i="2"/>
  <c r="H3708" i="2"/>
  <c r="G3708" i="2"/>
  <c r="H3707" i="2"/>
  <c r="G3707" i="2"/>
  <c r="H3706" i="2"/>
  <c r="G3706" i="2"/>
  <c r="H3705" i="2"/>
  <c r="G3705" i="2"/>
  <c r="H3704" i="2"/>
  <c r="G3704" i="2"/>
  <c r="H3703" i="2"/>
  <c r="G3703" i="2"/>
  <c r="H3702" i="2"/>
  <c r="G3702" i="2"/>
  <c r="H3701" i="2"/>
  <c r="G3701" i="2"/>
  <c r="H3700" i="2"/>
  <c r="G3700" i="2"/>
  <c r="H3699" i="2"/>
  <c r="G3699" i="2"/>
  <c r="H3698" i="2"/>
  <c r="G3698" i="2"/>
  <c r="H3697" i="2"/>
  <c r="G3697" i="2"/>
  <c r="H3696" i="2"/>
  <c r="G3696" i="2"/>
  <c r="H3695" i="2"/>
  <c r="G3695" i="2"/>
  <c r="H3694" i="2"/>
  <c r="G3694" i="2"/>
  <c r="H3693" i="2"/>
  <c r="G3693" i="2"/>
  <c r="H3692" i="2"/>
  <c r="G3692" i="2"/>
  <c r="H3691" i="2"/>
  <c r="G3691" i="2"/>
  <c r="H3690" i="2"/>
  <c r="G3690" i="2"/>
  <c r="H3689" i="2"/>
  <c r="G3689" i="2"/>
  <c r="H3688" i="2"/>
  <c r="G3688" i="2"/>
  <c r="H3687" i="2"/>
  <c r="G3687" i="2"/>
  <c r="H3686" i="2"/>
  <c r="G3686" i="2"/>
  <c r="H3685" i="2"/>
  <c r="G3685" i="2"/>
  <c r="H3684" i="2"/>
  <c r="G3684" i="2"/>
  <c r="H3683" i="2"/>
  <c r="G3683" i="2"/>
  <c r="H3682" i="2"/>
  <c r="G3682" i="2"/>
  <c r="H3681" i="2"/>
  <c r="G3681" i="2"/>
  <c r="H3680" i="2"/>
  <c r="G3680" i="2"/>
  <c r="H3679" i="2"/>
  <c r="G3679" i="2"/>
  <c r="H3678" i="2"/>
  <c r="G3678" i="2"/>
  <c r="H3677" i="2"/>
  <c r="G3677" i="2"/>
  <c r="H3676" i="2"/>
  <c r="G3676" i="2"/>
  <c r="H3675" i="2"/>
  <c r="G3675" i="2"/>
  <c r="H3674" i="2"/>
  <c r="G3674" i="2"/>
  <c r="H3673" i="2"/>
  <c r="G3673" i="2"/>
  <c r="H3672" i="2"/>
  <c r="G3672" i="2"/>
  <c r="H3671" i="2"/>
  <c r="G3671" i="2"/>
  <c r="H3670" i="2"/>
  <c r="G3670" i="2"/>
  <c r="H3669" i="2"/>
  <c r="G3669" i="2"/>
  <c r="H3668" i="2"/>
  <c r="G3668" i="2"/>
  <c r="H3667" i="2"/>
  <c r="G3667" i="2"/>
  <c r="H3666" i="2"/>
  <c r="G3666" i="2"/>
  <c r="H3665" i="2"/>
  <c r="G3665" i="2"/>
  <c r="H3664" i="2"/>
  <c r="G3664" i="2"/>
  <c r="H3663" i="2"/>
  <c r="G3663" i="2"/>
  <c r="H3662" i="2"/>
  <c r="G3662" i="2"/>
  <c r="H3661" i="2"/>
  <c r="G3661" i="2"/>
  <c r="H3660" i="2"/>
  <c r="G3660" i="2"/>
  <c r="H3659" i="2"/>
  <c r="G3659" i="2"/>
  <c r="H3658" i="2"/>
  <c r="G3658" i="2"/>
  <c r="H3657" i="2"/>
  <c r="G3657" i="2"/>
  <c r="H3656" i="2"/>
  <c r="G3656" i="2"/>
  <c r="H3655" i="2"/>
  <c r="G3655" i="2"/>
  <c r="H3654" i="2"/>
  <c r="G3654" i="2"/>
  <c r="H3653" i="2"/>
  <c r="G3653" i="2"/>
  <c r="H3652" i="2"/>
  <c r="G3652" i="2"/>
  <c r="H3651" i="2"/>
  <c r="G3651" i="2"/>
  <c r="H3650" i="2"/>
  <c r="G3650" i="2"/>
  <c r="H3649" i="2"/>
  <c r="G3649" i="2"/>
  <c r="H3648" i="2"/>
  <c r="G3648" i="2"/>
  <c r="H3647" i="2"/>
  <c r="G3647" i="2"/>
  <c r="H3646" i="2"/>
  <c r="G3646" i="2"/>
  <c r="H3645" i="2"/>
  <c r="G3645" i="2"/>
  <c r="H3644" i="2"/>
  <c r="G3644" i="2"/>
  <c r="H3643" i="2"/>
  <c r="G3643" i="2"/>
  <c r="H3642" i="2"/>
  <c r="G3642" i="2"/>
  <c r="H3641" i="2"/>
  <c r="G3641" i="2"/>
  <c r="H3640" i="2"/>
  <c r="G3640" i="2"/>
  <c r="H3639" i="2"/>
  <c r="G3639" i="2"/>
  <c r="H3638" i="2"/>
  <c r="G3638" i="2"/>
  <c r="H3637" i="2"/>
  <c r="G3637" i="2"/>
  <c r="H3636" i="2"/>
  <c r="G3636" i="2"/>
  <c r="H3635" i="2"/>
  <c r="G3635" i="2"/>
  <c r="H3634" i="2"/>
  <c r="G3634" i="2"/>
  <c r="H3633" i="2"/>
  <c r="G3633" i="2"/>
  <c r="H3632" i="2"/>
  <c r="G3632" i="2"/>
  <c r="H3631" i="2"/>
  <c r="G3631" i="2"/>
  <c r="H3630" i="2"/>
  <c r="G3630" i="2"/>
  <c r="H3629" i="2"/>
  <c r="G3629" i="2"/>
  <c r="H3628" i="2"/>
  <c r="G3628" i="2"/>
  <c r="H3627" i="2"/>
  <c r="G3627" i="2"/>
  <c r="H3626" i="2"/>
  <c r="G3626" i="2"/>
  <c r="H3625" i="2"/>
  <c r="G3625" i="2"/>
  <c r="H3624" i="2"/>
  <c r="G3624" i="2"/>
  <c r="H3623" i="2"/>
  <c r="G3623" i="2"/>
  <c r="H3622" i="2"/>
  <c r="G3622" i="2"/>
  <c r="H3621" i="2"/>
  <c r="G3621" i="2"/>
  <c r="H3620" i="2"/>
  <c r="G3620" i="2"/>
  <c r="H3619" i="2"/>
  <c r="G3619" i="2"/>
  <c r="H3618" i="2"/>
  <c r="G3618" i="2"/>
  <c r="H3617" i="2"/>
  <c r="G3617" i="2"/>
  <c r="H3616" i="2"/>
  <c r="G3616" i="2"/>
  <c r="H3615" i="2"/>
  <c r="G3615" i="2"/>
  <c r="H3614" i="2"/>
  <c r="G3614" i="2"/>
  <c r="H3613" i="2"/>
  <c r="G3613" i="2"/>
  <c r="H3612" i="2"/>
  <c r="G3612" i="2"/>
  <c r="H3611" i="2"/>
  <c r="G3611" i="2"/>
  <c r="H3610" i="2"/>
  <c r="G3610" i="2"/>
  <c r="H3609" i="2"/>
  <c r="G3609" i="2"/>
  <c r="H3608" i="2"/>
  <c r="G3608" i="2"/>
  <c r="H3607" i="2"/>
  <c r="G3607" i="2"/>
  <c r="H3606" i="2"/>
  <c r="G3606" i="2"/>
  <c r="H3605" i="2"/>
  <c r="G3605" i="2"/>
  <c r="H3604" i="2"/>
  <c r="G3604" i="2"/>
  <c r="H3603" i="2"/>
  <c r="G3603" i="2"/>
  <c r="H3602" i="2"/>
  <c r="G3602" i="2"/>
  <c r="H3601" i="2"/>
  <c r="G3601" i="2"/>
  <c r="H3600" i="2"/>
  <c r="G3600" i="2"/>
  <c r="H3599" i="2"/>
  <c r="G3599" i="2"/>
  <c r="H3598" i="2"/>
  <c r="G3598" i="2"/>
  <c r="H3597" i="2"/>
  <c r="G3597" i="2"/>
  <c r="H3596" i="2"/>
  <c r="G3596" i="2"/>
  <c r="H3595" i="2"/>
  <c r="G3595" i="2"/>
  <c r="H3594" i="2"/>
  <c r="G3594" i="2"/>
  <c r="H3593" i="2"/>
  <c r="G3593" i="2"/>
  <c r="H3592" i="2"/>
  <c r="G3592" i="2"/>
  <c r="H3591" i="2"/>
  <c r="G3591" i="2"/>
  <c r="H3590" i="2"/>
  <c r="G3590" i="2"/>
  <c r="H3589" i="2"/>
  <c r="G3589" i="2"/>
  <c r="H3588" i="2"/>
  <c r="G3588" i="2"/>
  <c r="H3587" i="2"/>
  <c r="G3587" i="2"/>
  <c r="H3586" i="2"/>
  <c r="G3586" i="2"/>
  <c r="H3585" i="2"/>
  <c r="G3585" i="2"/>
  <c r="H3584" i="2"/>
  <c r="G3584" i="2"/>
  <c r="H3583" i="2"/>
  <c r="G3583" i="2"/>
  <c r="H3582" i="2"/>
  <c r="G3582" i="2"/>
  <c r="H3581" i="2"/>
  <c r="G3581" i="2"/>
  <c r="H3580" i="2"/>
  <c r="G3580" i="2"/>
  <c r="H3579" i="2"/>
  <c r="G3579" i="2"/>
  <c r="H3578" i="2"/>
  <c r="G3578" i="2"/>
  <c r="H3577" i="2"/>
  <c r="G3577" i="2"/>
  <c r="H3576" i="2"/>
  <c r="G3576" i="2"/>
  <c r="H3575" i="2"/>
  <c r="G3575" i="2"/>
  <c r="H3574" i="2"/>
  <c r="G3574" i="2"/>
  <c r="H3573" i="2"/>
  <c r="G3573" i="2"/>
  <c r="H3572" i="2"/>
  <c r="G3572" i="2"/>
  <c r="H3571" i="2"/>
  <c r="G3571" i="2"/>
  <c r="H3570" i="2"/>
  <c r="G3570" i="2"/>
  <c r="H3569" i="2"/>
  <c r="G3569" i="2"/>
  <c r="H3568" i="2"/>
  <c r="G3568" i="2"/>
  <c r="H3567" i="2"/>
  <c r="G3567" i="2"/>
  <c r="H3566" i="2"/>
  <c r="G3566" i="2"/>
  <c r="H3565" i="2"/>
  <c r="G3565" i="2"/>
  <c r="H3564" i="2"/>
  <c r="G3564" i="2"/>
  <c r="H3563" i="2"/>
  <c r="G3563" i="2"/>
  <c r="H3562" i="2"/>
  <c r="G3562" i="2"/>
  <c r="H3561" i="2"/>
  <c r="G3561" i="2"/>
  <c r="H3560" i="2"/>
  <c r="G3560" i="2"/>
  <c r="H3559" i="2"/>
  <c r="G3559" i="2"/>
  <c r="H3558" i="2"/>
  <c r="G3558" i="2"/>
  <c r="H3557" i="2"/>
  <c r="G3557" i="2"/>
  <c r="H3556" i="2"/>
  <c r="G3556" i="2"/>
  <c r="H3555" i="2"/>
  <c r="G3555" i="2"/>
  <c r="H3554" i="2"/>
  <c r="G3554" i="2"/>
  <c r="H3553" i="2"/>
  <c r="G3553" i="2"/>
  <c r="H3552" i="2"/>
  <c r="G3552" i="2"/>
  <c r="H3551" i="2"/>
  <c r="G3551" i="2"/>
  <c r="H3550" i="2"/>
  <c r="G3550" i="2"/>
  <c r="H3549" i="2"/>
  <c r="G3549" i="2"/>
  <c r="H3548" i="2"/>
  <c r="G3548" i="2"/>
  <c r="H3547" i="2"/>
  <c r="G3547" i="2"/>
  <c r="H3546" i="2"/>
  <c r="G3546" i="2"/>
  <c r="H3545" i="2"/>
  <c r="G3545" i="2"/>
  <c r="H3544" i="2"/>
  <c r="G3544" i="2"/>
  <c r="H3543" i="2"/>
  <c r="G3543" i="2"/>
  <c r="H3542" i="2"/>
  <c r="G3542" i="2"/>
  <c r="H3541" i="2"/>
  <c r="G3541" i="2"/>
  <c r="H3540" i="2"/>
  <c r="G3540" i="2"/>
  <c r="H3539" i="2"/>
  <c r="G3539" i="2"/>
  <c r="H3538" i="2"/>
  <c r="G3538" i="2"/>
  <c r="H3537" i="2"/>
  <c r="G3537" i="2"/>
  <c r="H3536" i="2"/>
  <c r="G3536" i="2"/>
  <c r="H3535" i="2"/>
  <c r="G3535" i="2"/>
  <c r="H3534" i="2"/>
  <c r="G3534" i="2"/>
  <c r="H3533" i="2"/>
  <c r="G3533" i="2"/>
  <c r="H3532" i="2"/>
  <c r="G3532" i="2"/>
  <c r="H3531" i="2"/>
  <c r="G3531" i="2"/>
  <c r="H3530" i="2"/>
  <c r="G3530" i="2"/>
  <c r="H3529" i="2"/>
  <c r="G3529" i="2"/>
  <c r="H3528" i="2"/>
  <c r="G3528" i="2"/>
  <c r="H3527" i="2"/>
  <c r="G3527" i="2"/>
  <c r="H3526" i="2"/>
  <c r="G3526" i="2"/>
  <c r="H3525" i="2"/>
  <c r="G3525" i="2"/>
  <c r="H3524" i="2"/>
  <c r="G3524" i="2"/>
  <c r="H3523" i="2"/>
  <c r="G3523" i="2"/>
  <c r="H3522" i="2"/>
  <c r="G3522" i="2"/>
  <c r="H3521" i="2"/>
  <c r="G3521" i="2"/>
  <c r="H3520" i="2"/>
  <c r="G3520" i="2"/>
  <c r="H3519" i="2"/>
  <c r="G3519" i="2"/>
  <c r="H3518" i="2"/>
  <c r="G3518" i="2"/>
  <c r="H3517" i="2"/>
  <c r="G3517" i="2"/>
  <c r="H3516" i="2"/>
  <c r="G3516" i="2"/>
  <c r="H3515" i="2"/>
  <c r="G3515" i="2"/>
  <c r="H3514" i="2"/>
  <c r="G3514" i="2"/>
  <c r="H3513" i="2"/>
  <c r="G3513" i="2"/>
  <c r="H3512" i="2"/>
  <c r="G3512" i="2"/>
  <c r="H3511" i="2"/>
  <c r="G3511" i="2"/>
  <c r="H3510" i="2"/>
  <c r="G3510" i="2"/>
  <c r="H3509" i="2"/>
  <c r="G3509" i="2"/>
  <c r="H3508" i="2"/>
  <c r="G3508" i="2"/>
  <c r="H3507" i="2"/>
  <c r="G3507" i="2"/>
  <c r="H3506" i="2"/>
  <c r="G3506" i="2"/>
  <c r="H3505" i="2"/>
  <c r="G3505" i="2"/>
  <c r="H3504" i="2"/>
  <c r="G3504" i="2"/>
  <c r="H3503" i="2"/>
  <c r="G3503" i="2"/>
  <c r="H3502" i="2"/>
  <c r="G3502" i="2"/>
  <c r="H3501" i="2"/>
  <c r="G3501" i="2"/>
  <c r="H3500" i="2"/>
  <c r="G3500" i="2"/>
  <c r="H3499" i="2"/>
  <c r="G3499" i="2"/>
  <c r="H3498" i="2"/>
  <c r="G3498" i="2"/>
  <c r="H3497" i="2"/>
  <c r="G3497" i="2"/>
  <c r="H3496" i="2"/>
  <c r="G3496" i="2"/>
  <c r="H3495" i="2"/>
  <c r="G3495" i="2"/>
  <c r="H3494" i="2"/>
  <c r="G3494" i="2"/>
  <c r="H3493" i="2"/>
  <c r="G3493" i="2"/>
  <c r="H3492" i="2"/>
  <c r="G3492" i="2"/>
  <c r="H3491" i="2"/>
  <c r="G3491" i="2"/>
  <c r="H3490" i="2"/>
  <c r="G3490" i="2"/>
  <c r="H3489" i="2"/>
  <c r="G3489" i="2"/>
  <c r="H3488" i="2"/>
  <c r="G3488" i="2"/>
  <c r="H3487" i="2"/>
  <c r="G3487" i="2"/>
  <c r="H3486" i="2"/>
  <c r="G3486" i="2"/>
  <c r="H3485" i="2"/>
  <c r="G3485" i="2"/>
  <c r="H3484" i="2"/>
  <c r="G3484" i="2"/>
  <c r="H3483" i="2"/>
  <c r="G3483" i="2"/>
  <c r="H3482" i="2"/>
  <c r="G3482" i="2"/>
  <c r="H3481" i="2"/>
  <c r="G3481" i="2"/>
  <c r="H3480" i="2"/>
  <c r="G3480" i="2"/>
  <c r="H3479" i="2"/>
  <c r="G3479" i="2"/>
  <c r="H3478" i="2"/>
  <c r="G3478" i="2"/>
  <c r="H3477" i="2"/>
  <c r="G3477" i="2"/>
  <c r="H3476" i="2"/>
  <c r="G3476" i="2"/>
  <c r="H3475" i="2"/>
  <c r="G3475" i="2"/>
  <c r="H3474" i="2"/>
  <c r="G3474" i="2"/>
  <c r="H3473" i="2"/>
  <c r="G3473" i="2"/>
  <c r="H3472" i="2"/>
  <c r="G3472" i="2"/>
  <c r="H3471" i="2"/>
  <c r="G3471" i="2"/>
  <c r="H3470" i="2"/>
  <c r="G3470" i="2"/>
  <c r="H3469" i="2"/>
  <c r="G3469" i="2"/>
  <c r="H3468" i="2"/>
  <c r="G3468" i="2"/>
  <c r="H3467" i="2"/>
  <c r="G3467" i="2"/>
  <c r="H3466" i="2"/>
  <c r="G3466" i="2"/>
  <c r="H3465" i="2"/>
  <c r="G3465" i="2"/>
  <c r="H3464" i="2"/>
  <c r="G3464" i="2"/>
  <c r="H3463" i="2"/>
  <c r="G3463" i="2"/>
  <c r="H3462" i="2"/>
  <c r="G3462" i="2"/>
  <c r="H3461" i="2"/>
  <c r="G3461" i="2"/>
  <c r="H3460" i="2"/>
  <c r="G3460" i="2"/>
  <c r="H3459" i="2"/>
  <c r="G3459" i="2"/>
  <c r="H3458" i="2"/>
  <c r="G3458" i="2"/>
  <c r="H3457" i="2"/>
  <c r="G3457" i="2"/>
  <c r="H3456" i="2"/>
  <c r="G3456" i="2"/>
  <c r="H3455" i="2"/>
  <c r="G3455" i="2"/>
  <c r="H3454" i="2"/>
  <c r="G3454" i="2"/>
  <c r="H3453" i="2"/>
  <c r="G3453" i="2"/>
  <c r="H3452" i="2"/>
  <c r="G3452" i="2"/>
  <c r="H3451" i="2"/>
  <c r="G3451" i="2"/>
  <c r="H3450" i="2"/>
  <c r="G3450" i="2"/>
  <c r="H3449" i="2"/>
  <c r="G3449" i="2"/>
  <c r="H3448" i="2"/>
  <c r="G3448" i="2"/>
  <c r="H3447" i="2"/>
  <c r="G3447" i="2"/>
  <c r="H3446" i="2"/>
  <c r="G3446" i="2"/>
  <c r="H3445" i="2"/>
  <c r="G3445" i="2"/>
  <c r="H3444" i="2"/>
  <c r="G3444" i="2"/>
  <c r="H3443" i="2"/>
  <c r="G3443" i="2"/>
  <c r="H3442" i="2"/>
  <c r="G3442" i="2"/>
  <c r="H3441" i="2"/>
  <c r="G3441" i="2"/>
  <c r="H3440" i="2"/>
  <c r="G3440" i="2"/>
  <c r="H3439" i="2"/>
  <c r="G3439" i="2"/>
  <c r="H3438" i="2"/>
  <c r="G3438" i="2"/>
  <c r="H3437" i="2"/>
  <c r="G3437" i="2"/>
  <c r="H3436" i="2"/>
  <c r="G3436" i="2"/>
  <c r="H3435" i="2"/>
  <c r="G3435" i="2"/>
  <c r="H3434" i="2"/>
  <c r="G3434" i="2"/>
  <c r="H3433" i="2"/>
  <c r="G3433" i="2"/>
  <c r="H3432" i="2"/>
  <c r="G3432" i="2"/>
  <c r="H3431" i="2"/>
  <c r="G3431" i="2"/>
  <c r="H3430" i="2"/>
  <c r="G3430" i="2"/>
  <c r="H3429" i="2"/>
  <c r="G3429" i="2"/>
  <c r="H3428" i="2"/>
  <c r="G3428" i="2"/>
  <c r="H3427" i="2"/>
  <c r="G3427" i="2"/>
  <c r="H3426" i="2"/>
  <c r="G3426" i="2"/>
  <c r="H3425" i="2"/>
  <c r="G3425" i="2"/>
  <c r="H3424" i="2"/>
  <c r="G3424" i="2"/>
  <c r="H3423" i="2"/>
  <c r="G3423" i="2"/>
  <c r="H3422" i="2"/>
  <c r="G3422" i="2"/>
  <c r="H3421" i="2"/>
  <c r="G3421" i="2"/>
  <c r="H3420" i="2"/>
  <c r="G3420" i="2"/>
  <c r="H3419" i="2"/>
  <c r="G3419" i="2"/>
  <c r="H3418" i="2"/>
  <c r="G3418" i="2"/>
  <c r="H3417" i="2"/>
  <c r="G3417" i="2"/>
  <c r="H3416" i="2"/>
  <c r="G3416" i="2"/>
  <c r="H3415" i="2"/>
  <c r="G3415" i="2"/>
  <c r="H3414" i="2"/>
  <c r="G3414" i="2"/>
  <c r="H3413" i="2"/>
  <c r="G3413" i="2"/>
  <c r="H3412" i="2"/>
  <c r="G3412" i="2"/>
  <c r="H3411" i="2"/>
  <c r="G3411" i="2"/>
  <c r="H3410" i="2"/>
  <c r="G3410" i="2"/>
  <c r="H3409" i="2"/>
  <c r="G3409" i="2"/>
  <c r="H3408" i="2"/>
  <c r="G3408" i="2"/>
  <c r="H3407" i="2"/>
  <c r="G3407" i="2"/>
  <c r="H3406" i="2"/>
  <c r="G3406" i="2"/>
  <c r="H3405" i="2"/>
  <c r="G3405" i="2"/>
  <c r="H3404" i="2"/>
  <c r="G3404" i="2"/>
  <c r="H3403" i="2"/>
  <c r="G3403" i="2"/>
  <c r="H3402" i="2"/>
  <c r="G3402" i="2"/>
  <c r="H3401" i="2"/>
  <c r="G3401" i="2"/>
  <c r="H3400" i="2"/>
  <c r="G3400" i="2"/>
  <c r="H3399" i="2"/>
  <c r="G3399" i="2"/>
  <c r="H3398" i="2"/>
  <c r="G3398" i="2"/>
  <c r="H3397" i="2"/>
  <c r="G3397" i="2"/>
  <c r="H3396" i="2"/>
  <c r="G3396" i="2"/>
  <c r="H3395" i="2"/>
  <c r="G3395" i="2"/>
  <c r="H3394" i="2"/>
  <c r="G3394" i="2"/>
  <c r="H3393" i="2"/>
  <c r="G3393" i="2"/>
  <c r="H3392" i="2"/>
  <c r="G3392" i="2"/>
  <c r="H3391" i="2"/>
  <c r="G3391" i="2"/>
  <c r="H3390" i="2"/>
  <c r="G3390" i="2"/>
  <c r="H3389" i="2"/>
  <c r="G3389" i="2"/>
  <c r="H3388" i="2"/>
  <c r="G3388" i="2"/>
  <c r="H3387" i="2"/>
  <c r="G3387" i="2"/>
  <c r="H3386" i="2"/>
  <c r="G3386" i="2"/>
  <c r="H3385" i="2"/>
  <c r="G3385" i="2"/>
  <c r="H3384" i="2"/>
  <c r="G3384" i="2"/>
  <c r="H3383" i="2"/>
  <c r="G3383" i="2"/>
  <c r="H3382" i="2"/>
  <c r="G3382" i="2"/>
  <c r="H3381" i="2"/>
  <c r="G3381" i="2"/>
  <c r="H3380" i="2"/>
  <c r="G3380" i="2"/>
  <c r="H3379" i="2"/>
  <c r="G3379" i="2"/>
  <c r="H3378" i="2"/>
  <c r="G3378" i="2"/>
  <c r="H3377" i="2"/>
  <c r="G3377" i="2"/>
  <c r="H3376" i="2"/>
  <c r="G3376" i="2"/>
  <c r="H3375" i="2"/>
  <c r="G3375" i="2"/>
  <c r="H3374" i="2"/>
  <c r="G3374" i="2"/>
  <c r="H3373" i="2"/>
  <c r="G3373" i="2"/>
  <c r="H3372" i="2"/>
  <c r="G3372" i="2"/>
  <c r="H3371" i="2"/>
  <c r="G3371" i="2"/>
  <c r="H3370" i="2"/>
  <c r="G3370" i="2"/>
  <c r="H3369" i="2"/>
  <c r="G3369" i="2"/>
  <c r="H3368" i="2"/>
  <c r="G3368" i="2"/>
  <c r="H3367" i="2"/>
  <c r="G3367" i="2"/>
  <c r="H3366" i="2"/>
  <c r="G3366" i="2"/>
  <c r="H3365" i="2"/>
  <c r="G3365" i="2"/>
  <c r="H3364" i="2"/>
  <c r="G3364" i="2"/>
  <c r="H3363" i="2"/>
  <c r="G3363" i="2"/>
  <c r="H3362" i="2"/>
  <c r="G3362" i="2"/>
  <c r="H3361" i="2"/>
  <c r="G3361" i="2"/>
  <c r="H3360" i="2"/>
  <c r="G3360" i="2"/>
  <c r="H3359" i="2"/>
  <c r="G3359" i="2"/>
  <c r="H3358" i="2"/>
  <c r="G3358" i="2"/>
  <c r="H3357" i="2"/>
  <c r="G3357" i="2"/>
  <c r="H3356" i="2"/>
  <c r="G3356" i="2"/>
  <c r="H3355" i="2"/>
  <c r="G3355" i="2"/>
  <c r="H3354" i="2"/>
  <c r="G3354" i="2"/>
  <c r="H3353" i="2"/>
  <c r="G3353" i="2"/>
  <c r="H3352" i="2"/>
  <c r="G3352" i="2"/>
  <c r="H3351" i="2"/>
  <c r="G3351" i="2"/>
  <c r="H3350" i="2"/>
  <c r="G3350" i="2"/>
  <c r="H3349" i="2"/>
  <c r="G3349" i="2"/>
  <c r="H3348" i="2"/>
  <c r="G3348" i="2"/>
  <c r="H3347" i="2"/>
  <c r="G3347" i="2"/>
  <c r="H3346" i="2"/>
  <c r="G3346" i="2"/>
  <c r="H3345" i="2"/>
  <c r="G3345" i="2"/>
  <c r="H3344" i="2"/>
  <c r="G3344" i="2"/>
  <c r="H3343" i="2"/>
  <c r="G3343" i="2"/>
  <c r="H3342" i="2"/>
  <c r="G3342" i="2"/>
  <c r="H3341" i="2"/>
  <c r="G3341" i="2"/>
  <c r="H3340" i="2"/>
  <c r="G3340" i="2"/>
  <c r="H3339" i="2"/>
  <c r="G3339" i="2"/>
  <c r="H3338" i="2"/>
  <c r="G3338" i="2"/>
  <c r="H3337" i="2"/>
  <c r="G3337" i="2"/>
  <c r="H3336" i="2"/>
  <c r="G3336" i="2"/>
  <c r="H3335" i="2"/>
  <c r="G3335" i="2"/>
  <c r="H3334" i="2"/>
  <c r="G3334" i="2"/>
  <c r="H3333" i="2"/>
  <c r="G3333" i="2"/>
  <c r="H3332" i="2"/>
  <c r="G3332" i="2"/>
  <c r="H3331" i="2"/>
  <c r="G3331" i="2"/>
  <c r="H3330" i="2"/>
  <c r="G3330" i="2"/>
  <c r="H3329" i="2"/>
  <c r="G3329" i="2"/>
  <c r="H3328" i="2"/>
  <c r="G3328" i="2"/>
  <c r="H3327" i="2"/>
  <c r="G3327" i="2"/>
  <c r="H3326" i="2"/>
  <c r="G3326" i="2"/>
  <c r="H3325" i="2"/>
  <c r="G3325" i="2"/>
  <c r="H3324" i="2"/>
  <c r="G3324" i="2"/>
  <c r="H3323" i="2"/>
  <c r="G3323" i="2"/>
  <c r="H3322" i="2"/>
  <c r="G3322" i="2"/>
  <c r="H3321" i="2"/>
  <c r="G3321" i="2"/>
  <c r="H3320" i="2"/>
  <c r="G3320" i="2"/>
  <c r="H3319" i="2"/>
  <c r="G3319" i="2"/>
  <c r="H3318" i="2"/>
  <c r="G3318" i="2"/>
  <c r="H3317" i="2"/>
  <c r="G3317" i="2"/>
  <c r="H3316" i="2"/>
  <c r="G3316" i="2"/>
  <c r="H3315" i="2"/>
  <c r="G3315" i="2"/>
  <c r="H3314" i="2"/>
  <c r="G3314" i="2"/>
  <c r="H3313" i="2"/>
  <c r="G3313" i="2"/>
  <c r="H3312" i="2"/>
  <c r="G3312" i="2"/>
  <c r="H3311" i="2"/>
  <c r="G3311" i="2"/>
  <c r="H3310" i="2"/>
  <c r="G3310" i="2"/>
  <c r="H3309" i="2"/>
  <c r="G3309" i="2"/>
  <c r="H3308" i="2"/>
  <c r="G3308" i="2"/>
  <c r="H3307" i="2"/>
  <c r="G3307" i="2"/>
  <c r="H3306" i="2"/>
  <c r="G3306" i="2"/>
  <c r="H3305" i="2"/>
  <c r="G3305" i="2"/>
  <c r="H3304" i="2"/>
  <c r="G3304" i="2"/>
  <c r="H3303" i="2"/>
  <c r="G3303" i="2"/>
  <c r="H3302" i="2"/>
  <c r="G3302" i="2"/>
  <c r="H3301" i="2"/>
  <c r="G3301" i="2"/>
  <c r="H3300" i="2"/>
  <c r="G3300" i="2"/>
  <c r="H3299" i="2"/>
  <c r="G3299" i="2"/>
  <c r="H3298" i="2"/>
  <c r="G3298" i="2"/>
  <c r="H3297" i="2"/>
  <c r="G3297" i="2"/>
  <c r="H3296" i="2"/>
  <c r="G3296" i="2"/>
  <c r="H3295" i="2"/>
  <c r="G3295" i="2"/>
  <c r="H3294" i="2"/>
  <c r="G3294" i="2"/>
  <c r="H3293" i="2"/>
  <c r="G3293" i="2"/>
  <c r="H3292" i="2"/>
  <c r="G3292" i="2"/>
  <c r="H3291" i="2"/>
  <c r="G3291" i="2"/>
  <c r="H3290" i="2"/>
  <c r="G3290" i="2"/>
  <c r="H3289" i="2"/>
  <c r="G3289" i="2"/>
  <c r="H3288" i="2"/>
  <c r="G3288" i="2"/>
  <c r="H3287" i="2"/>
  <c r="G3287" i="2"/>
  <c r="H3286" i="2"/>
  <c r="G3286" i="2"/>
  <c r="H3285" i="2"/>
  <c r="G3285" i="2"/>
  <c r="H3284" i="2"/>
  <c r="G3284" i="2"/>
  <c r="H3283" i="2"/>
  <c r="G3283" i="2"/>
  <c r="H3282" i="2"/>
  <c r="G3282" i="2"/>
  <c r="H3281" i="2"/>
  <c r="G3281" i="2"/>
  <c r="H3280" i="2"/>
  <c r="G3280" i="2"/>
  <c r="H3279" i="2"/>
  <c r="G3279" i="2"/>
  <c r="H3278" i="2"/>
  <c r="G3278" i="2"/>
  <c r="H3277" i="2"/>
  <c r="G3277" i="2"/>
  <c r="H3276" i="2"/>
  <c r="G3276" i="2"/>
  <c r="H3275" i="2"/>
  <c r="G3275" i="2"/>
  <c r="H3274" i="2"/>
  <c r="G3274" i="2"/>
  <c r="H3273" i="2"/>
  <c r="G3273" i="2"/>
  <c r="H3272" i="2"/>
  <c r="G3272" i="2"/>
  <c r="H3271" i="2"/>
  <c r="G3271" i="2"/>
  <c r="H3270" i="2"/>
  <c r="G3270" i="2"/>
  <c r="H3269" i="2"/>
  <c r="G3269" i="2"/>
  <c r="H3268" i="2"/>
  <c r="G3268" i="2"/>
  <c r="H3267" i="2"/>
  <c r="G3267" i="2"/>
  <c r="H3266" i="2"/>
  <c r="G3266" i="2"/>
  <c r="H3265" i="2"/>
  <c r="G3265" i="2"/>
  <c r="H3264" i="2"/>
  <c r="G3264" i="2"/>
  <c r="H3263" i="2"/>
  <c r="G3263" i="2"/>
  <c r="H3262" i="2"/>
  <c r="G3262" i="2"/>
  <c r="H3261" i="2"/>
  <c r="G3261" i="2"/>
  <c r="H3260" i="2"/>
  <c r="G3260" i="2"/>
  <c r="H3259" i="2"/>
  <c r="G3259" i="2"/>
  <c r="H3258" i="2"/>
  <c r="G3258" i="2"/>
  <c r="H3257" i="2"/>
  <c r="G3257" i="2"/>
  <c r="H3256" i="2"/>
  <c r="G3256" i="2"/>
  <c r="H3255" i="2"/>
  <c r="G3255" i="2"/>
  <c r="H3254" i="2"/>
  <c r="G3254" i="2"/>
  <c r="H3253" i="2"/>
  <c r="G3253" i="2"/>
  <c r="H3252" i="2"/>
  <c r="G3252" i="2"/>
  <c r="H3251" i="2"/>
  <c r="G3251" i="2"/>
  <c r="H3250" i="2"/>
  <c r="G3250" i="2"/>
  <c r="H3249" i="2"/>
  <c r="G3249" i="2"/>
  <c r="H3248" i="2"/>
  <c r="G3248" i="2"/>
  <c r="H3247" i="2"/>
  <c r="G3247" i="2"/>
  <c r="H3246" i="2"/>
  <c r="G3246" i="2"/>
  <c r="H3245" i="2"/>
  <c r="G3245" i="2"/>
  <c r="H3244" i="2"/>
  <c r="G3244" i="2"/>
  <c r="H3243" i="2"/>
  <c r="G3243" i="2"/>
  <c r="H3242" i="2"/>
  <c r="G3242" i="2"/>
  <c r="H3241" i="2"/>
  <c r="G3241" i="2"/>
  <c r="H3240" i="2"/>
  <c r="G3240" i="2"/>
  <c r="H3239" i="2"/>
  <c r="G3239" i="2"/>
  <c r="H3238" i="2"/>
  <c r="G3238" i="2"/>
  <c r="H3237" i="2"/>
  <c r="G3237" i="2"/>
  <c r="H3236" i="2"/>
  <c r="G3236" i="2"/>
  <c r="H3235" i="2"/>
  <c r="G3235" i="2"/>
  <c r="H3234" i="2"/>
  <c r="G3234" i="2"/>
  <c r="H3233" i="2"/>
  <c r="G3233" i="2"/>
  <c r="H3232" i="2"/>
  <c r="G3232" i="2"/>
  <c r="H3231" i="2"/>
  <c r="G3231" i="2"/>
  <c r="H3230" i="2"/>
  <c r="G3230" i="2"/>
  <c r="H3229" i="2"/>
  <c r="G3229" i="2"/>
  <c r="H3228" i="2"/>
  <c r="G3228" i="2"/>
  <c r="H3227" i="2"/>
  <c r="G3227" i="2"/>
  <c r="H3226" i="2"/>
  <c r="G3226" i="2"/>
  <c r="H3225" i="2"/>
  <c r="G3225" i="2"/>
  <c r="H3224" i="2"/>
  <c r="G3224" i="2"/>
  <c r="H3223" i="2"/>
  <c r="G3223" i="2"/>
  <c r="H3222" i="2"/>
  <c r="G3222" i="2"/>
  <c r="H3221" i="2"/>
  <c r="G3221" i="2"/>
  <c r="H3220" i="2"/>
  <c r="G3220" i="2"/>
  <c r="H3219" i="2"/>
  <c r="G3219" i="2"/>
  <c r="H3218" i="2"/>
  <c r="G3218" i="2"/>
  <c r="H3217" i="2"/>
  <c r="G3217" i="2"/>
  <c r="H3216" i="2"/>
  <c r="G3216" i="2"/>
  <c r="H3215" i="2"/>
  <c r="G3215" i="2"/>
  <c r="H3214" i="2"/>
  <c r="G3214" i="2"/>
  <c r="H3213" i="2"/>
  <c r="G3213" i="2"/>
  <c r="H3212" i="2"/>
  <c r="G3212" i="2"/>
  <c r="H3211" i="2"/>
  <c r="G3211" i="2"/>
  <c r="H3210" i="2"/>
  <c r="G3210" i="2"/>
  <c r="H3209" i="2"/>
  <c r="G3209" i="2"/>
  <c r="H3208" i="2"/>
  <c r="G3208" i="2"/>
  <c r="H3207" i="2"/>
  <c r="G3207" i="2"/>
  <c r="H3206" i="2"/>
  <c r="G3206" i="2"/>
  <c r="H3205" i="2"/>
  <c r="G3205" i="2"/>
  <c r="H3204" i="2"/>
  <c r="G3204" i="2"/>
  <c r="H3203" i="2"/>
  <c r="G3203" i="2"/>
  <c r="H3202" i="2"/>
  <c r="G3202" i="2"/>
  <c r="H3201" i="2"/>
  <c r="G3201" i="2"/>
  <c r="H3200" i="2"/>
  <c r="G3200" i="2"/>
  <c r="H3199" i="2"/>
  <c r="G3199" i="2"/>
  <c r="H3198" i="2"/>
  <c r="G3198" i="2"/>
  <c r="H3197" i="2"/>
  <c r="G3197" i="2"/>
  <c r="H3196" i="2"/>
  <c r="G3196" i="2"/>
  <c r="H3195" i="2"/>
  <c r="G3195" i="2"/>
  <c r="H3194" i="2"/>
  <c r="G3194" i="2"/>
  <c r="H3193" i="2"/>
  <c r="G3193" i="2"/>
  <c r="H3192" i="2"/>
  <c r="G3192" i="2"/>
  <c r="H3191" i="2"/>
  <c r="G3191" i="2"/>
  <c r="H3190" i="2"/>
  <c r="G3190" i="2"/>
  <c r="H3189" i="2"/>
  <c r="G3189" i="2"/>
  <c r="H3188" i="2"/>
  <c r="G3188" i="2"/>
  <c r="H3187" i="2"/>
  <c r="G3187" i="2"/>
  <c r="H3186" i="2"/>
  <c r="G3186" i="2"/>
  <c r="H3185" i="2"/>
  <c r="G3185" i="2"/>
  <c r="H3184" i="2"/>
  <c r="G3184" i="2"/>
  <c r="H3183" i="2"/>
  <c r="G3183" i="2"/>
  <c r="H3182" i="2"/>
  <c r="G3182" i="2"/>
  <c r="H3181" i="2"/>
  <c r="G3181" i="2"/>
  <c r="H3180" i="2"/>
  <c r="G3180" i="2"/>
  <c r="H3179" i="2"/>
  <c r="G3179" i="2"/>
  <c r="H3178" i="2"/>
  <c r="G3178" i="2"/>
  <c r="H3177" i="2"/>
  <c r="G3177" i="2"/>
  <c r="H3176" i="2"/>
  <c r="G3176" i="2"/>
  <c r="H3175" i="2"/>
  <c r="G3175" i="2"/>
  <c r="H3174" i="2"/>
  <c r="G3174" i="2"/>
  <c r="H3173" i="2"/>
  <c r="G3173" i="2"/>
  <c r="H3172" i="2"/>
  <c r="G3172" i="2"/>
  <c r="H3171" i="2"/>
  <c r="G3171" i="2"/>
  <c r="H3170" i="2"/>
  <c r="G3170" i="2"/>
  <c r="H3169" i="2"/>
  <c r="G3169" i="2"/>
  <c r="H3168" i="2"/>
  <c r="G3168" i="2"/>
  <c r="H3167" i="2"/>
  <c r="G3167" i="2"/>
  <c r="H3166" i="2"/>
  <c r="G3166" i="2"/>
  <c r="H3165" i="2"/>
  <c r="G3165" i="2"/>
  <c r="H3164" i="2"/>
  <c r="G3164" i="2"/>
  <c r="H3163" i="2"/>
  <c r="G3163" i="2"/>
  <c r="H3162" i="2"/>
  <c r="G3162" i="2"/>
  <c r="H3161" i="2"/>
  <c r="G3161" i="2"/>
  <c r="H3160" i="2"/>
  <c r="G3160" i="2"/>
  <c r="H3159" i="2"/>
  <c r="G3159" i="2"/>
  <c r="H3158" i="2"/>
  <c r="G3158" i="2"/>
  <c r="H3157" i="2"/>
  <c r="G3157" i="2"/>
  <c r="H3156" i="2"/>
  <c r="G3156" i="2"/>
  <c r="H3155" i="2"/>
  <c r="G3155" i="2"/>
  <c r="H3154" i="2"/>
  <c r="G3154" i="2"/>
  <c r="H3153" i="2"/>
  <c r="G3153" i="2"/>
  <c r="H3152" i="2"/>
  <c r="G3152" i="2"/>
  <c r="H3151" i="2"/>
  <c r="G3151" i="2"/>
  <c r="H3150" i="2"/>
  <c r="G3150" i="2"/>
  <c r="H3149" i="2"/>
  <c r="G3149" i="2"/>
  <c r="H3148" i="2"/>
  <c r="G3148" i="2"/>
  <c r="H3147" i="2"/>
  <c r="G3147" i="2"/>
  <c r="H3146" i="2"/>
  <c r="G3146" i="2"/>
  <c r="H3145" i="2"/>
  <c r="G3145" i="2"/>
  <c r="H3144" i="2"/>
  <c r="G3144" i="2"/>
  <c r="H3143" i="2"/>
  <c r="G3143" i="2"/>
  <c r="H3142" i="2"/>
  <c r="G3142" i="2"/>
  <c r="H3141" i="2"/>
  <c r="G3141" i="2"/>
  <c r="H3140" i="2"/>
  <c r="G3140" i="2"/>
  <c r="H3139" i="2"/>
  <c r="G3139" i="2"/>
  <c r="H3138" i="2"/>
  <c r="G3138" i="2"/>
  <c r="H3137" i="2"/>
  <c r="G3137" i="2"/>
  <c r="H3136" i="2"/>
  <c r="G3136" i="2"/>
  <c r="H3135" i="2"/>
  <c r="G3135" i="2"/>
  <c r="H3134" i="2"/>
  <c r="G3134" i="2"/>
  <c r="H3133" i="2"/>
  <c r="G3133" i="2"/>
  <c r="H3132" i="2"/>
  <c r="G3132" i="2"/>
  <c r="H3131" i="2"/>
  <c r="G3131" i="2"/>
  <c r="H3130" i="2"/>
  <c r="G3130" i="2"/>
  <c r="H3129" i="2"/>
  <c r="G3129" i="2"/>
  <c r="H3128" i="2"/>
  <c r="G3128" i="2"/>
  <c r="H3127" i="2"/>
  <c r="G3127" i="2"/>
  <c r="H3126" i="2"/>
  <c r="G3126" i="2"/>
  <c r="H3125" i="2"/>
  <c r="G3125" i="2"/>
  <c r="H3124" i="2"/>
  <c r="G3124" i="2"/>
  <c r="H3123" i="2"/>
  <c r="G3123" i="2"/>
  <c r="H3122" i="2"/>
  <c r="G3122" i="2"/>
  <c r="H3121" i="2"/>
  <c r="G3121" i="2"/>
  <c r="H3120" i="2"/>
  <c r="G3120" i="2"/>
  <c r="H3119" i="2"/>
  <c r="G3119" i="2"/>
  <c r="H3118" i="2"/>
  <c r="G3118" i="2"/>
  <c r="H3117" i="2"/>
  <c r="G3117" i="2"/>
  <c r="H3116" i="2"/>
  <c r="G3116" i="2"/>
  <c r="H3115" i="2"/>
  <c r="G3115" i="2"/>
  <c r="H3114" i="2"/>
  <c r="G3114" i="2"/>
  <c r="H3113" i="2"/>
  <c r="G3113" i="2"/>
  <c r="H3112" i="2"/>
  <c r="G3112" i="2"/>
  <c r="H3111" i="2"/>
  <c r="G3111" i="2"/>
  <c r="H3110" i="2"/>
  <c r="G3110" i="2"/>
  <c r="H3109" i="2"/>
  <c r="G3109" i="2"/>
  <c r="H3108" i="2"/>
  <c r="G3108" i="2"/>
  <c r="H3107" i="2"/>
  <c r="G3107" i="2"/>
  <c r="H3106" i="2"/>
  <c r="G3106" i="2"/>
  <c r="H3105" i="2"/>
  <c r="G3105" i="2"/>
  <c r="H3104" i="2"/>
  <c r="G3104" i="2"/>
  <c r="H3103" i="2"/>
  <c r="G3103" i="2"/>
  <c r="H3102" i="2"/>
  <c r="G3102" i="2"/>
  <c r="H3101" i="2"/>
  <c r="G3101" i="2"/>
  <c r="H3100" i="2"/>
  <c r="G3100" i="2"/>
  <c r="H3099" i="2"/>
  <c r="G3099" i="2"/>
  <c r="H3098" i="2"/>
  <c r="G3098" i="2"/>
  <c r="H3097" i="2"/>
  <c r="G3097" i="2"/>
  <c r="H3096" i="2"/>
  <c r="G3096" i="2"/>
  <c r="H3095" i="2"/>
  <c r="G3095" i="2"/>
  <c r="H3094" i="2"/>
  <c r="G3094" i="2"/>
  <c r="H3093" i="2"/>
  <c r="G3093" i="2"/>
  <c r="H3092" i="2"/>
  <c r="G3092" i="2"/>
  <c r="H3091" i="2"/>
  <c r="G3091" i="2"/>
  <c r="H3090" i="2"/>
  <c r="G3090" i="2"/>
  <c r="H3089" i="2"/>
  <c r="G3089" i="2"/>
  <c r="H3088" i="2"/>
  <c r="G3088" i="2"/>
  <c r="H3087" i="2"/>
  <c r="G3087" i="2"/>
  <c r="H3086" i="2"/>
  <c r="G3086" i="2"/>
  <c r="H3085" i="2"/>
  <c r="G3085" i="2"/>
  <c r="H3084" i="2"/>
  <c r="G3084" i="2"/>
  <c r="H3083" i="2"/>
  <c r="G3083" i="2"/>
  <c r="H3082" i="2"/>
  <c r="G3082" i="2"/>
  <c r="H3081" i="2"/>
  <c r="G3081" i="2"/>
  <c r="H3080" i="2"/>
  <c r="G3080" i="2"/>
  <c r="H3079" i="2"/>
  <c r="G3079" i="2"/>
  <c r="H3078" i="2"/>
  <c r="G3078" i="2"/>
  <c r="H3077" i="2"/>
  <c r="G3077" i="2"/>
  <c r="H3076" i="2"/>
  <c r="G3076" i="2"/>
  <c r="H3075" i="2"/>
  <c r="G3075" i="2"/>
  <c r="H3074" i="2"/>
  <c r="G3074" i="2"/>
  <c r="H3073" i="2"/>
  <c r="G3073" i="2"/>
  <c r="H3072" i="2"/>
  <c r="G3072" i="2"/>
  <c r="H3071" i="2"/>
  <c r="G3071" i="2"/>
  <c r="H3070" i="2"/>
  <c r="G3070" i="2"/>
  <c r="H3069" i="2"/>
  <c r="G3069" i="2"/>
  <c r="H3068" i="2"/>
  <c r="G3068" i="2"/>
  <c r="H3067" i="2"/>
  <c r="G3067" i="2"/>
  <c r="H3066" i="2"/>
  <c r="G3066" i="2"/>
  <c r="H3065" i="2"/>
  <c r="G3065" i="2"/>
  <c r="H3064" i="2"/>
  <c r="G3064" i="2"/>
  <c r="H3063" i="2"/>
  <c r="G3063" i="2"/>
  <c r="H3062" i="2"/>
  <c r="G3062" i="2"/>
  <c r="H3061" i="2"/>
  <c r="G3061" i="2"/>
  <c r="H3060" i="2"/>
  <c r="G3060" i="2"/>
  <c r="H3059" i="2"/>
  <c r="G3059" i="2"/>
  <c r="H3058" i="2"/>
  <c r="G3058" i="2"/>
  <c r="H3057" i="2"/>
  <c r="G3057" i="2"/>
  <c r="H3056" i="2"/>
  <c r="G3056" i="2"/>
  <c r="H3055" i="2"/>
  <c r="G3055" i="2"/>
  <c r="H3054" i="2"/>
  <c r="G3054" i="2"/>
  <c r="H3053" i="2"/>
  <c r="G3053" i="2"/>
  <c r="H3052" i="2"/>
  <c r="G3052" i="2"/>
  <c r="H3051" i="2"/>
  <c r="G3051" i="2"/>
  <c r="H3050" i="2"/>
  <c r="G3050" i="2"/>
  <c r="H3049" i="2"/>
  <c r="G3049" i="2"/>
  <c r="H3048" i="2"/>
  <c r="G3048" i="2"/>
  <c r="H3047" i="2"/>
  <c r="G3047" i="2"/>
  <c r="H3046" i="2"/>
  <c r="G3046" i="2"/>
  <c r="H3045" i="2"/>
  <c r="G3045" i="2"/>
  <c r="H3044" i="2"/>
  <c r="G3044" i="2"/>
  <c r="H3043" i="2"/>
  <c r="G3043" i="2"/>
  <c r="H3042" i="2"/>
  <c r="G3042" i="2"/>
  <c r="H3041" i="2"/>
  <c r="G3041" i="2"/>
  <c r="H3040" i="2"/>
  <c r="G3040" i="2"/>
  <c r="H3039" i="2"/>
  <c r="G3039" i="2"/>
  <c r="H3038" i="2"/>
  <c r="G3038" i="2"/>
  <c r="H3037" i="2"/>
  <c r="G3037" i="2"/>
  <c r="H3036" i="2"/>
  <c r="G3036" i="2"/>
  <c r="H3035" i="2"/>
  <c r="G3035" i="2"/>
  <c r="H3034" i="2"/>
  <c r="G3034" i="2"/>
  <c r="H3033" i="2"/>
  <c r="G3033" i="2"/>
  <c r="H3032" i="2"/>
  <c r="G3032" i="2"/>
  <c r="H3031" i="2"/>
  <c r="G3031" i="2"/>
  <c r="H3030" i="2"/>
  <c r="G3030" i="2"/>
  <c r="H3029" i="2"/>
  <c r="G3029" i="2"/>
  <c r="H3028" i="2"/>
  <c r="G3028" i="2"/>
  <c r="H3027" i="2"/>
  <c r="G3027" i="2"/>
  <c r="H3026" i="2"/>
  <c r="G3026" i="2"/>
  <c r="H3025" i="2"/>
  <c r="G3025" i="2"/>
  <c r="H3024" i="2"/>
  <c r="G3024" i="2"/>
  <c r="H3023" i="2"/>
  <c r="G3023" i="2"/>
  <c r="H3022" i="2"/>
  <c r="G3022" i="2"/>
  <c r="H3021" i="2"/>
  <c r="G3021" i="2"/>
  <c r="H3020" i="2"/>
  <c r="G3020" i="2"/>
  <c r="H3019" i="2"/>
  <c r="G3019" i="2"/>
  <c r="H3018" i="2"/>
  <c r="G3018" i="2"/>
  <c r="H3017" i="2"/>
  <c r="G3017" i="2"/>
  <c r="H3016" i="2"/>
  <c r="G3016" i="2"/>
  <c r="H3015" i="2"/>
  <c r="G3015" i="2"/>
  <c r="H3014" i="2"/>
  <c r="G3014" i="2"/>
  <c r="H3013" i="2"/>
  <c r="G3013" i="2"/>
  <c r="H3012" i="2"/>
  <c r="G3012" i="2"/>
  <c r="H3011" i="2"/>
  <c r="G3011" i="2"/>
  <c r="H3010" i="2"/>
  <c r="G3010" i="2"/>
  <c r="H3009" i="2"/>
  <c r="G3009" i="2"/>
  <c r="H3008" i="2"/>
  <c r="G3008" i="2"/>
  <c r="H3007" i="2"/>
  <c r="G3007" i="2"/>
  <c r="H3006" i="2"/>
  <c r="G3006" i="2"/>
  <c r="H3005" i="2"/>
  <c r="G3005" i="2"/>
  <c r="H3004" i="2"/>
  <c r="G3004" i="2"/>
  <c r="H3003" i="2"/>
  <c r="G3003" i="2"/>
  <c r="H3002" i="2"/>
  <c r="G3002" i="2"/>
  <c r="H3001" i="2"/>
  <c r="G3001" i="2"/>
  <c r="H3000" i="2"/>
  <c r="G3000" i="2"/>
  <c r="H2999" i="2"/>
  <c r="G2999" i="2"/>
  <c r="H2998" i="2"/>
  <c r="G2998" i="2"/>
  <c r="H2997" i="2"/>
  <c r="G2997" i="2"/>
  <c r="H2996" i="2"/>
  <c r="G2996" i="2"/>
  <c r="H2995" i="2"/>
  <c r="G2995" i="2"/>
  <c r="H2994" i="2"/>
  <c r="G2994" i="2"/>
  <c r="H2993" i="2"/>
  <c r="G2993" i="2"/>
  <c r="H2992" i="2"/>
  <c r="G2992" i="2"/>
  <c r="H2991" i="2"/>
  <c r="G2991" i="2"/>
  <c r="H2990" i="2"/>
  <c r="G2990" i="2"/>
  <c r="H2989" i="2"/>
  <c r="G2989" i="2"/>
  <c r="H2988" i="2"/>
  <c r="G2988" i="2"/>
  <c r="H2987" i="2"/>
  <c r="G2987" i="2"/>
  <c r="H2986" i="2"/>
  <c r="G2986" i="2"/>
  <c r="H2985" i="2"/>
  <c r="G2985" i="2"/>
  <c r="H2984" i="2"/>
  <c r="G2984" i="2"/>
  <c r="H2983" i="2"/>
  <c r="G2983" i="2"/>
  <c r="H2982" i="2"/>
  <c r="G2982" i="2"/>
  <c r="H2981" i="2"/>
  <c r="G2981" i="2"/>
  <c r="H2980" i="2"/>
  <c r="G2980" i="2"/>
  <c r="H2979" i="2"/>
  <c r="G2979" i="2"/>
  <c r="H2978" i="2"/>
  <c r="G2978" i="2"/>
  <c r="H2977" i="2"/>
  <c r="G2977" i="2"/>
  <c r="H2976" i="2"/>
  <c r="G2976" i="2"/>
  <c r="H2975" i="2"/>
  <c r="G2975" i="2"/>
  <c r="H2974" i="2"/>
  <c r="G2974" i="2"/>
  <c r="H2973" i="2"/>
  <c r="G2973" i="2"/>
  <c r="H2972" i="2"/>
  <c r="G2972" i="2"/>
  <c r="H2971" i="2"/>
  <c r="G2971" i="2"/>
  <c r="H2970" i="2"/>
  <c r="G2970" i="2"/>
  <c r="H2969" i="2"/>
  <c r="G2969" i="2"/>
  <c r="H2968" i="2"/>
  <c r="G2968" i="2"/>
  <c r="H2967" i="2"/>
  <c r="G2967" i="2"/>
  <c r="H2966" i="2"/>
  <c r="G2966" i="2"/>
  <c r="H2965" i="2"/>
  <c r="G2965" i="2"/>
  <c r="H2964" i="2"/>
  <c r="G2964" i="2"/>
  <c r="H2963" i="2"/>
  <c r="G2963" i="2"/>
  <c r="H2962" i="2"/>
  <c r="G2962" i="2"/>
  <c r="H2961" i="2"/>
  <c r="G2961" i="2"/>
  <c r="H2960" i="2"/>
  <c r="G2960" i="2"/>
  <c r="H2959" i="2"/>
  <c r="G2959" i="2"/>
  <c r="H2958" i="2"/>
  <c r="G2958" i="2"/>
  <c r="H2957" i="2"/>
  <c r="G2957" i="2"/>
  <c r="H2956" i="2"/>
  <c r="G2956" i="2"/>
  <c r="H2955" i="2"/>
  <c r="G2955" i="2"/>
  <c r="H2954" i="2"/>
  <c r="G2954" i="2"/>
  <c r="H2953" i="2"/>
  <c r="G2953" i="2"/>
  <c r="H2952" i="2"/>
  <c r="G2952" i="2"/>
  <c r="H2951" i="2"/>
  <c r="G2951" i="2"/>
  <c r="H2950" i="2"/>
  <c r="G2950" i="2"/>
  <c r="H2949" i="2"/>
  <c r="G2949" i="2"/>
  <c r="H2948" i="2"/>
  <c r="G2948" i="2"/>
  <c r="H2947" i="2"/>
  <c r="G2947" i="2"/>
  <c r="H2946" i="2"/>
  <c r="G2946" i="2"/>
  <c r="H2945" i="2"/>
  <c r="G2945" i="2"/>
  <c r="H2944" i="2"/>
  <c r="G2944" i="2"/>
  <c r="H2943" i="2"/>
  <c r="G2943" i="2"/>
  <c r="H2942" i="2"/>
  <c r="G2942" i="2"/>
  <c r="H2941" i="2"/>
  <c r="G2941" i="2"/>
  <c r="H2940" i="2"/>
  <c r="G2940" i="2"/>
  <c r="H2939" i="2"/>
  <c r="G2939" i="2"/>
  <c r="H2938" i="2"/>
  <c r="G2938" i="2"/>
  <c r="H2937" i="2"/>
  <c r="G2937" i="2"/>
  <c r="H2936" i="2"/>
  <c r="G2936" i="2"/>
  <c r="H2935" i="2"/>
  <c r="G2935" i="2"/>
  <c r="H2934" i="2"/>
  <c r="G2934" i="2"/>
  <c r="H2933" i="2"/>
  <c r="G2933" i="2"/>
  <c r="H2932" i="2"/>
  <c r="G2932" i="2"/>
  <c r="H2931" i="2"/>
  <c r="G2931" i="2"/>
  <c r="H2930" i="2"/>
  <c r="G2930" i="2"/>
  <c r="H2929" i="2"/>
  <c r="G2929" i="2"/>
  <c r="H2928" i="2"/>
  <c r="G2928" i="2"/>
  <c r="H2927" i="2"/>
  <c r="G2927" i="2"/>
  <c r="H2926" i="2"/>
  <c r="G2926" i="2"/>
  <c r="H2925" i="2"/>
  <c r="G2925" i="2"/>
  <c r="H2924" i="2"/>
  <c r="G2924" i="2"/>
  <c r="H2923" i="2"/>
  <c r="G2923" i="2"/>
  <c r="H2922" i="2"/>
  <c r="G2922" i="2"/>
  <c r="H2921" i="2"/>
  <c r="G2921" i="2"/>
  <c r="H2920" i="2"/>
  <c r="G2920" i="2"/>
  <c r="H2919" i="2"/>
  <c r="G2919" i="2"/>
  <c r="H2918" i="2"/>
  <c r="G2918" i="2"/>
  <c r="H2917" i="2"/>
  <c r="G2917" i="2"/>
  <c r="H2916" i="2"/>
  <c r="G2916" i="2"/>
  <c r="H2915" i="2"/>
  <c r="G2915" i="2"/>
  <c r="H2914" i="2"/>
  <c r="G2914" i="2"/>
  <c r="H2913" i="2"/>
  <c r="G2913" i="2"/>
  <c r="H2912" i="2"/>
  <c r="G2912" i="2"/>
  <c r="H2911" i="2"/>
  <c r="G2911" i="2"/>
  <c r="H2910" i="2"/>
  <c r="G2910" i="2"/>
  <c r="H2909" i="2"/>
  <c r="G2909" i="2"/>
  <c r="H2908" i="2"/>
  <c r="G2908" i="2"/>
  <c r="H2907" i="2"/>
  <c r="G2907" i="2"/>
  <c r="H2906" i="2"/>
  <c r="G2906" i="2"/>
  <c r="H2905" i="2"/>
  <c r="G2905" i="2"/>
  <c r="H2904" i="2"/>
  <c r="G2904" i="2"/>
  <c r="H2903" i="2"/>
  <c r="G2903" i="2"/>
  <c r="H2902" i="2"/>
  <c r="G2902" i="2"/>
  <c r="H2901" i="2"/>
  <c r="G2901" i="2"/>
  <c r="H2900" i="2"/>
  <c r="G2900" i="2"/>
  <c r="H2899" i="2"/>
  <c r="G2899" i="2"/>
  <c r="H2898" i="2"/>
  <c r="G2898" i="2"/>
  <c r="H2897" i="2"/>
  <c r="G2897" i="2"/>
  <c r="H2896" i="2"/>
  <c r="G2896" i="2"/>
  <c r="H2895" i="2"/>
  <c r="G2895" i="2"/>
  <c r="H2894" i="2"/>
  <c r="G2894" i="2"/>
  <c r="H2893" i="2"/>
  <c r="G2893" i="2"/>
  <c r="H2892" i="2"/>
  <c r="G2892" i="2"/>
  <c r="H2891" i="2"/>
  <c r="G2891" i="2"/>
  <c r="H2890" i="2"/>
  <c r="G2890" i="2"/>
  <c r="H2889" i="2"/>
  <c r="G2889" i="2"/>
  <c r="H2888" i="2"/>
  <c r="G2888" i="2"/>
  <c r="H2887" i="2"/>
  <c r="G2887" i="2"/>
  <c r="H2886" i="2"/>
  <c r="G2886" i="2"/>
  <c r="H2885" i="2"/>
  <c r="G2885" i="2"/>
  <c r="H2884" i="2"/>
  <c r="G2884" i="2"/>
  <c r="H2883" i="2"/>
  <c r="G2883" i="2"/>
  <c r="H2882" i="2"/>
  <c r="G2882" i="2"/>
  <c r="H2881" i="2"/>
  <c r="G2881" i="2"/>
  <c r="H2880" i="2"/>
  <c r="G2880" i="2"/>
  <c r="H2879" i="2"/>
  <c r="G2879" i="2"/>
  <c r="H2878" i="2"/>
  <c r="G2878" i="2"/>
  <c r="H2877" i="2"/>
  <c r="G2877" i="2"/>
  <c r="H2876" i="2"/>
  <c r="G2876" i="2"/>
  <c r="H2875" i="2"/>
  <c r="G2875" i="2"/>
  <c r="H2874" i="2"/>
  <c r="G2874" i="2"/>
  <c r="H2873" i="2"/>
  <c r="G2873" i="2"/>
  <c r="H2872" i="2"/>
  <c r="G2872" i="2"/>
  <c r="H2871" i="2"/>
  <c r="G2871" i="2"/>
  <c r="H2870" i="2"/>
  <c r="G2870" i="2"/>
  <c r="H2869" i="2"/>
  <c r="G2869" i="2"/>
  <c r="H2868" i="2"/>
  <c r="G2868" i="2"/>
  <c r="H2867" i="2"/>
  <c r="G2867" i="2"/>
  <c r="H2866" i="2"/>
  <c r="G2866" i="2"/>
  <c r="H2865" i="2"/>
  <c r="G2865" i="2"/>
  <c r="H2864" i="2"/>
  <c r="G2864" i="2"/>
  <c r="H2863" i="2"/>
  <c r="G2863" i="2"/>
  <c r="H2862" i="2"/>
  <c r="G2862" i="2"/>
  <c r="H2861" i="2"/>
  <c r="G2861" i="2"/>
  <c r="H2860" i="2"/>
  <c r="G2860" i="2"/>
  <c r="H2859" i="2"/>
  <c r="G2859" i="2"/>
  <c r="H2858" i="2"/>
  <c r="G2858" i="2"/>
  <c r="H2857" i="2"/>
  <c r="G2857" i="2"/>
  <c r="H2856" i="2"/>
  <c r="G2856" i="2"/>
  <c r="H2855" i="2"/>
  <c r="G2855" i="2"/>
  <c r="H2854" i="2"/>
  <c r="G2854" i="2"/>
  <c r="H2853" i="2"/>
  <c r="G2853" i="2"/>
  <c r="H2852" i="2"/>
  <c r="G2852" i="2"/>
  <c r="H2851" i="2"/>
  <c r="G2851" i="2"/>
  <c r="H2850" i="2"/>
  <c r="G2850" i="2"/>
  <c r="H2849" i="2"/>
  <c r="G2849" i="2"/>
  <c r="H2848" i="2"/>
  <c r="G2848" i="2"/>
  <c r="H2847" i="2"/>
  <c r="G2847" i="2"/>
  <c r="H2846" i="2"/>
  <c r="G2846" i="2"/>
  <c r="H2845" i="2"/>
  <c r="G2845" i="2"/>
  <c r="H2844" i="2"/>
  <c r="G2844" i="2"/>
  <c r="H2843" i="2"/>
  <c r="G2843" i="2"/>
  <c r="H2842" i="2"/>
  <c r="G2842" i="2"/>
  <c r="H2841" i="2"/>
  <c r="G2841" i="2"/>
  <c r="H2840" i="2"/>
  <c r="G2840" i="2"/>
  <c r="H2839" i="2"/>
  <c r="G2839" i="2"/>
  <c r="H2838" i="2"/>
  <c r="G2838" i="2"/>
  <c r="H2837" i="2"/>
  <c r="G2837" i="2"/>
  <c r="H2836" i="2"/>
  <c r="G2836" i="2"/>
  <c r="H2835" i="2"/>
  <c r="G2835" i="2"/>
  <c r="H2834" i="2"/>
  <c r="G2834" i="2"/>
  <c r="H2833" i="2"/>
  <c r="G2833" i="2"/>
  <c r="H2832" i="2"/>
  <c r="G2832" i="2"/>
  <c r="H2831" i="2"/>
  <c r="G2831" i="2"/>
  <c r="H2830" i="2"/>
  <c r="G2830" i="2"/>
  <c r="H2829" i="2"/>
  <c r="G2829" i="2"/>
  <c r="H2828" i="2"/>
  <c r="G2828" i="2"/>
  <c r="H2827" i="2"/>
  <c r="G2827" i="2"/>
  <c r="H2826" i="2"/>
  <c r="G2826" i="2"/>
  <c r="H2825" i="2"/>
  <c r="G2825" i="2"/>
  <c r="H2824" i="2"/>
  <c r="G2824" i="2"/>
  <c r="H2823" i="2"/>
  <c r="G2823" i="2"/>
  <c r="H2822" i="2"/>
  <c r="G2822" i="2"/>
  <c r="H2821" i="2"/>
  <c r="G2821" i="2"/>
  <c r="H2820" i="2"/>
  <c r="G2820" i="2"/>
  <c r="H2819" i="2"/>
  <c r="G2819" i="2"/>
  <c r="H2818" i="2"/>
  <c r="G2818" i="2"/>
  <c r="H2817" i="2"/>
  <c r="G2817" i="2"/>
  <c r="H2816" i="2"/>
  <c r="G2816" i="2"/>
  <c r="H2815" i="2"/>
  <c r="G2815" i="2"/>
  <c r="H2814" i="2"/>
  <c r="G2814" i="2"/>
  <c r="H2813" i="2"/>
  <c r="G2813" i="2"/>
  <c r="H2812" i="2"/>
  <c r="G2812" i="2"/>
  <c r="H2811" i="2"/>
  <c r="G2811" i="2"/>
  <c r="H2810" i="2"/>
  <c r="G2810" i="2"/>
  <c r="H2809" i="2"/>
  <c r="G2809" i="2"/>
  <c r="H2808" i="2"/>
  <c r="G2808" i="2"/>
  <c r="H2807" i="2"/>
  <c r="G2807" i="2"/>
  <c r="H2806" i="2"/>
  <c r="G2806" i="2"/>
  <c r="H2805" i="2"/>
  <c r="G2805" i="2"/>
  <c r="H2804" i="2"/>
  <c r="G2804" i="2"/>
  <c r="H2803" i="2"/>
  <c r="G2803" i="2"/>
  <c r="H2802" i="2"/>
  <c r="G2802" i="2"/>
  <c r="H2801" i="2"/>
  <c r="G2801" i="2"/>
  <c r="H2800" i="2"/>
  <c r="G2800" i="2"/>
  <c r="H2799" i="2"/>
  <c r="G2799" i="2"/>
  <c r="H2798" i="2"/>
  <c r="G2798" i="2"/>
  <c r="H2797" i="2"/>
  <c r="G2797" i="2"/>
  <c r="H2796" i="2"/>
  <c r="G2796" i="2"/>
  <c r="H2795" i="2"/>
  <c r="G2795" i="2"/>
  <c r="H2794" i="2"/>
  <c r="G2794" i="2"/>
  <c r="H2793" i="2"/>
  <c r="G2793" i="2"/>
  <c r="H2792" i="2"/>
  <c r="G2792" i="2"/>
  <c r="H2791" i="2"/>
  <c r="G2791" i="2"/>
  <c r="H2790" i="2"/>
  <c r="G2790" i="2"/>
  <c r="H2789" i="2"/>
  <c r="G2789" i="2"/>
  <c r="H2788" i="2"/>
  <c r="G2788" i="2"/>
  <c r="H2787" i="2"/>
  <c r="G2787" i="2"/>
  <c r="H2786" i="2"/>
  <c r="G2786" i="2"/>
  <c r="H2785" i="2"/>
  <c r="G2785" i="2"/>
  <c r="H2784" i="2"/>
  <c r="G2784" i="2"/>
  <c r="H2783" i="2"/>
  <c r="G2783" i="2"/>
  <c r="H2782" i="2"/>
  <c r="G2782" i="2"/>
  <c r="H2781" i="2"/>
  <c r="G2781" i="2"/>
  <c r="H2780" i="2"/>
  <c r="G2780" i="2"/>
  <c r="H2779" i="2"/>
  <c r="G2779" i="2"/>
  <c r="H2778" i="2"/>
  <c r="G2778" i="2"/>
  <c r="H2777" i="2"/>
  <c r="G2777" i="2"/>
  <c r="H2776" i="2"/>
  <c r="G2776" i="2"/>
  <c r="H2775" i="2"/>
  <c r="G2775" i="2"/>
  <c r="H2774" i="2"/>
  <c r="G2774" i="2"/>
  <c r="H2773" i="2"/>
  <c r="G2773" i="2"/>
  <c r="H2772" i="2"/>
  <c r="G2772" i="2"/>
  <c r="H2771" i="2"/>
  <c r="G2771" i="2"/>
  <c r="H2770" i="2"/>
  <c r="G2770" i="2"/>
  <c r="H2769" i="2"/>
  <c r="G2769" i="2"/>
  <c r="H2768" i="2"/>
  <c r="G2768" i="2"/>
  <c r="H2767" i="2"/>
  <c r="G2767" i="2"/>
  <c r="H2766" i="2"/>
  <c r="G2766" i="2"/>
  <c r="H2765" i="2"/>
  <c r="G2765" i="2"/>
  <c r="H2764" i="2"/>
  <c r="G2764" i="2"/>
  <c r="H2763" i="2"/>
  <c r="G2763" i="2"/>
  <c r="H2762" i="2"/>
  <c r="G2762" i="2"/>
  <c r="H2761" i="2"/>
  <c r="G2761" i="2"/>
  <c r="H2760" i="2"/>
  <c r="G2760" i="2"/>
  <c r="H2759" i="2"/>
  <c r="G2759" i="2"/>
  <c r="H2758" i="2"/>
  <c r="G2758" i="2"/>
  <c r="H2757" i="2"/>
  <c r="G2757" i="2"/>
  <c r="H2756" i="2"/>
  <c r="G2756" i="2"/>
  <c r="H2755" i="2"/>
  <c r="G2755" i="2"/>
  <c r="H2754" i="2"/>
  <c r="G2754" i="2"/>
  <c r="H2753" i="2"/>
  <c r="G2753" i="2"/>
  <c r="H2752" i="2"/>
  <c r="G2752" i="2"/>
  <c r="H2751" i="2"/>
  <c r="G2751" i="2"/>
  <c r="H2750" i="2"/>
  <c r="G2750" i="2"/>
  <c r="H2749" i="2"/>
  <c r="G2749" i="2"/>
  <c r="H2748" i="2"/>
  <c r="G2748" i="2"/>
  <c r="H2747" i="2"/>
  <c r="G2747" i="2"/>
  <c r="H2746" i="2"/>
  <c r="G2746" i="2"/>
  <c r="H2745" i="2"/>
  <c r="G2745" i="2"/>
  <c r="H2744" i="2"/>
  <c r="G2744" i="2"/>
  <c r="H2743" i="2"/>
  <c r="G2743" i="2"/>
  <c r="H2742" i="2"/>
  <c r="G2742" i="2"/>
  <c r="H2741" i="2"/>
  <c r="G2741" i="2"/>
  <c r="H2740" i="2"/>
  <c r="G2740" i="2"/>
  <c r="H2739" i="2"/>
  <c r="G2739" i="2"/>
  <c r="H2738" i="2"/>
  <c r="G2738" i="2"/>
  <c r="H2737" i="2"/>
  <c r="G2737" i="2"/>
  <c r="H2736" i="2"/>
  <c r="G2736" i="2"/>
  <c r="H2735" i="2"/>
  <c r="G2735" i="2"/>
  <c r="H2734" i="2"/>
  <c r="G2734" i="2"/>
  <c r="H2733" i="2"/>
  <c r="G2733" i="2"/>
  <c r="H2732" i="2"/>
  <c r="G2732" i="2"/>
  <c r="H2731" i="2"/>
  <c r="G2731" i="2"/>
  <c r="H2730" i="2"/>
  <c r="G2730" i="2"/>
  <c r="H2729" i="2"/>
  <c r="G2729" i="2"/>
  <c r="H2728" i="2"/>
  <c r="G2728" i="2"/>
  <c r="H2727" i="2"/>
  <c r="G2727" i="2"/>
  <c r="H2726" i="2"/>
  <c r="G2726" i="2"/>
  <c r="H2725" i="2"/>
  <c r="G2725" i="2"/>
  <c r="H2724" i="2"/>
  <c r="G2724" i="2"/>
  <c r="H2723" i="2"/>
  <c r="G2723" i="2"/>
  <c r="H2722" i="2"/>
  <c r="G2722" i="2"/>
  <c r="H2721" i="2"/>
  <c r="G2721" i="2"/>
  <c r="H2720" i="2"/>
  <c r="G2720" i="2"/>
  <c r="H2719" i="2"/>
  <c r="G2719" i="2"/>
  <c r="H2718" i="2"/>
  <c r="G2718" i="2"/>
  <c r="H2717" i="2"/>
  <c r="G2717" i="2"/>
  <c r="H2716" i="2"/>
  <c r="G2716" i="2"/>
  <c r="H2715" i="2"/>
  <c r="G2715" i="2"/>
  <c r="H2714" i="2"/>
  <c r="G2714" i="2"/>
  <c r="H2713" i="2"/>
  <c r="G2713" i="2"/>
  <c r="H2712" i="2"/>
  <c r="G2712" i="2"/>
  <c r="H2711" i="2"/>
  <c r="G2711" i="2"/>
  <c r="H2710" i="2"/>
  <c r="G2710" i="2"/>
  <c r="H2709" i="2"/>
  <c r="G2709" i="2"/>
  <c r="H2708" i="2"/>
  <c r="G2708" i="2"/>
  <c r="H2707" i="2"/>
  <c r="G2707" i="2"/>
  <c r="H2706" i="2"/>
  <c r="G2706" i="2"/>
  <c r="H2705" i="2"/>
  <c r="G2705" i="2"/>
  <c r="H2704" i="2"/>
  <c r="G2704" i="2"/>
  <c r="H2703" i="2"/>
  <c r="G2703" i="2"/>
  <c r="H2702" i="2"/>
  <c r="G2702" i="2"/>
  <c r="H2701" i="2"/>
  <c r="G2701" i="2"/>
  <c r="H2700" i="2"/>
  <c r="G2700" i="2"/>
  <c r="H2699" i="2"/>
  <c r="G2699" i="2"/>
  <c r="H2698" i="2"/>
  <c r="G2698" i="2"/>
  <c r="H2697" i="2"/>
  <c r="G2697" i="2"/>
  <c r="H2696" i="2"/>
  <c r="G2696" i="2"/>
  <c r="H2695" i="2"/>
  <c r="G2695" i="2"/>
  <c r="H2694" i="2"/>
  <c r="G2694" i="2"/>
  <c r="H2693" i="2"/>
  <c r="G2693" i="2"/>
  <c r="H2692" i="2"/>
  <c r="G2692" i="2"/>
  <c r="H2691" i="2"/>
  <c r="G2691" i="2"/>
  <c r="H2690" i="2"/>
  <c r="G2690" i="2"/>
  <c r="H2689" i="2"/>
  <c r="G2689" i="2"/>
  <c r="H2688" i="2"/>
  <c r="G2688" i="2"/>
  <c r="H2687" i="2"/>
  <c r="G2687" i="2"/>
  <c r="H2686" i="2"/>
  <c r="G2686" i="2"/>
  <c r="H2685" i="2"/>
  <c r="G2685" i="2"/>
  <c r="H2684" i="2"/>
  <c r="G2684" i="2"/>
  <c r="H2683" i="2"/>
  <c r="G2683" i="2"/>
  <c r="H2682" i="2"/>
  <c r="G2682" i="2"/>
  <c r="H2681" i="2"/>
  <c r="G2681" i="2"/>
  <c r="H2680" i="2"/>
  <c r="G2680" i="2"/>
  <c r="H2679" i="2"/>
  <c r="G2679" i="2"/>
  <c r="H2678" i="2"/>
  <c r="G2678" i="2"/>
  <c r="H2677" i="2"/>
  <c r="G2677" i="2"/>
  <c r="H2676" i="2"/>
  <c r="G2676" i="2"/>
  <c r="H2675" i="2"/>
  <c r="G2675" i="2"/>
  <c r="H2674" i="2"/>
  <c r="G2674" i="2"/>
  <c r="H2673" i="2"/>
  <c r="G2673" i="2"/>
  <c r="H2672" i="2"/>
  <c r="G2672" i="2"/>
  <c r="H2671" i="2"/>
  <c r="G2671" i="2"/>
  <c r="H2670" i="2"/>
  <c r="G2670" i="2"/>
  <c r="H2669" i="2"/>
  <c r="G2669" i="2"/>
  <c r="H2668" i="2"/>
  <c r="G2668" i="2"/>
  <c r="H2667" i="2"/>
  <c r="G2667" i="2"/>
  <c r="H2666" i="2"/>
  <c r="G2666" i="2"/>
  <c r="H2665" i="2"/>
  <c r="G2665" i="2"/>
  <c r="H2664" i="2"/>
  <c r="G2664" i="2"/>
  <c r="H2663" i="2"/>
  <c r="G2663" i="2"/>
  <c r="H2662" i="2"/>
  <c r="G2662" i="2"/>
  <c r="H2661" i="2"/>
  <c r="G2661" i="2"/>
  <c r="H2660" i="2"/>
  <c r="G2660" i="2"/>
  <c r="H2659" i="2"/>
  <c r="G2659" i="2"/>
  <c r="H2658" i="2"/>
  <c r="G2658" i="2"/>
  <c r="H2657" i="2"/>
  <c r="G2657" i="2"/>
  <c r="H2656" i="2"/>
  <c r="G2656" i="2"/>
  <c r="H2655" i="2"/>
  <c r="G2655" i="2"/>
  <c r="H2654" i="2"/>
  <c r="G2654" i="2"/>
  <c r="H2653" i="2"/>
  <c r="G2653" i="2"/>
  <c r="H2652" i="2"/>
  <c r="G2652" i="2"/>
  <c r="H2651" i="2"/>
  <c r="G2651" i="2"/>
  <c r="H2650" i="2"/>
  <c r="G2650" i="2"/>
  <c r="H2649" i="2"/>
  <c r="G2649" i="2"/>
  <c r="H2648" i="2"/>
  <c r="G2648" i="2"/>
  <c r="H2647" i="2"/>
  <c r="G2647" i="2"/>
  <c r="H2646" i="2"/>
  <c r="G2646" i="2"/>
  <c r="H2645" i="2"/>
  <c r="G2645" i="2"/>
  <c r="H2644" i="2"/>
  <c r="G2644" i="2"/>
  <c r="H2643" i="2"/>
  <c r="G2643" i="2"/>
  <c r="H2642" i="2"/>
  <c r="G2642" i="2"/>
  <c r="H2641" i="2"/>
  <c r="G2641" i="2"/>
  <c r="H2640" i="2"/>
  <c r="G2640" i="2"/>
  <c r="H2639" i="2"/>
  <c r="G2639" i="2"/>
  <c r="H2638" i="2"/>
  <c r="G2638" i="2"/>
  <c r="H2637" i="2"/>
  <c r="G2637" i="2"/>
  <c r="H2636" i="2"/>
  <c r="G2636" i="2"/>
  <c r="H2635" i="2"/>
  <c r="G2635" i="2"/>
  <c r="H2634" i="2"/>
  <c r="G2634" i="2"/>
  <c r="H2633" i="2"/>
  <c r="G2633" i="2"/>
  <c r="H2632" i="2"/>
  <c r="G2632" i="2"/>
  <c r="H2631" i="2"/>
  <c r="G2631" i="2"/>
  <c r="H2630" i="2"/>
  <c r="G2630" i="2"/>
  <c r="H2629" i="2"/>
  <c r="G2629" i="2"/>
  <c r="H2628" i="2"/>
  <c r="G2628" i="2"/>
  <c r="H2627" i="2"/>
  <c r="G2627" i="2"/>
  <c r="H2626" i="2"/>
  <c r="G2626" i="2"/>
  <c r="H2625" i="2"/>
  <c r="G2625" i="2"/>
  <c r="H2624" i="2"/>
  <c r="G2624" i="2"/>
  <c r="H2623" i="2"/>
  <c r="G2623" i="2"/>
  <c r="H2622" i="2"/>
  <c r="G2622" i="2"/>
  <c r="H2621" i="2"/>
  <c r="G2621" i="2"/>
  <c r="H2620" i="2"/>
  <c r="G2620" i="2"/>
  <c r="H2619" i="2"/>
  <c r="G2619" i="2"/>
  <c r="H2618" i="2"/>
  <c r="G2618" i="2"/>
  <c r="H2617" i="2"/>
  <c r="G2617" i="2"/>
  <c r="H2616" i="2"/>
  <c r="G2616" i="2"/>
  <c r="H2615" i="2"/>
  <c r="G2615" i="2"/>
  <c r="H2614" i="2"/>
  <c r="G2614" i="2"/>
  <c r="H2613" i="2"/>
  <c r="G2613" i="2"/>
  <c r="H2612" i="2"/>
  <c r="G2612" i="2"/>
  <c r="H2611" i="2"/>
  <c r="G2611" i="2"/>
  <c r="H2610" i="2"/>
  <c r="G2610" i="2"/>
  <c r="H2609" i="2"/>
  <c r="G2609" i="2"/>
  <c r="H2608" i="2"/>
  <c r="G2608" i="2"/>
  <c r="H2607" i="2"/>
  <c r="G2607" i="2"/>
  <c r="H2606" i="2"/>
  <c r="G2606" i="2"/>
  <c r="H2605" i="2"/>
  <c r="G2605" i="2"/>
  <c r="H2604" i="2"/>
  <c r="G2604" i="2"/>
  <c r="H2603" i="2"/>
  <c r="G2603" i="2"/>
  <c r="H2602" i="2"/>
  <c r="G2602" i="2"/>
  <c r="H2601" i="2"/>
  <c r="G2601" i="2"/>
  <c r="H2600" i="2"/>
  <c r="G2600" i="2"/>
  <c r="H2599" i="2"/>
  <c r="G2599" i="2"/>
  <c r="H2598" i="2"/>
  <c r="G2598" i="2"/>
  <c r="H2597" i="2"/>
  <c r="G2597" i="2"/>
  <c r="H2596" i="2"/>
  <c r="G2596" i="2"/>
  <c r="H2595" i="2"/>
  <c r="G2595" i="2"/>
  <c r="H2594" i="2"/>
  <c r="G2594" i="2"/>
  <c r="H2593" i="2"/>
  <c r="G2593" i="2"/>
  <c r="H2592" i="2"/>
  <c r="G2592" i="2"/>
  <c r="H2591" i="2"/>
  <c r="G2591" i="2"/>
  <c r="H2590" i="2"/>
  <c r="G2590" i="2"/>
  <c r="H2589" i="2"/>
  <c r="G2589" i="2"/>
  <c r="H2588" i="2"/>
  <c r="G2588" i="2"/>
  <c r="H2587" i="2"/>
  <c r="G2587" i="2"/>
  <c r="H2586" i="2"/>
  <c r="G2586" i="2"/>
  <c r="H2585" i="2"/>
  <c r="G2585" i="2"/>
  <c r="H2584" i="2"/>
  <c r="G2584" i="2"/>
  <c r="H2583" i="2"/>
  <c r="G2583" i="2"/>
  <c r="H2582" i="2"/>
  <c r="G2582" i="2"/>
  <c r="H2581" i="2"/>
  <c r="G2581" i="2"/>
  <c r="H2580" i="2"/>
  <c r="G2580" i="2"/>
  <c r="H2579" i="2"/>
  <c r="G2579" i="2"/>
  <c r="H2578" i="2"/>
  <c r="G2578" i="2"/>
  <c r="H2577" i="2"/>
  <c r="G2577" i="2"/>
  <c r="H2576" i="2"/>
  <c r="G2576" i="2"/>
  <c r="H2575" i="2"/>
  <c r="G2575" i="2"/>
  <c r="H2574" i="2"/>
  <c r="G2574" i="2"/>
  <c r="H2573" i="2"/>
  <c r="G2573" i="2"/>
  <c r="H2572" i="2"/>
  <c r="G2572" i="2"/>
  <c r="H2571" i="2"/>
  <c r="G2571" i="2"/>
  <c r="H2570" i="2"/>
  <c r="G2570" i="2"/>
  <c r="H2569" i="2"/>
  <c r="G2569" i="2"/>
  <c r="H2568" i="2"/>
  <c r="G2568" i="2"/>
  <c r="H2567" i="2"/>
  <c r="G2567" i="2"/>
  <c r="H2566" i="2"/>
  <c r="G2566" i="2"/>
  <c r="H2565" i="2"/>
  <c r="G2565" i="2"/>
  <c r="H2564" i="2"/>
  <c r="G2564" i="2"/>
  <c r="H2563" i="2"/>
  <c r="G2563" i="2"/>
  <c r="H2562" i="2"/>
  <c r="G2562" i="2"/>
  <c r="H2561" i="2"/>
  <c r="G2561" i="2"/>
  <c r="H2560" i="2"/>
  <c r="G2560" i="2"/>
  <c r="H2559" i="2"/>
  <c r="G2559" i="2"/>
  <c r="H2558" i="2"/>
  <c r="G2558" i="2"/>
  <c r="H2557" i="2"/>
  <c r="G2557" i="2"/>
  <c r="H2556" i="2"/>
  <c r="G2556" i="2"/>
  <c r="H2555" i="2"/>
  <c r="G2555" i="2"/>
  <c r="H2554" i="2"/>
  <c r="G2554" i="2"/>
  <c r="H2553" i="2"/>
  <c r="G2553" i="2"/>
  <c r="H2552" i="2"/>
  <c r="G2552" i="2"/>
  <c r="H2551" i="2"/>
  <c r="G2551" i="2"/>
  <c r="H2550" i="2"/>
  <c r="G2550" i="2"/>
  <c r="H2549" i="2"/>
  <c r="G2549" i="2"/>
  <c r="H2548" i="2"/>
  <c r="G2548" i="2"/>
  <c r="H2547" i="2"/>
  <c r="G2547" i="2"/>
  <c r="H2546" i="2"/>
  <c r="G2546" i="2"/>
  <c r="H2545" i="2"/>
  <c r="G2545" i="2"/>
  <c r="H2544" i="2"/>
  <c r="G2544" i="2"/>
  <c r="H2543" i="2"/>
  <c r="G2543" i="2"/>
  <c r="H2542" i="2"/>
  <c r="G2542" i="2"/>
  <c r="H2541" i="2"/>
  <c r="G2541" i="2"/>
  <c r="H2540" i="2"/>
  <c r="G2540" i="2"/>
  <c r="H2539" i="2"/>
  <c r="G2539" i="2"/>
  <c r="H2538" i="2"/>
  <c r="G2538" i="2"/>
  <c r="H2537" i="2"/>
  <c r="G2537" i="2"/>
  <c r="H2536" i="2"/>
  <c r="G2536" i="2"/>
  <c r="H2535" i="2"/>
  <c r="G2535" i="2"/>
  <c r="H2534" i="2"/>
  <c r="G2534" i="2"/>
  <c r="H2533" i="2"/>
  <c r="G2533" i="2"/>
  <c r="H2532" i="2"/>
  <c r="G2532" i="2"/>
  <c r="H2531" i="2"/>
  <c r="G2531" i="2"/>
  <c r="H2530" i="2"/>
  <c r="G2530" i="2"/>
  <c r="H2529" i="2"/>
  <c r="G2529" i="2"/>
  <c r="H2528" i="2"/>
  <c r="G2528" i="2"/>
  <c r="H2527" i="2"/>
  <c r="G2527" i="2"/>
  <c r="H2526" i="2"/>
  <c r="G2526" i="2"/>
  <c r="H2525" i="2"/>
  <c r="G2525" i="2"/>
  <c r="H2524" i="2"/>
  <c r="G2524" i="2"/>
  <c r="H2523" i="2"/>
  <c r="G2523" i="2"/>
  <c r="H2522" i="2"/>
  <c r="G2522" i="2"/>
  <c r="H2521" i="2"/>
  <c r="G2521" i="2"/>
  <c r="H2520" i="2"/>
  <c r="G2520" i="2"/>
  <c r="H2519" i="2"/>
  <c r="G2519" i="2"/>
  <c r="H2518" i="2"/>
  <c r="G2518" i="2"/>
  <c r="H2517" i="2"/>
  <c r="G2517" i="2"/>
  <c r="H2516" i="2"/>
  <c r="G2516" i="2"/>
  <c r="H2515" i="2"/>
  <c r="G2515" i="2"/>
  <c r="H2514" i="2"/>
  <c r="G2514" i="2"/>
  <c r="H2513" i="2"/>
  <c r="G2513" i="2"/>
  <c r="H2512" i="2"/>
  <c r="G2512" i="2"/>
  <c r="H2511" i="2"/>
  <c r="G2511" i="2"/>
  <c r="H2510" i="2"/>
  <c r="G2510" i="2"/>
  <c r="H2509" i="2"/>
  <c r="G2509" i="2"/>
  <c r="H2508" i="2"/>
  <c r="G2508" i="2"/>
  <c r="H2507" i="2"/>
  <c r="G2507" i="2"/>
  <c r="H2506" i="2"/>
  <c r="G2506" i="2"/>
  <c r="H2505" i="2"/>
  <c r="G2505" i="2"/>
  <c r="H2504" i="2"/>
  <c r="G2504" i="2"/>
  <c r="H2503" i="2"/>
  <c r="G2503" i="2"/>
  <c r="H2502" i="2"/>
  <c r="G2502" i="2"/>
  <c r="H2501" i="2"/>
  <c r="G2501" i="2"/>
  <c r="H2500" i="2"/>
  <c r="G2500" i="2"/>
  <c r="H2499" i="2"/>
  <c r="G2499" i="2"/>
  <c r="H2498" i="2"/>
  <c r="G2498" i="2"/>
  <c r="H2497" i="2"/>
  <c r="G2497" i="2"/>
  <c r="H2496" i="2"/>
  <c r="G2496" i="2"/>
  <c r="H2495" i="2"/>
  <c r="G2495" i="2"/>
  <c r="H2494" i="2"/>
  <c r="G2494" i="2"/>
  <c r="H2493" i="2"/>
  <c r="G2493" i="2"/>
  <c r="H2492" i="2"/>
  <c r="G2492" i="2"/>
  <c r="H2491" i="2"/>
  <c r="G2491" i="2"/>
  <c r="H2490" i="2"/>
  <c r="G2490" i="2"/>
  <c r="H2489" i="2"/>
  <c r="G2489" i="2"/>
  <c r="H2488" i="2"/>
  <c r="G2488" i="2"/>
  <c r="H2487" i="2"/>
  <c r="G2487" i="2"/>
  <c r="H2486" i="2"/>
  <c r="G2486" i="2"/>
  <c r="H2485" i="2"/>
  <c r="G2485" i="2"/>
  <c r="H2484" i="2"/>
  <c r="G2484" i="2"/>
  <c r="H2483" i="2"/>
  <c r="G2483" i="2"/>
  <c r="H2482" i="2"/>
  <c r="G2482" i="2"/>
  <c r="H2481" i="2"/>
  <c r="G2481" i="2"/>
  <c r="H2480" i="2"/>
  <c r="G2480" i="2"/>
  <c r="H2479" i="2"/>
  <c r="G2479" i="2"/>
  <c r="H2478" i="2"/>
  <c r="G2478" i="2"/>
  <c r="H2477" i="2"/>
  <c r="G2477" i="2"/>
  <c r="H2476" i="2"/>
  <c r="G2476" i="2"/>
  <c r="H2475" i="2"/>
  <c r="G2475" i="2"/>
  <c r="H2474" i="2"/>
  <c r="G2474" i="2"/>
  <c r="H2473" i="2"/>
  <c r="G2473" i="2"/>
  <c r="H2472" i="2"/>
  <c r="G2472" i="2"/>
  <c r="H2471" i="2"/>
  <c r="G2471" i="2"/>
  <c r="H2470" i="2"/>
  <c r="G2470" i="2"/>
  <c r="H2469" i="2"/>
  <c r="G2469" i="2"/>
  <c r="H2468" i="2"/>
  <c r="G2468" i="2"/>
  <c r="H2467" i="2"/>
  <c r="G2467" i="2"/>
  <c r="H2466" i="2"/>
  <c r="G2466" i="2"/>
  <c r="H2465" i="2"/>
  <c r="G2465" i="2"/>
  <c r="H2464" i="2"/>
  <c r="G2464" i="2"/>
  <c r="H2463" i="2"/>
  <c r="G2463" i="2"/>
  <c r="H2462" i="2"/>
  <c r="G2462" i="2"/>
  <c r="H2461" i="2"/>
  <c r="G2461" i="2"/>
  <c r="H2460" i="2"/>
  <c r="G2460" i="2"/>
  <c r="H2459" i="2"/>
  <c r="G2459" i="2"/>
  <c r="H2458" i="2"/>
  <c r="G2458" i="2"/>
  <c r="H2457" i="2"/>
  <c r="G2457" i="2"/>
  <c r="H2456" i="2"/>
  <c r="G2456" i="2"/>
  <c r="H2455" i="2"/>
  <c r="G2455" i="2"/>
  <c r="H2454" i="2"/>
  <c r="G2454" i="2"/>
  <c r="H2453" i="2"/>
  <c r="G2453" i="2"/>
  <c r="H2452" i="2"/>
  <c r="G2452" i="2"/>
  <c r="H2451" i="2"/>
  <c r="G2451" i="2"/>
  <c r="H2450" i="2"/>
  <c r="G2450" i="2"/>
  <c r="H2449" i="2"/>
  <c r="G2449" i="2"/>
  <c r="H2448" i="2"/>
  <c r="G2448" i="2"/>
  <c r="H2447" i="2"/>
  <c r="G2447" i="2"/>
  <c r="H2446" i="2"/>
  <c r="G2446" i="2"/>
  <c r="H2445" i="2"/>
  <c r="G2445" i="2"/>
  <c r="H2444" i="2"/>
  <c r="G2444" i="2"/>
  <c r="H2443" i="2"/>
  <c r="G2443" i="2"/>
  <c r="H2442" i="2"/>
  <c r="G2442" i="2"/>
  <c r="H2441" i="2"/>
  <c r="G2441" i="2"/>
  <c r="H2440" i="2"/>
  <c r="G2440" i="2"/>
  <c r="H2439" i="2"/>
  <c r="G2439" i="2"/>
  <c r="H2438" i="2"/>
  <c r="G2438" i="2"/>
  <c r="H2437" i="2"/>
  <c r="G2437" i="2"/>
  <c r="H2436" i="2"/>
  <c r="G2436" i="2"/>
  <c r="H2435" i="2"/>
  <c r="G2435" i="2"/>
  <c r="H2434" i="2"/>
  <c r="G2434" i="2"/>
  <c r="H2433" i="2"/>
  <c r="G2433" i="2"/>
  <c r="H2432" i="2"/>
  <c r="G2432" i="2"/>
  <c r="H2431" i="2"/>
  <c r="G2431" i="2"/>
  <c r="H2430" i="2"/>
  <c r="G2430" i="2"/>
  <c r="H2429" i="2"/>
  <c r="G2429" i="2"/>
  <c r="H2428" i="2"/>
  <c r="G2428" i="2"/>
  <c r="H2427" i="2"/>
  <c r="G2427" i="2"/>
  <c r="H2426" i="2"/>
  <c r="G2426" i="2"/>
  <c r="H2425" i="2"/>
  <c r="G2425" i="2"/>
  <c r="H2424" i="2"/>
  <c r="G2424" i="2"/>
  <c r="H2423" i="2"/>
  <c r="G2423" i="2"/>
  <c r="H2422" i="2"/>
  <c r="G2422" i="2"/>
  <c r="H2421" i="2"/>
  <c r="G2421" i="2"/>
  <c r="H2420" i="2"/>
  <c r="G2420" i="2"/>
  <c r="H2419" i="2"/>
  <c r="G2419" i="2"/>
  <c r="H2418" i="2"/>
  <c r="G2418" i="2"/>
  <c r="H2417" i="2"/>
  <c r="G2417" i="2"/>
  <c r="H2416" i="2"/>
  <c r="G2416" i="2"/>
  <c r="H2415" i="2"/>
  <c r="G2415" i="2"/>
  <c r="H2414" i="2"/>
  <c r="G2414" i="2"/>
  <c r="H2413" i="2"/>
  <c r="G2413" i="2"/>
  <c r="H2412" i="2"/>
  <c r="G2412" i="2"/>
  <c r="H2411" i="2"/>
  <c r="G2411" i="2"/>
  <c r="H2410" i="2"/>
  <c r="G2410" i="2"/>
  <c r="H2409" i="2"/>
  <c r="G2409" i="2"/>
  <c r="H2408" i="2"/>
  <c r="G2408" i="2"/>
  <c r="H2407" i="2"/>
  <c r="G2407" i="2"/>
  <c r="H2406" i="2"/>
  <c r="G2406" i="2"/>
  <c r="H2405" i="2"/>
  <c r="G2405" i="2"/>
  <c r="H2404" i="2"/>
  <c r="G2404" i="2"/>
  <c r="H2403" i="2"/>
  <c r="G2403" i="2"/>
  <c r="H2402" i="2"/>
  <c r="G2402" i="2"/>
  <c r="H2401" i="2"/>
  <c r="G2401" i="2"/>
  <c r="H2400" i="2"/>
  <c r="G2400" i="2"/>
  <c r="H2399" i="2"/>
  <c r="G2399" i="2"/>
  <c r="H2398" i="2"/>
  <c r="G2398" i="2"/>
  <c r="H2397" i="2"/>
  <c r="G2397" i="2"/>
  <c r="H2396" i="2"/>
  <c r="G2396" i="2"/>
  <c r="H2395" i="2"/>
  <c r="G2395" i="2"/>
  <c r="H2394" i="2"/>
  <c r="G2394" i="2"/>
  <c r="H2393" i="2"/>
  <c r="G2393" i="2"/>
  <c r="H2392" i="2"/>
  <c r="G2392" i="2"/>
  <c r="H2391" i="2"/>
  <c r="G2391" i="2"/>
  <c r="H2390" i="2"/>
  <c r="G2390" i="2"/>
  <c r="H2389" i="2"/>
  <c r="G2389" i="2"/>
  <c r="H2388" i="2"/>
  <c r="G2388" i="2"/>
  <c r="H2387" i="2"/>
  <c r="G2387" i="2"/>
  <c r="H2386" i="2"/>
  <c r="G2386" i="2"/>
  <c r="H2385" i="2"/>
  <c r="G2385" i="2"/>
  <c r="H2384" i="2"/>
  <c r="G2384" i="2"/>
  <c r="H2383" i="2"/>
  <c r="G2383" i="2"/>
  <c r="H2382" i="2"/>
  <c r="G2382" i="2"/>
  <c r="H2381" i="2"/>
  <c r="G2381" i="2"/>
  <c r="H2380" i="2"/>
  <c r="G2380" i="2"/>
  <c r="H2379" i="2"/>
  <c r="G2379" i="2"/>
  <c r="H2378" i="2"/>
  <c r="G2378" i="2"/>
  <c r="H2377" i="2"/>
  <c r="G2377" i="2"/>
  <c r="H2376" i="2"/>
  <c r="G2376" i="2"/>
  <c r="H2375" i="2"/>
  <c r="G2375" i="2"/>
  <c r="H2374" i="2"/>
  <c r="G2374" i="2"/>
  <c r="H2373" i="2"/>
  <c r="G2373" i="2"/>
  <c r="H2372" i="2"/>
  <c r="G2372" i="2"/>
  <c r="H2371" i="2"/>
  <c r="G2371" i="2"/>
  <c r="H2370" i="2"/>
  <c r="G2370" i="2"/>
  <c r="H2369" i="2"/>
  <c r="G2369" i="2"/>
  <c r="H2368" i="2"/>
  <c r="G2368" i="2"/>
  <c r="H2367" i="2"/>
  <c r="G2367" i="2"/>
  <c r="H2366" i="2"/>
  <c r="G2366" i="2"/>
  <c r="H2365" i="2"/>
  <c r="G2365" i="2"/>
  <c r="H2364" i="2"/>
  <c r="G2364" i="2"/>
  <c r="H2363" i="2"/>
  <c r="G2363" i="2"/>
  <c r="H2362" i="2"/>
  <c r="G2362" i="2"/>
  <c r="H2361" i="2"/>
  <c r="G2361" i="2"/>
  <c r="H2360" i="2"/>
  <c r="G2360" i="2"/>
  <c r="H2359" i="2"/>
  <c r="G2359" i="2"/>
  <c r="H2358" i="2"/>
  <c r="G2358" i="2"/>
  <c r="H2357" i="2"/>
  <c r="G2357" i="2"/>
  <c r="H2356" i="2"/>
  <c r="G2356" i="2"/>
  <c r="H2355" i="2"/>
  <c r="G2355" i="2"/>
  <c r="H2354" i="2"/>
  <c r="G2354" i="2"/>
  <c r="H2353" i="2"/>
  <c r="G2353" i="2"/>
  <c r="H2352" i="2"/>
  <c r="G2352" i="2"/>
  <c r="H2351" i="2"/>
  <c r="G2351" i="2"/>
  <c r="H2350" i="2"/>
  <c r="G2350" i="2"/>
  <c r="H2349" i="2"/>
  <c r="G2349" i="2"/>
  <c r="H2348" i="2"/>
  <c r="G2348" i="2"/>
  <c r="H2347" i="2"/>
  <c r="G2347" i="2"/>
  <c r="H2346" i="2"/>
  <c r="G2346" i="2"/>
  <c r="H2345" i="2"/>
  <c r="G2345" i="2"/>
  <c r="H2344" i="2"/>
  <c r="G2344" i="2"/>
  <c r="H2343" i="2"/>
  <c r="G2343" i="2"/>
  <c r="H2342" i="2"/>
  <c r="G2342" i="2"/>
  <c r="H2341" i="2"/>
  <c r="G2341" i="2"/>
  <c r="H2340" i="2"/>
  <c r="G2340" i="2"/>
  <c r="H2339" i="2"/>
  <c r="G2339" i="2"/>
  <c r="H2338" i="2"/>
  <c r="G2338" i="2"/>
  <c r="H2337" i="2"/>
  <c r="G2337" i="2"/>
  <c r="H2336" i="2"/>
  <c r="G2336" i="2"/>
  <c r="H2335" i="2"/>
  <c r="G2335" i="2"/>
  <c r="H2334" i="2"/>
  <c r="G2334" i="2"/>
  <c r="H2333" i="2"/>
  <c r="G2333" i="2"/>
  <c r="H2332" i="2"/>
  <c r="G2332" i="2"/>
  <c r="H2331" i="2"/>
  <c r="G2331" i="2"/>
  <c r="H2330" i="2"/>
  <c r="G2330" i="2"/>
  <c r="H2329" i="2"/>
  <c r="G2329" i="2"/>
  <c r="H2328" i="2"/>
  <c r="G2328" i="2"/>
  <c r="H2327" i="2"/>
  <c r="G2327" i="2"/>
  <c r="H2326" i="2"/>
  <c r="G2326" i="2"/>
  <c r="H2325" i="2"/>
  <c r="G2325" i="2"/>
  <c r="H2324" i="2"/>
  <c r="G2324" i="2"/>
  <c r="H2323" i="2"/>
  <c r="G2323" i="2"/>
  <c r="H2322" i="2"/>
  <c r="G2322" i="2"/>
  <c r="H2321" i="2"/>
  <c r="G2321" i="2"/>
  <c r="H2320" i="2"/>
  <c r="G2320" i="2"/>
  <c r="H2319" i="2"/>
  <c r="G2319" i="2"/>
  <c r="H2318" i="2"/>
  <c r="G2318" i="2"/>
  <c r="H2317" i="2"/>
  <c r="G2317" i="2"/>
  <c r="H2316" i="2"/>
  <c r="G2316" i="2"/>
  <c r="H2315" i="2"/>
  <c r="G2315" i="2"/>
  <c r="H2314" i="2"/>
  <c r="G2314" i="2"/>
  <c r="H2313" i="2"/>
  <c r="G2313" i="2"/>
  <c r="H2312" i="2"/>
  <c r="G2312" i="2"/>
  <c r="H2311" i="2"/>
  <c r="G2311" i="2"/>
  <c r="H2310" i="2"/>
  <c r="G2310" i="2"/>
  <c r="H2309" i="2"/>
  <c r="G2309" i="2"/>
  <c r="H2308" i="2"/>
  <c r="G2308" i="2"/>
  <c r="H2307" i="2"/>
  <c r="G2307" i="2"/>
  <c r="H2306" i="2"/>
  <c r="G2306" i="2"/>
  <c r="H2305" i="2"/>
  <c r="G2305" i="2"/>
  <c r="H2304" i="2"/>
  <c r="G2304" i="2"/>
  <c r="H2303" i="2"/>
  <c r="G2303" i="2"/>
  <c r="H2302" i="2"/>
  <c r="G2302" i="2"/>
  <c r="H2301" i="2"/>
  <c r="G2301" i="2"/>
  <c r="H2300" i="2"/>
  <c r="G2300" i="2"/>
  <c r="H2299" i="2"/>
  <c r="G2299" i="2"/>
  <c r="H2298" i="2"/>
  <c r="G2298" i="2"/>
  <c r="H2297" i="2"/>
  <c r="G2297" i="2"/>
  <c r="H2296" i="2"/>
  <c r="G2296" i="2"/>
  <c r="H2295" i="2"/>
  <c r="G2295" i="2"/>
  <c r="H2294" i="2"/>
  <c r="G2294" i="2"/>
  <c r="H2293" i="2"/>
  <c r="G2293" i="2"/>
  <c r="H2292" i="2"/>
  <c r="G2292" i="2"/>
  <c r="H2291" i="2"/>
  <c r="G2291" i="2"/>
  <c r="H2290" i="2"/>
  <c r="G2290" i="2"/>
  <c r="H2289" i="2"/>
  <c r="G2289" i="2"/>
  <c r="H2288" i="2"/>
  <c r="G2288" i="2"/>
  <c r="H2287" i="2"/>
  <c r="G2287" i="2"/>
  <c r="H2286" i="2"/>
  <c r="G2286" i="2"/>
  <c r="H2285" i="2"/>
  <c r="G2285" i="2"/>
  <c r="H2284" i="2"/>
  <c r="G2284" i="2"/>
  <c r="H2283" i="2"/>
  <c r="G2283" i="2"/>
  <c r="H2282" i="2"/>
  <c r="G2282" i="2"/>
  <c r="H2281" i="2"/>
  <c r="G2281" i="2"/>
  <c r="H2280" i="2"/>
  <c r="G2280" i="2"/>
  <c r="H2279" i="2"/>
  <c r="G2279" i="2"/>
  <c r="H2278" i="2"/>
  <c r="G2278" i="2"/>
  <c r="H2277" i="2"/>
  <c r="G2277" i="2"/>
  <c r="H2276" i="2"/>
  <c r="G2276" i="2"/>
  <c r="H2275" i="2"/>
  <c r="G2275" i="2"/>
  <c r="H2274" i="2"/>
  <c r="G2274" i="2"/>
  <c r="H2273" i="2"/>
  <c r="G2273" i="2"/>
  <c r="H2272" i="2"/>
  <c r="G2272" i="2"/>
  <c r="H2271" i="2"/>
  <c r="G2271" i="2"/>
  <c r="H2270" i="2"/>
  <c r="G2270" i="2"/>
  <c r="H2269" i="2"/>
  <c r="G2269" i="2"/>
  <c r="H2268" i="2"/>
  <c r="G2268" i="2"/>
  <c r="H2267" i="2"/>
  <c r="G2267" i="2"/>
  <c r="H2266" i="2"/>
  <c r="G2266" i="2"/>
  <c r="H2265" i="2"/>
  <c r="G2265" i="2"/>
  <c r="H2264" i="2"/>
  <c r="G2264" i="2"/>
  <c r="H2263" i="2"/>
  <c r="G2263" i="2"/>
  <c r="H2262" i="2"/>
  <c r="G2262" i="2"/>
  <c r="H2261" i="2"/>
  <c r="G2261" i="2"/>
  <c r="H2260" i="2"/>
  <c r="G2260" i="2"/>
  <c r="H2259" i="2"/>
  <c r="G2259" i="2"/>
  <c r="H2258" i="2"/>
  <c r="G2258" i="2"/>
  <c r="H2257" i="2"/>
  <c r="G2257" i="2"/>
  <c r="H2256" i="2"/>
  <c r="G2256" i="2"/>
  <c r="H2255" i="2"/>
  <c r="G2255" i="2"/>
  <c r="H2254" i="2"/>
  <c r="G2254" i="2"/>
  <c r="H2253" i="2"/>
  <c r="G2253" i="2"/>
  <c r="H2252" i="2"/>
  <c r="G2252" i="2"/>
  <c r="H2251" i="2"/>
  <c r="G2251" i="2"/>
  <c r="H2250" i="2"/>
  <c r="G2250" i="2"/>
  <c r="H2249" i="2"/>
  <c r="G2249" i="2"/>
  <c r="H2248" i="2"/>
  <c r="G2248" i="2"/>
  <c r="H2247" i="2"/>
  <c r="G2247" i="2"/>
  <c r="H2246" i="2"/>
  <c r="G2246" i="2"/>
  <c r="H2245" i="2"/>
  <c r="G2245" i="2"/>
  <c r="H2244" i="2"/>
  <c r="G2244" i="2"/>
  <c r="H2243" i="2"/>
  <c r="G2243" i="2"/>
  <c r="H2242" i="2"/>
  <c r="G2242" i="2"/>
  <c r="H2241" i="2"/>
  <c r="G2241" i="2"/>
  <c r="H2240" i="2"/>
  <c r="G2240" i="2"/>
  <c r="H2239" i="2"/>
  <c r="G2239" i="2"/>
  <c r="H2238" i="2"/>
  <c r="G2238" i="2"/>
  <c r="H2237" i="2"/>
  <c r="G2237" i="2"/>
  <c r="H2236" i="2"/>
  <c r="G2236" i="2"/>
  <c r="H2235" i="2"/>
  <c r="G2235" i="2"/>
  <c r="H2234" i="2"/>
  <c r="G2234" i="2"/>
  <c r="H2233" i="2"/>
  <c r="G2233" i="2"/>
  <c r="H2232" i="2"/>
  <c r="G2232" i="2"/>
  <c r="H2231" i="2"/>
  <c r="G2231" i="2"/>
  <c r="H2230" i="2"/>
  <c r="G2230" i="2"/>
  <c r="H2229" i="2"/>
  <c r="G2229" i="2"/>
  <c r="H2228" i="2"/>
  <c r="G2228" i="2"/>
  <c r="H2227" i="2"/>
  <c r="G2227" i="2"/>
  <c r="H2226" i="2"/>
  <c r="G2226" i="2"/>
  <c r="H2225" i="2"/>
  <c r="G2225" i="2"/>
  <c r="H2224" i="2"/>
  <c r="G2224" i="2"/>
  <c r="H2223" i="2"/>
  <c r="G2223" i="2"/>
  <c r="H2222" i="2"/>
  <c r="G2222" i="2"/>
  <c r="H2221" i="2"/>
  <c r="G2221" i="2"/>
  <c r="H2220" i="2"/>
  <c r="G2220" i="2"/>
  <c r="H2219" i="2"/>
  <c r="G2219" i="2"/>
  <c r="H2218" i="2"/>
  <c r="G2218" i="2"/>
  <c r="H2217" i="2"/>
  <c r="G2217" i="2"/>
  <c r="H2216" i="2"/>
  <c r="G2216" i="2"/>
  <c r="H2215" i="2"/>
  <c r="G2215" i="2"/>
  <c r="H2214" i="2"/>
  <c r="G2214" i="2"/>
  <c r="H2213" i="2"/>
  <c r="G2213" i="2"/>
  <c r="H2212" i="2"/>
  <c r="G2212" i="2"/>
  <c r="H2211" i="2"/>
  <c r="G2211" i="2"/>
  <c r="H2210" i="2"/>
  <c r="G2210" i="2"/>
  <c r="H2209" i="2"/>
  <c r="G2209" i="2"/>
  <c r="H2208" i="2"/>
  <c r="G2208" i="2"/>
  <c r="H2207" i="2"/>
  <c r="G2207" i="2"/>
  <c r="H2206" i="2"/>
  <c r="G2206" i="2"/>
  <c r="H2205" i="2"/>
  <c r="G2205" i="2"/>
  <c r="H2204" i="2"/>
  <c r="G2204" i="2"/>
  <c r="H2203" i="2"/>
  <c r="G2203" i="2"/>
  <c r="H2202" i="2"/>
  <c r="G2202" i="2"/>
  <c r="H2201" i="2"/>
  <c r="G2201" i="2"/>
  <c r="H2200" i="2"/>
  <c r="G2200" i="2"/>
  <c r="H2199" i="2"/>
  <c r="G2199" i="2"/>
  <c r="H2198" i="2"/>
  <c r="G2198" i="2"/>
  <c r="H2197" i="2"/>
  <c r="G2197" i="2"/>
  <c r="H2196" i="2"/>
  <c r="G2196" i="2"/>
  <c r="H2195" i="2"/>
  <c r="G2195" i="2"/>
  <c r="H2194" i="2"/>
  <c r="G2194" i="2"/>
  <c r="H2193" i="2"/>
  <c r="G2193" i="2"/>
  <c r="H2192" i="2"/>
  <c r="G2192" i="2"/>
  <c r="H2191" i="2"/>
  <c r="G2191" i="2"/>
  <c r="H2190" i="2"/>
  <c r="G2190" i="2"/>
  <c r="H2189" i="2"/>
  <c r="G2189" i="2"/>
  <c r="H2188" i="2"/>
  <c r="G2188" i="2"/>
  <c r="H2187" i="2"/>
  <c r="G2187" i="2"/>
  <c r="H2186" i="2"/>
  <c r="G2186" i="2"/>
  <c r="H2185" i="2"/>
  <c r="G2185" i="2"/>
  <c r="H2184" i="2"/>
  <c r="G2184" i="2"/>
  <c r="H2183" i="2"/>
  <c r="G2183" i="2"/>
  <c r="H2182" i="2"/>
  <c r="G2182" i="2"/>
  <c r="H2181" i="2"/>
  <c r="G2181" i="2"/>
  <c r="H2180" i="2"/>
  <c r="G2180" i="2"/>
  <c r="H2179" i="2"/>
  <c r="G2179" i="2"/>
  <c r="H2178" i="2"/>
  <c r="G2178" i="2"/>
  <c r="H2177" i="2"/>
  <c r="G2177" i="2"/>
  <c r="H2176" i="2"/>
  <c r="G2176" i="2"/>
  <c r="H2175" i="2"/>
  <c r="G2175" i="2"/>
  <c r="H2174" i="2"/>
  <c r="G2174" i="2"/>
  <c r="H2173" i="2"/>
  <c r="G2173" i="2"/>
  <c r="H2172" i="2"/>
  <c r="G2172" i="2"/>
  <c r="H2171" i="2"/>
  <c r="G2171" i="2"/>
  <c r="H2170" i="2"/>
  <c r="G2170" i="2"/>
  <c r="H2169" i="2"/>
  <c r="G2169" i="2"/>
  <c r="H2168" i="2"/>
  <c r="G2168" i="2"/>
  <c r="H2167" i="2"/>
  <c r="G2167" i="2"/>
  <c r="H2166" i="2"/>
  <c r="G2166" i="2"/>
  <c r="H2165" i="2"/>
  <c r="G2165" i="2"/>
  <c r="H2164" i="2"/>
  <c r="G2164" i="2"/>
  <c r="H2163" i="2"/>
  <c r="G2163" i="2"/>
  <c r="H2162" i="2"/>
  <c r="G2162" i="2"/>
  <c r="H2161" i="2"/>
  <c r="G2161" i="2"/>
  <c r="H2160" i="2"/>
  <c r="G2160" i="2"/>
  <c r="H2159" i="2"/>
  <c r="G2159" i="2"/>
  <c r="H2158" i="2"/>
  <c r="G2158" i="2"/>
  <c r="H2157" i="2"/>
  <c r="G2157" i="2"/>
  <c r="H2156" i="2"/>
  <c r="G2156" i="2"/>
  <c r="H2155" i="2"/>
  <c r="G2155" i="2"/>
  <c r="H2154" i="2"/>
  <c r="G2154" i="2"/>
  <c r="H2153" i="2"/>
  <c r="G2153" i="2"/>
  <c r="H2152" i="2"/>
  <c r="G2152" i="2"/>
  <c r="H2151" i="2"/>
  <c r="G2151" i="2"/>
  <c r="H2150" i="2"/>
  <c r="G2150" i="2"/>
  <c r="H2149" i="2"/>
  <c r="G2149" i="2"/>
  <c r="H2148" i="2"/>
  <c r="G2148" i="2"/>
  <c r="H2147" i="2"/>
  <c r="G2147" i="2"/>
  <c r="H2146" i="2"/>
  <c r="G2146" i="2"/>
  <c r="H2145" i="2"/>
  <c r="G2145" i="2"/>
  <c r="H2144" i="2"/>
  <c r="G2144" i="2"/>
  <c r="H2143" i="2"/>
  <c r="G2143" i="2"/>
  <c r="H2142" i="2"/>
  <c r="G2142" i="2"/>
  <c r="H2141" i="2"/>
  <c r="G2141" i="2"/>
  <c r="H2140" i="2"/>
  <c r="G2140" i="2"/>
  <c r="H2139" i="2"/>
  <c r="G2139" i="2"/>
  <c r="H2138" i="2"/>
  <c r="G2138" i="2"/>
  <c r="H2137" i="2"/>
  <c r="G2137" i="2"/>
  <c r="H2136" i="2"/>
  <c r="G2136" i="2"/>
  <c r="H2135" i="2"/>
  <c r="G2135" i="2"/>
  <c r="H2134" i="2"/>
  <c r="G2134" i="2"/>
  <c r="H2133" i="2"/>
  <c r="G2133" i="2"/>
  <c r="H2132" i="2"/>
  <c r="G2132" i="2"/>
  <c r="H2131" i="2"/>
  <c r="G2131" i="2"/>
  <c r="H2130" i="2"/>
  <c r="G2130" i="2"/>
  <c r="H2129" i="2"/>
  <c r="G2129" i="2"/>
  <c r="H2128" i="2"/>
  <c r="G2128" i="2"/>
  <c r="H2127" i="2"/>
  <c r="G2127" i="2"/>
  <c r="H2126" i="2"/>
  <c r="G2126" i="2"/>
  <c r="H2125" i="2"/>
  <c r="G2125" i="2"/>
  <c r="H2124" i="2"/>
  <c r="G2124" i="2"/>
  <c r="H2123" i="2"/>
  <c r="G2123" i="2"/>
  <c r="H2122" i="2"/>
  <c r="G2122" i="2"/>
  <c r="H2121" i="2"/>
  <c r="G2121" i="2"/>
  <c r="H2120" i="2"/>
  <c r="G2120" i="2"/>
  <c r="H2119" i="2"/>
  <c r="G2119" i="2"/>
  <c r="H2118" i="2"/>
  <c r="G2118" i="2"/>
  <c r="H2117" i="2"/>
  <c r="G2117" i="2"/>
  <c r="H2116" i="2"/>
  <c r="G2116" i="2"/>
  <c r="H2115" i="2"/>
  <c r="G2115" i="2"/>
  <c r="H2114" i="2"/>
  <c r="G2114" i="2"/>
  <c r="H2113" i="2"/>
  <c r="G2113" i="2"/>
  <c r="H2112" i="2"/>
  <c r="G2112" i="2"/>
  <c r="H2111" i="2"/>
  <c r="G2111" i="2"/>
  <c r="H2110" i="2"/>
  <c r="G2110" i="2"/>
  <c r="H2109" i="2"/>
  <c r="G2109" i="2"/>
  <c r="H2108" i="2"/>
  <c r="G2108" i="2"/>
  <c r="H2107" i="2"/>
  <c r="G2107" i="2"/>
  <c r="H2106" i="2"/>
  <c r="G2106" i="2"/>
  <c r="H2105" i="2"/>
  <c r="G2105" i="2"/>
  <c r="H2104" i="2"/>
  <c r="G2104" i="2"/>
  <c r="H2103" i="2"/>
  <c r="G2103" i="2"/>
  <c r="H2102" i="2"/>
  <c r="G2102" i="2"/>
  <c r="H2101" i="2"/>
  <c r="G2101" i="2"/>
  <c r="H2100" i="2"/>
  <c r="G2100" i="2"/>
  <c r="H2099" i="2"/>
  <c r="G2099" i="2"/>
  <c r="H2098" i="2"/>
  <c r="G2098" i="2"/>
  <c r="H2097" i="2"/>
  <c r="G2097" i="2"/>
  <c r="H2096" i="2"/>
  <c r="G2096" i="2"/>
  <c r="H2095" i="2"/>
  <c r="G2095" i="2"/>
  <c r="H2094" i="2"/>
  <c r="G2094" i="2"/>
  <c r="H2093" i="2"/>
  <c r="G2093" i="2"/>
  <c r="H2092" i="2"/>
  <c r="G2092" i="2"/>
  <c r="H2091" i="2"/>
  <c r="G2091" i="2"/>
  <c r="H2090" i="2"/>
  <c r="G2090" i="2"/>
  <c r="H2089" i="2"/>
  <c r="G2089" i="2"/>
  <c r="H2088" i="2"/>
  <c r="G2088" i="2"/>
  <c r="H2087" i="2"/>
  <c r="G2087" i="2"/>
  <c r="H2086" i="2"/>
  <c r="G2086" i="2"/>
  <c r="H2085" i="2"/>
  <c r="G2085" i="2"/>
  <c r="H2084" i="2"/>
  <c r="G2084" i="2"/>
  <c r="H2083" i="2"/>
  <c r="G2083" i="2"/>
  <c r="H2082" i="2"/>
  <c r="G2082" i="2"/>
  <c r="H2081" i="2"/>
  <c r="G2081" i="2"/>
  <c r="H2080" i="2"/>
  <c r="G2080" i="2"/>
  <c r="H2079" i="2"/>
  <c r="G2079" i="2"/>
  <c r="H2078" i="2"/>
  <c r="G2078" i="2"/>
  <c r="H2077" i="2"/>
  <c r="G2077" i="2"/>
  <c r="H2076" i="2"/>
  <c r="G2076" i="2"/>
  <c r="H2075" i="2"/>
  <c r="G2075" i="2"/>
  <c r="H2074" i="2"/>
  <c r="G2074" i="2"/>
  <c r="H2073" i="2"/>
  <c r="G2073" i="2"/>
  <c r="H2072" i="2"/>
  <c r="G2072" i="2"/>
  <c r="H2071" i="2"/>
  <c r="G2071" i="2"/>
  <c r="H2070" i="2"/>
  <c r="G2070" i="2"/>
  <c r="H2069" i="2"/>
  <c r="G2069" i="2"/>
  <c r="H2068" i="2"/>
  <c r="G2068" i="2"/>
  <c r="H2067" i="2"/>
  <c r="G2067" i="2"/>
  <c r="H2066" i="2"/>
  <c r="G2066" i="2"/>
  <c r="H2065" i="2"/>
  <c r="G2065" i="2"/>
  <c r="H2064" i="2"/>
  <c r="G2064" i="2"/>
  <c r="H2063" i="2"/>
  <c r="G2063" i="2"/>
  <c r="H2062" i="2"/>
  <c r="G2062" i="2"/>
  <c r="H2061" i="2"/>
  <c r="G2061" i="2"/>
  <c r="H2060" i="2"/>
  <c r="G2060" i="2"/>
  <c r="H2059" i="2"/>
  <c r="G2059" i="2"/>
  <c r="H2058" i="2"/>
  <c r="G2058" i="2"/>
  <c r="H2057" i="2"/>
  <c r="G2057" i="2"/>
  <c r="H2056" i="2"/>
  <c r="G2056" i="2"/>
  <c r="H2055" i="2"/>
  <c r="G2055" i="2"/>
  <c r="H2054" i="2"/>
  <c r="G2054" i="2"/>
  <c r="H2053" i="2"/>
  <c r="G2053" i="2"/>
  <c r="H2052" i="2"/>
  <c r="G2052" i="2"/>
  <c r="H2051" i="2"/>
  <c r="G2051" i="2"/>
  <c r="H2050" i="2"/>
  <c r="G2050" i="2"/>
  <c r="H2049" i="2"/>
  <c r="G2049" i="2"/>
  <c r="H2048" i="2"/>
  <c r="G2048" i="2"/>
  <c r="H2047" i="2"/>
  <c r="G2047" i="2"/>
  <c r="H2046" i="2"/>
  <c r="G2046" i="2"/>
  <c r="H2045" i="2"/>
  <c r="G2045" i="2"/>
  <c r="H2044" i="2"/>
  <c r="G2044" i="2"/>
  <c r="H2043" i="2"/>
  <c r="G2043" i="2"/>
  <c r="H2042" i="2"/>
  <c r="G2042" i="2"/>
  <c r="H2041" i="2"/>
  <c r="G2041" i="2"/>
  <c r="H2040" i="2"/>
  <c r="G2040" i="2"/>
  <c r="H2039" i="2"/>
  <c r="G2039" i="2"/>
  <c r="H2038" i="2"/>
  <c r="G2038" i="2"/>
  <c r="H2037" i="2"/>
  <c r="G2037" i="2"/>
  <c r="H2036" i="2"/>
  <c r="G2036" i="2"/>
  <c r="H2035" i="2"/>
  <c r="G2035" i="2"/>
  <c r="H2034" i="2"/>
  <c r="G2034" i="2"/>
  <c r="H2033" i="2"/>
  <c r="G2033" i="2"/>
  <c r="H2032" i="2"/>
  <c r="G2032" i="2"/>
  <c r="H2031" i="2"/>
  <c r="G2031" i="2"/>
  <c r="H2030" i="2"/>
  <c r="G2030" i="2"/>
  <c r="H2029" i="2"/>
  <c r="G2029" i="2"/>
  <c r="H2028" i="2"/>
  <c r="G2028" i="2"/>
  <c r="H2027" i="2"/>
  <c r="G2027" i="2"/>
  <c r="H2026" i="2"/>
  <c r="G2026" i="2"/>
  <c r="H2025" i="2"/>
  <c r="G2025" i="2"/>
  <c r="H2024" i="2"/>
  <c r="G2024" i="2"/>
  <c r="H2023" i="2"/>
  <c r="G2023" i="2"/>
  <c r="H2022" i="2"/>
  <c r="G2022" i="2"/>
  <c r="H2021" i="2"/>
  <c r="G2021" i="2"/>
  <c r="H2020" i="2"/>
  <c r="G2020" i="2"/>
  <c r="H2019" i="2"/>
  <c r="G2019" i="2"/>
  <c r="H2018" i="2"/>
  <c r="G2018" i="2"/>
  <c r="H2017" i="2"/>
  <c r="G2017" i="2"/>
  <c r="H2016" i="2"/>
  <c r="G2016" i="2"/>
  <c r="H2015" i="2"/>
  <c r="G2015" i="2"/>
  <c r="H2014" i="2"/>
  <c r="G2014" i="2"/>
  <c r="H2013" i="2"/>
  <c r="G2013" i="2"/>
  <c r="H2012" i="2"/>
  <c r="G2012" i="2"/>
  <c r="H2011" i="2"/>
  <c r="G2011" i="2"/>
  <c r="H2010" i="2"/>
  <c r="G2010" i="2"/>
  <c r="H2009" i="2"/>
  <c r="G2009" i="2"/>
  <c r="H2008" i="2"/>
  <c r="G2008" i="2"/>
  <c r="H2007" i="2"/>
  <c r="G2007" i="2"/>
  <c r="H2006" i="2"/>
  <c r="G2006" i="2"/>
  <c r="H2005" i="2"/>
  <c r="G2005" i="2"/>
  <c r="H2004" i="2"/>
  <c r="G2004" i="2"/>
  <c r="H2003" i="2"/>
  <c r="G2003" i="2"/>
  <c r="H2002" i="2"/>
  <c r="G2002" i="2"/>
  <c r="H2001" i="2"/>
  <c r="G2001" i="2"/>
  <c r="H2000" i="2"/>
  <c r="G2000" i="2"/>
  <c r="H1999" i="2"/>
  <c r="G1999" i="2"/>
  <c r="H1998" i="2"/>
  <c r="G1998" i="2"/>
  <c r="H1997" i="2"/>
  <c r="G1997" i="2"/>
  <c r="H1996" i="2"/>
  <c r="G1996" i="2"/>
  <c r="H1995" i="2"/>
  <c r="G1995" i="2"/>
  <c r="H1994" i="2"/>
  <c r="G1994" i="2"/>
  <c r="H1993" i="2"/>
  <c r="G1993" i="2"/>
  <c r="H1992" i="2"/>
  <c r="G1992" i="2"/>
  <c r="H1991" i="2"/>
  <c r="G1991" i="2"/>
  <c r="H1990" i="2"/>
  <c r="G1990" i="2"/>
  <c r="H1989" i="2"/>
  <c r="G1989" i="2"/>
  <c r="H1988" i="2"/>
  <c r="G1988" i="2"/>
  <c r="H1987" i="2"/>
  <c r="G1987" i="2"/>
  <c r="H1986" i="2"/>
  <c r="G1986" i="2"/>
  <c r="H1985" i="2"/>
  <c r="G1985" i="2"/>
  <c r="H1984" i="2"/>
  <c r="G1984" i="2"/>
  <c r="H1983" i="2"/>
  <c r="G1983" i="2"/>
  <c r="H1982" i="2"/>
  <c r="G1982" i="2"/>
  <c r="H1981" i="2"/>
  <c r="G1981" i="2"/>
  <c r="H1980" i="2"/>
  <c r="G1980" i="2"/>
  <c r="H1979" i="2"/>
  <c r="G1979" i="2"/>
  <c r="H1978" i="2"/>
  <c r="G1978" i="2"/>
  <c r="H1977" i="2"/>
  <c r="G1977" i="2"/>
  <c r="H1976" i="2"/>
  <c r="G1976" i="2"/>
  <c r="H1975" i="2"/>
  <c r="G1975" i="2"/>
  <c r="H1974" i="2"/>
  <c r="G1974" i="2"/>
  <c r="H1973" i="2"/>
  <c r="G1973" i="2"/>
  <c r="H1972" i="2"/>
  <c r="G1972" i="2"/>
  <c r="H1971" i="2"/>
  <c r="G1971" i="2"/>
  <c r="H1970" i="2"/>
  <c r="G1970" i="2"/>
  <c r="H1969" i="2"/>
  <c r="G1969" i="2"/>
  <c r="H1968" i="2"/>
  <c r="G1968" i="2"/>
  <c r="H1967" i="2"/>
  <c r="G1967" i="2"/>
  <c r="H1966" i="2"/>
  <c r="G1966" i="2"/>
  <c r="H1965" i="2"/>
  <c r="G1965" i="2"/>
  <c r="H1964" i="2"/>
  <c r="G1964" i="2"/>
  <c r="H1963" i="2"/>
  <c r="G1963" i="2"/>
  <c r="H1962" i="2"/>
  <c r="G1962" i="2"/>
  <c r="H1961" i="2"/>
  <c r="G1961" i="2"/>
  <c r="H1960" i="2"/>
  <c r="G1960" i="2"/>
  <c r="H1959" i="2"/>
  <c r="G1959" i="2"/>
  <c r="H1958" i="2"/>
  <c r="G1958" i="2"/>
  <c r="H1957" i="2"/>
  <c r="G1957" i="2"/>
  <c r="H1956" i="2"/>
  <c r="G1956" i="2"/>
  <c r="H1955" i="2"/>
  <c r="G1955" i="2"/>
  <c r="H1954" i="2"/>
  <c r="G1954" i="2"/>
  <c r="H1953" i="2"/>
  <c r="G1953" i="2"/>
  <c r="H1952" i="2"/>
  <c r="G1952" i="2"/>
  <c r="H1951" i="2"/>
  <c r="G1951" i="2"/>
  <c r="H1950" i="2"/>
  <c r="G1950" i="2"/>
  <c r="H1949" i="2"/>
  <c r="G1949" i="2"/>
  <c r="H1948" i="2"/>
  <c r="G1948" i="2"/>
  <c r="H1947" i="2"/>
  <c r="G1947" i="2"/>
  <c r="H1946" i="2"/>
  <c r="G1946" i="2"/>
  <c r="H1945" i="2"/>
  <c r="G1945" i="2"/>
  <c r="H1944" i="2"/>
  <c r="G1944" i="2"/>
  <c r="H1943" i="2"/>
  <c r="G1943" i="2"/>
  <c r="H1942" i="2"/>
  <c r="G1942" i="2"/>
  <c r="H1941" i="2"/>
  <c r="G1941" i="2"/>
  <c r="H1940" i="2"/>
  <c r="G1940" i="2"/>
  <c r="H1939" i="2"/>
  <c r="G1939" i="2"/>
  <c r="H1938" i="2"/>
  <c r="G1938" i="2"/>
  <c r="H1937" i="2"/>
  <c r="G1937" i="2"/>
  <c r="H1936" i="2"/>
  <c r="G1936" i="2"/>
  <c r="H1935" i="2"/>
  <c r="G1935" i="2"/>
  <c r="H1934" i="2"/>
  <c r="G1934" i="2"/>
  <c r="H1933" i="2"/>
  <c r="G1933" i="2"/>
  <c r="H1932" i="2"/>
  <c r="G1932" i="2"/>
  <c r="H1931" i="2"/>
  <c r="G1931" i="2"/>
  <c r="H1930" i="2"/>
  <c r="G1930" i="2"/>
  <c r="H1929" i="2"/>
  <c r="G1929" i="2"/>
  <c r="H1928" i="2"/>
  <c r="G1928" i="2"/>
  <c r="H1927" i="2"/>
  <c r="G1927" i="2"/>
  <c r="H1926" i="2"/>
  <c r="G1926" i="2"/>
  <c r="H1925" i="2"/>
  <c r="G1925" i="2"/>
  <c r="H1924" i="2"/>
  <c r="G1924" i="2"/>
  <c r="H1923" i="2"/>
  <c r="G1923" i="2"/>
  <c r="H1922" i="2"/>
  <c r="G1922" i="2"/>
  <c r="H1921" i="2"/>
  <c r="G1921" i="2"/>
  <c r="H1920" i="2"/>
  <c r="G1920" i="2"/>
  <c r="H1919" i="2"/>
  <c r="G1919" i="2"/>
  <c r="H1918" i="2"/>
  <c r="G1918" i="2"/>
  <c r="H1917" i="2"/>
  <c r="G1917" i="2"/>
  <c r="H1916" i="2"/>
  <c r="G1916" i="2"/>
  <c r="H1915" i="2"/>
  <c r="G1915" i="2"/>
  <c r="H1914" i="2"/>
  <c r="G1914" i="2"/>
  <c r="H1913" i="2"/>
  <c r="G1913" i="2"/>
  <c r="H1912" i="2"/>
  <c r="G1912" i="2"/>
  <c r="H1911" i="2"/>
  <c r="G1911" i="2"/>
  <c r="H1910" i="2"/>
  <c r="G1910" i="2"/>
  <c r="H1909" i="2"/>
  <c r="G1909" i="2"/>
  <c r="H1908" i="2"/>
  <c r="G1908" i="2"/>
  <c r="H1907" i="2"/>
  <c r="G1907" i="2"/>
  <c r="H1906" i="2"/>
  <c r="G1906" i="2"/>
  <c r="H1905" i="2"/>
  <c r="G1905" i="2"/>
  <c r="H1904" i="2"/>
  <c r="G1904" i="2"/>
  <c r="H1903" i="2"/>
  <c r="G1903" i="2"/>
  <c r="H1902" i="2"/>
  <c r="G1902" i="2"/>
  <c r="H1901" i="2"/>
  <c r="G1901" i="2"/>
  <c r="H1900" i="2"/>
  <c r="G1900" i="2"/>
  <c r="H1899" i="2"/>
  <c r="G1899" i="2"/>
  <c r="H1898" i="2"/>
  <c r="G1898" i="2"/>
  <c r="H1897" i="2"/>
  <c r="G1897" i="2"/>
  <c r="H1896" i="2"/>
  <c r="G1896" i="2"/>
  <c r="H1895" i="2"/>
  <c r="G1895" i="2"/>
  <c r="H1894" i="2"/>
  <c r="G1894" i="2"/>
  <c r="H1893" i="2"/>
  <c r="G1893" i="2"/>
  <c r="H1892" i="2"/>
  <c r="G1892" i="2"/>
  <c r="H1891" i="2"/>
  <c r="G1891" i="2"/>
  <c r="H1890" i="2"/>
  <c r="G1890" i="2"/>
  <c r="H1889" i="2"/>
  <c r="G1889" i="2"/>
  <c r="H1888" i="2"/>
  <c r="G1888" i="2"/>
  <c r="H1887" i="2"/>
  <c r="G1887" i="2"/>
  <c r="H1886" i="2"/>
  <c r="G1886" i="2"/>
  <c r="H1885" i="2"/>
  <c r="G1885" i="2"/>
  <c r="H1884" i="2"/>
  <c r="G1884" i="2"/>
  <c r="H1883" i="2"/>
  <c r="G1883" i="2"/>
  <c r="H1882" i="2"/>
  <c r="G1882" i="2"/>
  <c r="H1881" i="2"/>
  <c r="G1881" i="2"/>
  <c r="H1880" i="2"/>
  <c r="G1880" i="2"/>
  <c r="H1879" i="2"/>
  <c r="G1879" i="2"/>
  <c r="H1878" i="2"/>
  <c r="G1878" i="2"/>
  <c r="H1877" i="2"/>
  <c r="G1877" i="2"/>
  <c r="H1876" i="2"/>
  <c r="G1876" i="2"/>
  <c r="H1875" i="2"/>
  <c r="G1875" i="2"/>
  <c r="H1874" i="2"/>
  <c r="G1874" i="2"/>
  <c r="H1873" i="2"/>
  <c r="G1873" i="2"/>
  <c r="H1872" i="2"/>
  <c r="G1872" i="2"/>
  <c r="H1871" i="2"/>
  <c r="G1871" i="2"/>
  <c r="H1870" i="2"/>
  <c r="G1870" i="2"/>
  <c r="H1869" i="2"/>
  <c r="G1869" i="2"/>
  <c r="H1868" i="2"/>
  <c r="G1868" i="2"/>
  <c r="H1867" i="2"/>
  <c r="G1867" i="2"/>
  <c r="H1866" i="2"/>
  <c r="G1866" i="2"/>
  <c r="H1865" i="2"/>
  <c r="G1865" i="2"/>
  <c r="H1864" i="2"/>
  <c r="G1864" i="2"/>
  <c r="H1863" i="2"/>
  <c r="G1863" i="2"/>
  <c r="H1862" i="2"/>
  <c r="G1862" i="2"/>
  <c r="H1861" i="2"/>
  <c r="G1861" i="2"/>
  <c r="H1860" i="2"/>
  <c r="G1860" i="2"/>
  <c r="H1859" i="2"/>
  <c r="G1859" i="2"/>
  <c r="H1858" i="2"/>
  <c r="G1858" i="2"/>
  <c r="H1857" i="2"/>
  <c r="G1857" i="2"/>
  <c r="H1856" i="2"/>
  <c r="G1856" i="2"/>
  <c r="H1855" i="2"/>
  <c r="G1855" i="2"/>
  <c r="H1854" i="2"/>
  <c r="G1854" i="2"/>
  <c r="H1853" i="2"/>
  <c r="G1853" i="2"/>
  <c r="H1852" i="2"/>
  <c r="G1852" i="2"/>
  <c r="H1851" i="2"/>
  <c r="G1851" i="2"/>
  <c r="H1850" i="2"/>
  <c r="G1850" i="2"/>
  <c r="H1849" i="2"/>
  <c r="G1849" i="2"/>
  <c r="H1848" i="2"/>
  <c r="G1848" i="2"/>
  <c r="H1847" i="2"/>
  <c r="G1847" i="2"/>
  <c r="H1846" i="2"/>
  <c r="G1846" i="2"/>
  <c r="H1845" i="2"/>
  <c r="G1845" i="2"/>
  <c r="H1844" i="2"/>
  <c r="G1844" i="2"/>
  <c r="H1843" i="2"/>
  <c r="G1843" i="2"/>
  <c r="H1842" i="2"/>
  <c r="G1842" i="2"/>
  <c r="H1841" i="2"/>
  <c r="G1841" i="2"/>
  <c r="H1840" i="2"/>
  <c r="G1840" i="2"/>
  <c r="H1839" i="2"/>
  <c r="G1839" i="2"/>
  <c r="H1838" i="2"/>
  <c r="G1838" i="2"/>
  <c r="H1837" i="2"/>
  <c r="G1837" i="2"/>
  <c r="H1836" i="2"/>
  <c r="G1836" i="2"/>
  <c r="H1835" i="2"/>
  <c r="G1835" i="2"/>
  <c r="H1834" i="2"/>
  <c r="G1834" i="2"/>
  <c r="H1833" i="2"/>
  <c r="G1833" i="2"/>
  <c r="H1832" i="2"/>
  <c r="G1832" i="2"/>
  <c r="H1831" i="2"/>
  <c r="G1831" i="2"/>
  <c r="H1830" i="2"/>
  <c r="G1830" i="2"/>
  <c r="H1829" i="2"/>
  <c r="G1829" i="2"/>
  <c r="H1828" i="2"/>
  <c r="G1828" i="2"/>
  <c r="H1827" i="2"/>
  <c r="G1827" i="2"/>
  <c r="H1826" i="2"/>
  <c r="G1826" i="2"/>
  <c r="H1825" i="2"/>
  <c r="G1825" i="2"/>
  <c r="H1824" i="2"/>
  <c r="G1824" i="2"/>
  <c r="H1823" i="2"/>
  <c r="G1823" i="2"/>
  <c r="H1822" i="2"/>
  <c r="G1822" i="2"/>
  <c r="H1821" i="2"/>
  <c r="G1821" i="2"/>
  <c r="H1820" i="2"/>
  <c r="G1820" i="2"/>
  <c r="H1819" i="2"/>
  <c r="G1819" i="2"/>
  <c r="H1818" i="2"/>
  <c r="G1818" i="2"/>
  <c r="H1817" i="2"/>
  <c r="G1817" i="2"/>
  <c r="H1816" i="2"/>
  <c r="G1816" i="2"/>
  <c r="H1815" i="2"/>
  <c r="G1815" i="2"/>
  <c r="H1814" i="2"/>
  <c r="G1814" i="2"/>
  <c r="H1813" i="2"/>
  <c r="G1813" i="2"/>
  <c r="H1812" i="2"/>
  <c r="G1812" i="2"/>
  <c r="H1811" i="2"/>
  <c r="G1811" i="2"/>
  <c r="H1810" i="2"/>
  <c r="G1810" i="2"/>
  <c r="H1809" i="2"/>
  <c r="G1809" i="2"/>
  <c r="H1808" i="2"/>
  <c r="G1808" i="2"/>
  <c r="H1807" i="2"/>
  <c r="G1807" i="2"/>
  <c r="H1806" i="2"/>
  <c r="G1806" i="2"/>
  <c r="H1805" i="2"/>
  <c r="G1805" i="2"/>
  <c r="H1804" i="2"/>
  <c r="G1804" i="2"/>
  <c r="H1803" i="2"/>
  <c r="G1803" i="2"/>
  <c r="H1802" i="2"/>
  <c r="G1802" i="2"/>
  <c r="H1801" i="2"/>
  <c r="G1801" i="2"/>
  <c r="H1800" i="2"/>
  <c r="G1800" i="2"/>
  <c r="H1799" i="2"/>
  <c r="G1799" i="2"/>
  <c r="H1798" i="2"/>
  <c r="G1798" i="2"/>
  <c r="H1797" i="2"/>
  <c r="G1797" i="2"/>
  <c r="H1796" i="2"/>
  <c r="G1796" i="2"/>
  <c r="H1795" i="2"/>
  <c r="G1795" i="2"/>
  <c r="H1794" i="2"/>
  <c r="G1794" i="2"/>
  <c r="H1793" i="2"/>
  <c r="G1793" i="2"/>
  <c r="H1792" i="2"/>
  <c r="G1792" i="2"/>
  <c r="H1791" i="2"/>
  <c r="G1791" i="2"/>
  <c r="H1790" i="2"/>
  <c r="G1790" i="2"/>
  <c r="H1789" i="2"/>
  <c r="G1789" i="2"/>
  <c r="H1788" i="2"/>
  <c r="G1788" i="2"/>
  <c r="H1787" i="2"/>
  <c r="G1787" i="2"/>
  <c r="H1786" i="2"/>
  <c r="G1786" i="2"/>
  <c r="H1785" i="2"/>
  <c r="G1785" i="2"/>
  <c r="H1784" i="2"/>
  <c r="G1784" i="2"/>
  <c r="H1783" i="2"/>
  <c r="G1783" i="2"/>
  <c r="H1782" i="2"/>
  <c r="G1782" i="2"/>
  <c r="H1781" i="2"/>
  <c r="G1781" i="2"/>
  <c r="H1780" i="2"/>
  <c r="G1780" i="2"/>
  <c r="H1779" i="2"/>
  <c r="G1779" i="2"/>
  <c r="H1778" i="2"/>
  <c r="G1778" i="2"/>
  <c r="H1777" i="2"/>
  <c r="G1777" i="2"/>
  <c r="H1776" i="2"/>
  <c r="G1776" i="2"/>
  <c r="H1775" i="2"/>
  <c r="G1775" i="2"/>
  <c r="H1774" i="2"/>
  <c r="G1774" i="2"/>
  <c r="H1773" i="2"/>
  <c r="G1773" i="2"/>
  <c r="H1772" i="2"/>
  <c r="G1772" i="2"/>
  <c r="H1771" i="2"/>
  <c r="G1771" i="2"/>
  <c r="H1770" i="2"/>
  <c r="G1770" i="2"/>
  <c r="H1769" i="2"/>
  <c r="G1769" i="2"/>
  <c r="H1768" i="2"/>
  <c r="G1768" i="2"/>
  <c r="H1767" i="2"/>
  <c r="G1767" i="2"/>
  <c r="H1766" i="2"/>
  <c r="G1766" i="2"/>
  <c r="H1765" i="2"/>
  <c r="G1765" i="2"/>
  <c r="H1764" i="2"/>
  <c r="G1764" i="2"/>
  <c r="H1763" i="2"/>
  <c r="G1763" i="2"/>
  <c r="H1762" i="2"/>
  <c r="G1762" i="2"/>
  <c r="H1761" i="2"/>
  <c r="G1761" i="2"/>
  <c r="H1760" i="2"/>
  <c r="G1760" i="2"/>
  <c r="H1759" i="2"/>
  <c r="G1759" i="2"/>
  <c r="H1758" i="2"/>
  <c r="G1758" i="2"/>
  <c r="H1757" i="2"/>
  <c r="G1757" i="2"/>
  <c r="H1756" i="2"/>
  <c r="G1756" i="2"/>
  <c r="H1755" i="2"/>
  <c r="G1755" i="2"/>
  <c r="H1754" i="2"/>
  <c r="G1754" i="2"/>
  <c r="H1753" i="2"/>
  <c r="G1753" i="2"/>
  <c r="H1752" i="2"/>
  <c r="G1752" i="2"/>
  <c r="H1751" i="2"/>
  <c r="G1751" i="2"/>
  <c r="H1750" i="2"/>
  <c r="G1750" i="2"/>
  <c r="H1749" i="2"/>
  <c r="G1749" i="2"/>
  <c r="H1748" i="2"/>
  <c r="G1748" i="2"/>
  <c r="H1747" i="2"/>
  <c r="G1747" i="2"/>
  <c r="H1746" i="2"/>
  <c r="G1746" i="2"/>
  <c r="H1745" i="2"/>
  <c r="G1745" i="2"/>
  <c r="H1744" i="2"/>
  <c r="G1744" i="2"/>
  <c r="H1743" i="2"/>
  <c r="G1743" i="2"/>
  <c r="H1742" i="2"/>
  <c r="G1742" i="2"/>
  <c r="H1741" i="2"/>
  <c r="G1741" i="2"/>
  <c r="H1740" i="2"/>
  <c r="G1740" i="2"/>
  <c r="H1739" i="2"/>
  <c r="G1739" i="2"/>
  <c r="H1738" i="2"/>
  <c r="G1738" i="2"/>
  <c r="H1737" i="2"/>
  <c r="G1737" i="2"/>
  <c r="H1736" i="2"/>
  <c r="G1736" i="2"/>
  <c r="H1735" i="2"/>
  <c r="G1735" i="2"/>
  <c r="H1734" i="2"/>
  <c r="G1734" i="2"/>
  <c r="H1733" i="2"/>
  <c r="G1733" i="2"/>
  <c r="H1732" i="2"/>
  <c r="G1732" i="2"/>
  <c r="H1731" i="2"/>
  <c r="G1731" i="2"/>
  <c r="H1730" i="2"/>
  <c r="G1730" i="2"/>
  <c r="H1729" i="2"/>
  <c r="G1729" i="2"/>
  <c r="H1728" i="2"/>
  <c r="G1728" i="2"/>
  <c r="H1727" i="2"/>
  <c r="G1727" i="2"/>
  <c r="H1726" i="2"/>
  <c r="G1726" i="2"/>
  <c r="H1725" i="2"/>
  <c r="G1725" i="2"/>
  <c r="H1724" i="2"/>
  <c r="G1724" i="2"/>
  <c r="H1723" i="2"/>
  <c r="G1723" i="2"/>
  <c r="H1722" i="2"/>
  <c r="G1722" i="2"/>
  <c r="H1721" i="2"/>
  <c r="G1721" i="2"/>
  <c r="H1720" i="2"/>
  <c r="G1720" i="2"/>
  <c r="H1719" i="2"/>
  <c r="G1719" i="2"/>
  <c r="H1718" i="2"/>
  <c r="G1718" i="2"/>
  <c r="H1717" i="2"/>
  <c r="G1717" i="2"/>
  <c r="H1716" i="2"/>
  <c r="G1716" i="2"/>
  <c r="H1715" i="2"/>
  <c r="G1715" i="2"/>
  <c r="H1714" i="2"/>
  <c r="G1714" i="2"/>
  <c r="H1713" i="2"/>
  <c r="G1713" i="2"/>
  <c r="H1712" i="2"/>
  <c r="G1712" i="2"/>
  <c r="H1711" i="2"/>
  <c r="G1711" i="2"/>
  <c r="H1710" i="2"/>
  <c r="G1710" i="2"/>
  <c r="H1709" i="2"/>
  <c r="G1709" i="2"/>
  <c r="H1708" i="2"/>
  <c r="G1708" i="2"/>
  <c r="H1707" i="2"/>
  <c r="G1707" i="2"/>
  <c r="H1706" i="2"/>
  <c r="G1706" i="2"/>
  <c r="H1705" i="2"/>
  <c r="G1705" i="2"/>
  <c r="H1704" i="2"/>
  <c r="G1704" i="2"/>
  <c r="H1703" i="2"/>
  <c r="G1703" i="2"/>
  <c r="H1702" i="2"/>
  <c r="G1702" i="2"/>
  <c r="H1701" i="2"/>
  <c r="G1701" i="2"/>
  <c r="H1700" i="2"/>
  <c r="G1700" i="2"/>
  <c r="H1699" i="2"/>
  <c r="G1699" i="2"/>
  <c r="H1698" i="2"/>
  <c r="G1698" i="2"/>
  <c r="H1697" i="2"/>
  <c r="G1697" i="2"/>
  <c r="H1696" i="2"/>
  <c r="G1696" i="2"/>
  <c r="H1695" i="2"/>
  <c r="G1695" i="2"/>
  <c r="H1694" i="2"/>
  <c r="G1694" i="2"/>
  <c r="H1693" i="2"/>
  <c r="G1693" i="2"/>
  <c r="H1692" i="2"/>
  <c r="G1692" i="2"/>
  <c r="H1691" i="2"/>
  <c r="G1691" i="2"/>
  <c r="H1690" i="2"/>
  <c r="G1690" i="2"/>
  <c r="H1689" i="2"/>
  <c r="G1689" i="2"/>
  <c r="H1688" i="2"/>
  <c r="G1688" i="2"/>
  <c r="H1687" i="2"/>
  <c r="G1687" i="2"/>
  <c r="H1686" i="2"/>
  <c r="G1686" i="2"/>
  <c r="H1685" i="2"/>
  <c r="G1685" i="2"/>
  <c r="H1684" i="2"/>
  <c r="G1684" i="2"/>
  <c r="H1683" i="2"/>
  <c r="G1683" i="2"/>
  <c r="H1682" i="2"/>
  <c r="G1682" i="2"/>
  <c r="H1681" i="2"/>
  <c r="G1681" i="2"/>
  <c r="H1680" i="2"/>
  <c r="G1680" i="2"/>
  <c r="H1679" i="2"/>
  <c r="G1679" i="2"/>
  <c r="H1678" i="2"/>
  <c r="G1678" i="2"/>
  <c r="H1677" i="2"/>
  <c r="G1677" i="2"/>
  <c r="H1676" i="2"/>
  <c r="G1676" i="2"/>
  <c r="H1675" i="2"/>
  <c r="G1675" i="2"/>
  <c r="H1674" i="2"/>
  <c r="G1674" i="2"/>
  <c r="H1673" i="2"/>
  <c r="G1673" i="2"/>
  <c r="H1672" i="2"/>
  <c r="G1672" i="2"/>
  <c r="H1671" i="2"/>
  <c r="G1671" i="2"/>
  <c r="H1670" i="2"/>
  <c r="G1670" i="2"/>
  <c r="H1669" i="2"/>
  <c r="G1669" i="2"/>
  <c r="H1668" i="2"/>
  <c r="G1668" i="2"/>
  <c r="H1667" i="2"/>
  <c r="G1667" i="2"/>
  <c r="H1666" i="2"/>
  <c r="G1666" i="2"/>
  <c r="H1665" i="2"/>
  <c r="G1665" i="2"/>
  <c r="H1664" i="2"/>
  <c r="G1664" i="2"/>
  <c r="H1663" i="2"/>
  <c r="G1663" i="2"/>
  <c r="H1662" i="2"/>
  <c r="G1662" i="2"/>
  <c r="H1661" i="2"/>
  <c r="G1661" i="2"/>
  <c r="H1660" i="2"/>
  <c r="G1660" i="2"/>
  <c r="H1659" i="2"/>
  <c r="G1659" i="2"/>
  <c r="H1658" i="2"/>
  <c r="G1658" i="2"/>
  <c r="H1657" i="2"/>
  <c r="G1657" i="2"/>
  <c r="H1656" i="2"/>
  <c r="G1656" i="2"/>
  <c r="H1655" i="2"/>
  <c r="G1655" i="2"/>
  <c r="H1654" i="2"/>
  <c r="G1654" i="2"/>
  <c r="H1653" i="2"/>
  <c r="G1653" i="2"/>
  <c r="H1652" i="2"/>
  <c r="G1652" i="2"/>
  <c r="H1651" i="2"/>
  <c r="G1651" i="2"/>
  <c r="H1650" i="2"/>
  <c r="G1650" i="2"/>
  <c r="H1649" i="2"/>
  <c r="G1649" i="2"/>
  <c r="H1648" i="2"/>
  <c r="G1648" i="2"/>
  <c r="H1647" i="2"/>
  <c r="G1647" i="2"/>
  <c r="H1646" i="2"/>
  <c r="G1646" i="2"/>
  <c r="H1645" i="2"/>
  <c r="G1645" i="2"/>
  <c r="H1644" i="2"/>
  <c r="G1644" i="2"/>
  <c r="H1643" i="2"/>
  <c r="G1643" i="2"/>
  <c r="H1642" i="2"/>
  <c r="G1642" i="2"/>
  <c r="H1641" i="2"/>
  <c r="G1641" i="2"/>
  <c r="H1640" i="2"/>
  <c r="G1640" i="2"/>
  <c r="H1639" i="2"/>
  <c r="G1639" i="2"/>
  <c r="H1638" i="2"/>
  <c r="G1638" i="2"/>
  <c r="H1637" i="2"/>
  <c r="G1637" i="2"/>
  <c r="H1636" i="2"/>
  <c r="G1636" i="2"/>
  <c r="H1635" i="2"/>
  <c r="G1635" i="2"/>
  <c r="H1634" i="2"/>
  <c r="G1634" i="2"/>
  <c r="H1633" i="2"/>
  <c r="G1633" i="2"/>
  <c r="H1632" i="2"/>
  <c r="G1632" i="2"/>
  <c r="H1631" i="2"/>
  <c r="G1631" i="2"/>
  <c r="H1630" i="2"/>
  <c r="G1630" i="2"/>
  <c r="H1629" i="2"/>
  <c r="G1629" i="2"/>
  <c r="H1628" i="2"/>
  <c r="G1628" i="2"/>
  <c r="H1627" i="2"/>
  <c r="G1627" i="2"/>
  <c r="H1626" i="2"/>
  <c r="G1626" i="2"/>
  <c r="H1625" i="2"/>
  <c r="G1625" i="2"/>
  <c r="H1624" i="2"/>
  <c r="G1624" i="2"/>
  <c r="H1623" i="2"/>
  <c r="G1623" i="2"/>
  <c r="H1622" i="2"/>
  <c r="G1622" i="2"/>
  <c r="H1621" i="2"/>
  <c r="G1621" i="2"/>
  <c r="H1620" i="2"/>
  <c r="G1620" i="2"/>
  <c r="H1619" i="2"/>
  <c r="G1619" i="2"/>
  <c r="H1618" i="2"/>
  <c r="G1618" i="2"/>
  <c r="H1617" i="2"/>
  <c r="G1617" i="2"/>
  <c r="H1616" i="2"/>
  <c r="G1616" i="2"/>
  <c r="H1615" i="2"/>
  <c r="G1615" i="2"/>
  <c r="H1614" i="2"/>
  <c r="G1614" i="2"/>
  <c r="H1613" i="2"/>
  <c r="G1613" i="2"/>
  <c r="H1612" i="2"/>
  <c r="G1612" i="2"/>
  <c r="H1611" i="2"/>
  <c r="G1611" i="2"/>
  <c r="H1610" i="2"/>
  <c r="G1610" i="2"/>
  <c r="H1609" i="2"/>
  <c r="G1609" i="2"/>
  <c r="H1608" i="2"/>
  <c r="G1608" i="2"/>
  <c r="H1607" i="2"/>
  <c r="G1607" i="2"/>
  <c r="H1606" i="2"/>
  <c r="G1606" i="2"/>
  <c r="H1605" i="2"/>
  <c r="G1605" i="2"/>
  <c r="H1604" i="2"/>
  <c r="G1604" i="2"/>
  <c r="H1603" i="2"/>
  <c r="G1603" i="2"/>
  <c r="H1602" i="2"/>
  <c r="G1602" i="2"/>
  <c r="H1601" i="2"/>
  <c r="G1601" i="2"/>
  <c r="H1600" i="2"/>
  <c r="G1600" i="2"/>
  <c r="H1599" i="2"/>
  <c r="G1599" i="2"/>
  <c r="H1598" i="2"/>
  <c r="G1598" i="2"/>
  <c r="H1597" i="2"/>
  <c r="G1597" i="2"/>
  <c r="H1596" i="2"/>
  <c r="G1596" i="2"/>
  <c r="H1595" i="2"/>
  <c r="G1595" i="2"/>
  <c r="H1594" i="2"/>
  <c r="G1594" i="2"/>
  <c r="H1593" i="2"/>
  <c r="G1593" i="2"/>
  <c r="H1592" i="2"/>
  <c r="G1592" i="2"/>
  <c r="H1591" i="2"/>
  <c r="G1591" i="2"/>
  <c r="H1590" i="2"/>
  <c r="G1590" i="2"/>
  <c r="H1589" i="2"/>
  <c r="G1589" i="2"/>
  <c r="H1588" i="2"/>
  <c r="G1588" i="2"/>
  <c r="H1587" i="2"/>
  <c r="G1587" i="2"/>
  <c r="H1586" i="2"/>
  <c r="G1586" i="2"/>
  <c r="H1585" i="2"/>
  <c r="G1585" i="2"/>
  <c r="H1584" i="2"/>
  <c r="G1584" i="2"/>
  <c r="H1583" i="2"/>
  <c r="G1583" i="2"/>
  <c r="H1582" i="2"/>
  <c r="G1582" i="2"/>
  <c r="H1581" i="2"/>
  <c r="G1581" i="2"/>
  <c r="H1580" i="2"/>
  <c r="G1580" i="2"/>
  <c r="H1579" i="2"/>
  <c r="G1579" i="2"/>
  <c r="H1578" i="2"/>
  <c r="G1578" i="2"/>
  <c r="H1577" i="2"/>
  <c r="G1577" i="2"/>
  <c r="H1576" i="2"/>
  <c r="G1576" i="2"/>
  <c r="H1575" i="2"/>
  <c r="G1575" i="2"/>
  <c r="H1574" i="2"/>
  <c r="G1574" i="2"/>
  <c r="H1573" i="2"/>
  <c r="G1573" i="2"/>
  <c r="H1572" i="2"/>
  <c r="G1572" i="2"/>
  <c r="H1571" i="2"/>
  <c r="G1571" i="2"/>
  <c r="H1570" i="2"/>
  <c r="G1570" i="2"/>
  <c r="H1569" i="2"/>
  <c r="G1569" i="2"/>
  <c r="H1568" i="2"/>
  <c r="G1568" i="2"/>
  <c r="H1567" i="2"/>
  <c r="G1567" i="2"/>
  <c r="H1566" i="2"/>
  <c r="G1566" i="2"/>
  <c r="H1565" i="2"/>
  <c r="G1565" i="2"/>
  <c r="H1564" i="2"/>
  <c r="G1564" i="2"/>
  <c r="H1563" i="2"/>
  <c r="G1563" i="2"/>
  <c r="H1562" i="2"/>
  <c r="G1562" i="2"/>
  <c r="H1561" i="2"/>
  <c r="G1561" i="2"/>
  <c r="H1560" i="2"/>
  <c r="G1560" i="2"/>
  <c r="H1559" i="2"/>
  <c r="G1559" i="2"/>
  <c r="H1558" i="2"/>
  <c r="G1558" i="2"/>
  <c r="H1557" i="2"/>
  <c r="G1557" i="2"/>
  <c r="H1556" i="2"/>
  <c r="G1556" i="2"/>
  <c r="H1555" i="2"/>
  <c r="G1555" i="2"/>
  <c r="H1554" i="2"/>
  <c r="G1554" i="2"/>
  <c r="H1553" i="2"/>
  <c r="G1553" i="2"/>
  <c r="H1552" i="2"/>
  <c r="G1552" i="2"/>
  <c r="H1551" i="2"/>
  <c r="G1551" i="2"/>
  <c r="H1550" i="2"/>
  <c r="G1550" i="2"/>
  <c r="H1549" i="2"/>
  <c r="G1549" i="2"/>
  <c r="H1548" i="2"/>
  <c r="G1548" i="2"/>
  <c r="H1547" i="2"/>
  <c r="G1547" i="2"/>
  <c r="H1546" i="2"/>
  <c r="G1546" i="2"/>
  <c r="H1545" i="2"/>
  <c r="G1545" i="2"/>
  <c r="H1544" i="2"/>
  <c r="G1544" i="2"/>
  <c r="H1543" i="2"/>
  <c r="G1543" i="2"/>
  <c r="H1542" i="2"/>
  <c r="G1542" i="2"/>
  <c r="H1541" i="2"/>
  <c r="G1541" i="2"/>
  <c r="H1540" i="2"/>
  <c r="G1540" i="2"/>
  <c r="H1539" i="2"/>
  <c r="G1539" i="2"/>
  <c r="H1538" i="2"/>
  <c r="G1538" i="2"/>
  <c r="H1537" i="2"/>
  <c r="G1537" i="2"/>
  <c r="H1536" i="2"/>
  <c r="G1536" i="2"/>
  <c r="H1535" i="2"/>
  <c r="G1535" i="2"/>
  <c r="H1534" i="2"/>
  <c r="G1534" i="2"/>
  <c r="H1533" i="2"/>
  <c r="G1533" i="2"/>
  <c r="H1532" i="2"/>
  <c r="G1532" i="2"/>
  <c r="H1531" i="2"/>
  <c r="G1531" i="2"/>
  <c r="H1530" i="2"/>
  <c r="G1530" i="2"/>
  <c r="H1529" i="2"/>
  <c r="G1529" i="2"/>
  <c r="H1528" i="2"/>
  <c r="G1528" i="2"/>
  <c r="H1527" i="2"/>
  <c r="G1527" i="2"/>
  <c r="H1526" i="2"/>
  <c r="G1526" i="2"/>
  <c r="H1525" i="2"/>
  <c r="G1525" i="2"/>
  <c r="H1524" i="2"/>
  <c r="G1524" i="2"/>
  <c r="H1523" i="2"/>
  <c r="G1523" i="2"/>
  <c r="H1522" i="2"/>
  <c r="G1522" i="2"/>
  <c r="H1521" i="2"/>
  <c r="G1521" i="2"/>
  <c r="H1520" i="2"/>
  <c r="G1520" i="2"/>
  <c r="H1519" i="2"/>
  <c r="G1519" i="2"/>
  <c r="H1518" i="2"/>
  <c r="G1518" i="2"/>
  <c r="H1517" i="2"/>
  <c r="G1517" i="2"/>
  <c r="H1516" i="2"/>
  <c r="G1516" i="2"/>
  <c r="H1515" i="2"/>
  <c r="G1515" i="2"/>
  <c r="H1514" i="2"/>
  <c r="G1514" i="2"/>
  <c r="H1513" i="2"/>
  <c r="G1513" i="2"/>
  <c r="H1512" i="2"/>
  <c r="G1512" i="2"/>
  <c r="H1511" i="2"/>
  <c r="G1511" i="2"/>
  <c r="H1510" i="2"/>
  <c r="G1510" i="2"/>
  <c r="H1509" i="2"/>
  <c r="G1509" i="2"/>
  <c r="H1508" i="2"/>
  <c r="G1508" i="2"/>
  <c r="H1507" i="2"/>
  <c r="G1507" i="2"/>
  <c r="H1506" i="2"/>
  <c r="G1506" i="2"/>
  <c r="H1505" i="2"/>
  <c r="G1505" i="2"/>
  <c r="H1504" i="2"/>
  <c r="G1504" i="2"/>
  <c r="H1503" i="2"/>
  <c r="G1503" i="2"/>
  <c r="H1502" i="2"/>
  <c r="G1502" i="2"/>
  <c r="H1501" i="2"/>
  <c r="G1501" i="2"/>
  <c r="H1500" i="2"/>
  <c r="G1500" i="2"/>
  <c r="H1499" i="2"/>
  <c r="G1499" i="2"/>
  <c r="H1498" i="2"/>
  <c r="G1498" i="2"/>
  <c r="H1497" i="2"/>
  <c r="G1497" i="2"/>
  <c r="H1496" i="2"/>
  <c r="G1496" i="2"/>
  <c r="H1495" i="2"/>
  <c r="G1495" i="2"/>
  <c r="H1494" i="2"/>
  <c r="G1494" i="2"/>
  <c r="H1493" i="2"/>
  <c r="G1493" i="2"/>
  <c r="H1492" i="2"/>
  <c r="G1492" i="2"/>
  <c r="H1491" i="2"/>
  <c r="G1491" i="2"/>
  <c r="H1490" i="2"/>
  <c r="G1490" i="2"/>
  <c r="H1489" i="2"/>
  <c r="G1489" i="2"/>
  <c r="H1488" i="2"/>
  <c r="G1488" i="2"/>
  <c r="H1487" i="2"/>
  <c r="G1487" i="2"/>
  <c r="H1486" i="2"/>
  <c r="G1486" i="2"/>
  <c r="H1485" i="2"/>
  <c r="G1485" i="2"/>
  <c r="H1484" i="2"/>
  <c r="G1484" i="2"/>
  <c r="H1483" i="2"/>
  <c r="G1483" i="2"/>
  <c r="H1482" i="2"/>
  <c r="G1482" i="2"/>
  <c r="H1481" i="2"/>
  <c r="G1481" i="2"/>
  <c r="H1480" i="2"/>
  <c r="G1480" i="2"/>
  <c r="H1479" i="2"/>
  <c r="G1479" i="2"/>
  <c r="H1478" i="2"/>
  <c r="G1478" i="2"/>
  <c r="H1477" i="2"/>
  <c r="G1477" i="2"/>
  <c r="H1476" i="2"/>
  <c r="G1476" i="2"/>
  <c r="H1475" i="2"/>
  <c r="G1475" i="2"/>
  <c r="H1474" i="2"/>
  <c r="G1474" i="2"/>
  <c r="H1473" i="2"/>
  <c r="G1473" i="2"/>
  <c r="H1472" i="2"/>
  <c r="G1472" i="2"/>
  <c r="H1471" i="2"/>
  <c r="G1471" i="2"/>
  <c r="H1470" i="2"/>
  <c r="G1470" i="2"/>
  <c r="H1469" i="2"/>
  <c r="G1469" i="2"/>
  <c r="H1468" i="2"/>
  <c r="G1468" i="2"/>
  <c r="H1467" i="2"/>
  <c r="G1467" i="2"/>
  <c r="H1466" i="2"/>
  <c r="G1466" i="2"/>
  <c r="H1465" i="2"/>
  <c r="G1465" i="2"/>
  <c r="H1464" i="2"/>
  <c r="G1464" i="2"/>
  <c r="H1463" i="2"/>
  <c r="G1463" i="2"/>
  <c r="H1462" i="2"/>
  <c r="G1462" i="2"/>
  <c r="H1461" i="2"/>
  <c r="G1461" i="2"/>
  <c r="H1460" i="2"/>
  <c r="G1460" i="2"/>
  <c r="H1459" i="2"/>
  <c r="G1459" i="2"/>
  <c r="H1458" i="2"/>
  <c r="G1458" i="2"/>
  <c r="H1457" i="2"/>
  <c r="G1457" i="2"/>
  <c r="H1456" i="2"/>
  <c r="G1456" i="2"/>
  <c r="H1455" i="2"/>
  <c r="G1455" i="2"/>
  <c r="H1454" i="2"/>
  <c r="G1454" i="2"/>
  <c r="H1453" i="2"/>
  <c r="G1453" i="2"/>
  <c r="H1452" i="2"/>
  <c r="G1452" i="2"/>
  <c r="H1451" i="2"/>
  <c r="G1451" i="2"/>
  <c r="H1450" i="2"/>
  <c r="G1450" i="2"/>
  <c r="H1449" i="2"/>
  <c r="G1449" i="2"/>
  <c r="H1448" i="2"/>
  <c r="G1448" i="2"/>
  <c r="H1447" i="2"/>
  <c r="G1447" i="2"/>
  <c r="H1446" i="2"/>
  <c r="G1446" i="2"/>
  <c r="H1445" i="2"/>
  <c r="G1445" i="2"/>
  <c r="H1444" i="2"/>
  <c r="G1444" i="2"/>
  <c r="H1443" i="2"/>
  <c r="G1443" i="2"/>
  <c r="H1442" i="2"/>
  <c r="G1442" i="2"/>
  <c r="H1441" i="2"/>
  <c r="G1441" i="2"/>
  <c r="H1440" i="2"/>
  <c r="G1440" i="2"/>
  <c r="H1439" i="2"/>
  <c r="G1439" i="2"/>
  <c r="H1438" i="2"/>
  <c r="G1438" i="2"/>
  <c r="H1437" i="2"/>
  <c r="G1437" i="2"/>
  <c r="H1436" i="2"/>
  <c r="G1436" i="2"/>
  <c r="H1435" i="2"/>
  <c r="G1435" i="2"/>
  <c r="H1434" i="2"/>
  <c r="G1434" i="2"/>
  <c r="H1433" i="2"/>
  <c r="G1433" i="2"/>
  <c r="H1432" i="2"/>
  <c r="G1432" i="2"/>
  <c r="H1431" i="2"/>
  <c r="G1431" i="2"/>
  <c r="H1430" i="2"/>
  <c r="G1430" i="2"/>
  <c r="H1429" i="2"/>
  <c r="G1429" i="2"/>
  <c r="H1428" i="2"/>
  <c r="G1428" i="2"/>
  <c r="H1427" i="2"/>
  <c r="G1427" i="2"/>
  <c r="H1426" i="2"/>
  <c r="G1426" i="2"/>
  <c r="H1425" i="2"/>
  <c r="G1425" i="2"/>
  <c r="H1424" i="2"/>
  <c r="G1424" i="2"/>
  <c r="H1423" i="2"/>
  <c r="G1423" i="2"/>
  <c r="H1422" i="2"/>
  <c r="G1422" i="2"/>
  <c r="H1421" i="2"/>
  <c r="G1421" i="2"/>
  <c r="H1420" i="2"/>
  <c r="G1420" i="2"/>
  <c r="H1419" i="2"/>
  <c r="G1419" i="2"/>
  <c r="H1418" i="2"/>
  <c r="G1418" i="2"/>
  <c r="H1417" i="2"/>
  <c r="G1417" i="2"/>
  <c r="H1416" i="2"/>
  <c r="G1416" i="2"/>
  <c r="H1415" i="2"/>
  <c r="G1415" i="2"/>
  <c r="H1414" i="2"/>
  <c r="G1414" i="2"/>
  <c r="H1413" i="2"/>
  <c r="G1413" i="2"/>
  <c r="H1412" i="2"/>
  <c r="G1412" i="2"/>
  <c r="H1411" i="2"/>
  <c r="G1411" i="2"/>
  <c r="H1410" i="2"/>
  <c r="G1410" i="2"/>
  <c r="H1409" i="2"/>
  <c r="G1409" i="2"/>
  <c r="H1408" i="2"/>
  <c r="G1408" i="2"/>
  <c r="H1407" i="2"/>
  <c r="G1407" i="2"/>
  <c r="H1406" i="2"/>
  <c r="G1406" i="2"/>
  <c r="H1405" i="2"/>
  <c r="G1405" i="2"/>
  <c r="H1404" i="2"/>
  <c r="G1404" i="2"/>
  <c r="H1403" i="2"/>
  <c r="G1403" i="2"/>
  <c r="H1402" i="2"/>
  <c r="G1402" i="2"/>
  <c r="H1401" i="2"/>
  <c r="G1401" i="2"/>
  <c r="H1400" i="2"/>
  <c r="G1400" i="2"/>
  <c r="H1399" i="2"/>
  <c r="G1399" i="2"/>
  <c r="H1398" i="2"/>
  <c r="G1398" i="2"/>
  <c r="H1397" i="2"/>
  <c r="G1397" i="2"/>
  <c r="H1396" i="2"/>
  <c r="G1396" i="2"/>
  <c r="H1395" i="2"/>
  <c r="G1395" i="2"/>
  <c r="H1394" i="2"/>
  <c r="G1394" i="2"/>
  <c r="H1393" i="2"/>
  <c r="G1393" i="2"/>
  <c r="H1392" i="2"/>
  <c r="G1392" i="2"/>
  <c r="H1391" i="2"/>
  <c r="G1391" i="2"/>
  <c r="H1390" i="2"/>
  <c r="G1390" i="2"/>
  <c r="H1389" i="2"/>
  <c r="G1389" i="2"/>
  <c r="H1388" i="2"/>
  <c r="G1388" i="2"/>
  <c r="H1387" i="2"/>
  <c r="G1387" i="2"/>
  <c r="H1386" i="2"/>
  <c r="G1386" i="2"/>
  <c r="H1385" i="2"/>
  <c r="G1385" i="2"/>
  <c r="H1384" i="2"/>
  <c r="G1384" i="2"/>
  <c r="H1383" i="2"/>
  <c r="G1383" i="2"/>
  <c r="H1382" i="2"/>
  <c r="G1382" i="2"/>
  <c r="H1381" i="2"/>
  <c r="G1381" i="2"/>
  <c r="H1380" i="2"/>
  <c r="G1380" i="2"/>
  <c r="H1379" i="2"/>
  <c r="G1379" i="2"/>
  <c r="H1378" i="2"/>
  <c r="G1378" i="2"/>
  <c r="H1377" i="2"/>
  <c r="G1377" i="2"/>
  <c r="H1376" i="2"/>
  <c r="G1376" i="2"/>
  <c r="H1375" i="2"/>
  <c r="G1375" i="2"/>
  <c r="H1374" i="2"/>
  <c r="G1374" i="2"/>
  <c r="H1373" i="2"/>
  <c r="G1373" i="2"/>
  <c r="H1372" i="2"/>
  <c r="G1372" i="2"/>
  <c r="H1371" i="2"/>
  <c r="G1371" i="2"/>
  <c r="H1370" i="2"/>
  <c r="G1370" i="2"/>
  <c r="H1369" i="2"/>
  <c r="G1369" i="2"/>
  <c r="H1368" i="2"/>
  <c r="G1368" i="2"/>
  <c r="H1367" i="2"/>
  <c r="G1367" i="2"/>
  <c r="H1366" i="2"/>
  <c r="G1366" i="2"/>
  <c r="H1365" i="2"/>
  <c r="G1365" i="2"/>
  <c r="H1364" i="2"/>
  <c r="G1364" i="2"/>
  <c r="H1363" i="2"/>
  <c r="G1363" i="2"/>
  <c r="H1362" i="2"/>
  <c r="G1362" i="2"/>
  <c r="H1361" i="2"/>
  <c r="G1361" i="2"/>
  <c r="H1360" i="2"/>
  <c r="G1360" i="2"/>
  <c r="H1359" i="2"/>
  <c r="G1359" i="2"/>
  <c r="H1358" i="2"/>
  <c r="G1358" i="2"/>
  <c r="H1357" i="2"/>
  <c r="G1357" i="2"/>
  <c r="H1356" i="2"/>
  <c r="G1356" i="2"/>
  <c r="H1355" i="2"/>
  <c r="G1355" i="2"/>
  <c r="H1354" i="2"/>
  <c r="G1354" i="2"/>
  <c r="H1353" i="2"/>
  <c r="G1353" i="2"/>
  <c r="H1352" i="2"/>
  <c r="G1352" i="2"/>
  <c r="H1351" i="2"/>
  <c r="G1351" i="2"/>
  <c r="H1350" i="2"/>
  <c r="G1350" i="2"/>
  <c r="H1349" i="2"/>
  <c r="G1349" i="2"/>
  <c r="H1348" i="2"/>
  <c r="G1348" i="2"/>
  <c r="H1347" i="2"/>
  <c r="G1347" i="2"/>
  <c r="H1346" i="2"/>
  <c r="G1346" i="2"/>
  <c r="H1345" i="2"/>
  <c r="G1345" i="2"/>
  <c r="H1344" i="2"/>
  <c r="G1344" i="2"/>
  <c r="H1343" i="2"/>
  <c r="G1343" i="2"/>
  <c r="H1342" i="2"/>
  <c r="G1342" i="2"/>
  <c r="H1341" i="2"/>
  <c r="G1341" i="2"/>
  <c r="H1340" i="2"/>
  <c r="G1340" i="2"/>
  <c r="H1339" i="2"/>
  <c r="G1339" i="2"/>
  <c r="H1338" i="2"/>
  <c r="G1338" i="2"/>
  <c r="H1337" i="2"/>
  <c r="G1337" i="2"/>
  <c r="H1336" i="2"/>
  <c r="G1336" i="2"/>
  <c r="H1335" i="2"/>
  <c r="G1335" i="2"/>
  <c r="H1334" i="2"/>
  <c r="G1334" i="2"/>
  <c r="H1333" i="2"/>
  <c r="G1333" i="2"/>
  <c r="H1332" i="2"/>
  <c r="G1332" i="2"/>
  <c r="H1331" i="2"/>
  <c r="G1331" i="2"/>
  <c r="H1330" i="2"/>
  <c r="G1330" i="2"/>
  <c r="H1329" i="2"/>
  <c r="G1329" i="2"/>
  <c r="H1328" i="2"/>
  <c r="G1328" i="2"/>
  <c r="H1327" i="2"/>
  <c r="G1327" i="2"/>
  <c r="H1326" i="2"/>
  <c r="G1326" i="2"/>
  <c r="H1325" i="2"/>
  <c r="G1325" i="2"/>
  <c r="H1324" i="2"/>
  <c r="G1324" i="2"/>
  <c r="H1323" i="2"/>
  <c r="G1323" i="2"/>
  <c r="H1322" i="2"/>
  <c r="G1322" i="2"/>
  <c r="H1321" i="2"/>
  <c r="G1321" i="2"/>
  <c r="H1320" i="2"/>
  <c r="G1320" i="2"/>
  <c r="H1319" i="2"/>
  <c r="G1319" i="2"/>
  <c r="H1318" i="2"/>
  <c r="G1318" i="2"/>
  <c r="H1317" i="2"/>
  <c r="G1317" i="2"/>
  <c r="H1316" i="2"/>
  <c r="G1316" i="2"/>
  <c r="H1315" i="2"/>
  <c r="G1315" i="2"/>
  <c r="H1314" i="2"/>
  <c r="G1314" i="2"/>
  <c r="H1313" i="2"/>
  <c r="G1313" i="2"/>
  <c r="H1312" i="2"/>
  <c r="G1312" i="2"/>
  <c r="H1311" i="2"/>
  <c r="G1311" i="2"/>
  <c r="H1310" i="2"/>
  <c r="G1310" i="2"/>
  <c r="H1309" i="2"/>
  <c r="G1309" i="2"/>
  <c r="H1308" i="2"/>
  <c r="G1308" i="2"/>
  <c r="H1307" i="2"/>
  <c r="G1307" i="2"/>
  <c r="H1306" i="2"/>
  <c r="G1306" i="2"/>
  <c r="H1305" i="2"/>
  <c r="G1305" i="2"/>
  <c r="H1304" i="2"/>
  <c r="G1304" i="2"/>
  <c r="H1303" i="2"/>
  <c r="G1303" i="2"/>
  <c r="H1302" i="2"/>
  <c r="G1302" i="2"/>
  <c r="H1301" i="2"/>
  <c r="G1301" i="2"/>
  <c r="H1300" i="2"/>
  <c r="G1300" i="2"/>
  <c r="H1299" i="2"/>
  <c r="G1299" i="2"/>
  <c r="H1298" i="2"/>
  <c r="G1298" i="2"/>
  <c r="H1297" i="2"/>
  <c r="G1297" i="2"/>
  <c r="H1296" i="2"/>
  <c r="G1296" i="2"/>
  <c r="H1295" i="2"/>
  <c r="G1295" i="2"/>
  <c r="H1294" i="2"/>
  <c r="G1294" i="2"/>
  <c r="H1293" i="2"/>
  <c r="G1293" i="2"/>
  <c r="H1292" i="2"/>
  <c r="G1292" i="2"/>
  <c r="H1291" i="2"/>
  <c r="G1291" i="2"/>
  <c r="H1290" i="2"/>
  <c r="G1290" i="2"/>
  <c r="H1289" i="2"/>
  <c r="G1289" i="2"/>
  <c r="H1288" i="2"/>
  <c r="G1288" i="2"/>
  <c r="H1287" i="2"/>
  <c r="G1287" i="2"/>
  <c r="H1286" i="2"/>
  <c r="G1286" i="2"/>
  <c r="H1285" i="2"/>
  <c r="G1285" i="2"/>
  <c r="H1284" i="2"/>
  <c r="G1284" i="2"/>
  <c r="H1283" i="2"/>
  <c r="G1283" i="2"/>
  <c r="H1282" i="2"/>
  <c r="G1282" i="2"/>
  <c r="H1281" i="2"/>
  <c r="G1281" i="2"/>
  <c r="H1280" i="2"/>
  <c r="G1280" i="2"/>
  <c r="H1279" i="2"/>
  <c r="G1279" i="2"/>
  <c r="H1278" i="2"/>
  <c r="G1278" i="2"/>
  <c r="H1277" i="2"/>
  <c r="G1277" i="2"/>
  <c r="H1276" i="2"/>
  <c r="G1276" i="2"/>
  <c r="H1275" i="2"/>
  <c r="G1275" i="2"/>
  <c r="H1274" i="2"/>
  <c r="G1274" i="2"/>
  <c r="H1273" i="2"/>
  <c r="G1273" i="2"/>
  <c r="H1272" i="2"/>
  <c r="G1272" i="2"/>
  <c r="H1271" i="2"/>
  <c r="G1271" i="2"/>
  <c r="H1270" i="2"/>
  <c r="G1270" i="2"/>
  <c r="H1269" i="2"/>
  <c r="G1269" i="2"/>
  <c r="H1268" i="2"/>
  <c r="G1268" i="2"/>
  <c r="H1267" i="2"/>
  <c r="G1267" i="2"/>
  <c r="H1266" i="2"/>
  <c r="G1266" i="2"/>
  <c r="H1265" i="2"/>
  <c r="G1265" i="2"/>
  <c r="H1264" i="2"/>
  <c r="G1264" i="2"/>
  <c r="H1263" i="2"/>
  <c r="G1263" i="2"/>
  <c r="H1262" i="2"/>
  <c r="G1262" i="2"/>
  <c r="H1261" i="2"/>
  <c r="G1261" i="2"/>
  <c r="H1260" i="2"/>
  <c r="G1260" i="2"/>
  <c r="H1259" i="2"/>
  <c r="G1259" i="2"/>
  <c r="H1258" i="2"/>
  <c r="G1258" i="2"/>
  <c r="H1257" i="2"/>
  <c r="G1257" i="2"/>
  <c r="H1256" i="2"/>
  <c r="G1256" i="2"/>
  <c r="H1255" i="2"/>
  <c r="G1255" i="2"/>
  <c r="H1254" i="2"/>
  <c r="G1254" i="2"/>
  <c r="H1253" i="2"/>
  <c r="G1253" i="2"/>
  <c r="H1252" i="2"/>
  <c r="G1252" i="2"/>
  <c r="H1251" i="2"/>
  <c r="G1251" i="2"/>
  <c r="H1250" i="2"/>
  <c r="G1250" i="2"/>
  <c r="H1249" i="2"/>
  <c r="G1249" i="2"/>
  <c r="H1248" i="2"/>
  <c r="G1248" i="2"/>
  <c r="H1247" i="2"/>
  <c r="G1247" i="2"/>
  <c r="H1246" i="2"/>
  <c r="G1246" i="2"/>
  <c r="H1245" i="2"/>
  <c r="G1245" i="2"/>
  <c r="H1244" i="2"/>
  <c r="G1244" i="2"/>
  <c r="H1243" i="2"/>
  <c r="G1243" i="2"/>
  <c r="H1242" i="2"/>
  <c r="G1242" i="2"/>
  <c r="H1241" i="2"/>
  <c r="G1241" i="2"/>
  <c r="H1240" i="2"/>
  <c r="G1240" i="2"/>
  <c r="H1239" i="2"/>
  <c r="G1239" i="2"/>
  <c r="H1238" i="2"/>
  <c r="G1238" i="2"/>
  <c r="H1237" i="2"/>
  <c r="G1237" i="2"/>
  <c r="H1236" i="2"/>
  <c r="G1236" i="2"/>
  <c r="H1235" i="2"/>
  <c r="G1235" i="2"/>
  <c r="H1234" i="2"/>
  <c r="G1234" i="2"/>
  <c r="H1233" i="2"/>
  <c r="G1233" i="2"/>
  <c r="H1232" i="2"/>
  <c r="G1232" i="2"/>
  <c r="H1231" i="2"/>
  <c r="G1231" i="2"/>
  <c r="H1230" i="2"/>
  <c r="G1230" i="2"/>
  <c r="H1229" i="2"/>
  <c r="G1229" i="2"/>
  <c r="H1228" i="2"/>
  <c r="G1228" i="2"/>
  <c r="H1227" i="2"/>
  <c r="G1227" i="2"/>
  <c r="H1226" i="2"/>
  <c r="G1226" i="2"/>
  <c r="H1225" i="2"/>
  <c r="G1225" i="2"/>
  <c r="H1224" i="2"/>
  <c r="G1224" i="2"/>
  <c r="H1223" i="2"/>
  <c r="G1223" i="2"/>
  <c r="H1222" i="2"/>
  <c r="G1222" i="2"/>
  <c r="H1221" i="2"/>
  <c r="G1221" i="2"/>
  <c r="H1220" i="2"/>
  <c r="G1220" i="2"/>
  <c r="H1219" i="2"/>
  <c r="G1219" i="2"/>
  <c r="H1218" i="2"/>
  <c r="G1218" i="2"/>
  <c r="H1217" i="2"/>
  <c r="G1217" i="2"/>
  <c r="H1216" i="2"/>
  <c r="G1216" i="2"/>
  <c r="H1215" i="2"/>
  <c r="G1215" i="2"/>
  <c r="H1214" i="2"/>
  <c r="G1214" i="2"/>
  <c r="H1213" i="2"/>
  <c r="G1213" i="2"/>
  <c r="H1212" i="2"/>
  <c r="G1212" i="2"/>
  <c r="H1211" i="2"/>
  <c r="G1211" i="2"/>
  <c r="H1210" i="2"/>
  <c r="G1210" i="2"/>
  <c r="H1209" i="2"/>
  <c r="G1209" i="2"/>
  <c r="H1208" i="2"/>
  <c r="G1208" i="2"/>
  <c r="H1207" i="2"/>
  <c r="G1207" i="2"/>
  <c r="H1206" i="2"/>
  <c r="G1206" i="2"/>
  <c r="H1205" i="2"/>
  <c r="G1205" i="2"/>
  <c r="H1204" i="2"/>
  <c r="G1204" i="2"/>
  <c r="H1203" i="2"/>
  <c r="G1203" i="2"/>
  <c r="H1202" i="2"/>
  <c r="G1202" i="2"/>
  <c r="H1201" i="2"/>
  <c r="G1201" i="2"/>
  <c r="H1200" i="2"/>
  <c r="G1200" i="2"/>
  <c r="H1199" i="2"/>
  <c r="G1199" i="2"/>
  <c r="H1198" i="2"/>
  <c r="G1198" i="2"/>
  <c r="H1197" i="2"/>
  <c r="G1197" i="2"/>
  <c r="H1196" i="2"/>
  <c r="G1196" i="2"/>
  <c r="H1195" i="2"/>
  <c r="G1195" i="2"/>
  <c r="H1194" i="2"/>
  <c r="G1194" i="2"/>
  <c r="H1193" i="2"/>
  <c r="G1193" i="2"/>
  <c r="H1192" i="2"/>
  <c r="G1192" i="2"/>
  <c r="H1191" i="2"/>
  <c r="G1191" i="2"/>
  <c r="H1190" i="2"/>
  <c r="G1190" i="2"/>
  <c r="H1189" i="2"/>
  <c r="G1189" i="2"/>
  <c r="H1188" i="2"/>
  <c r="G1188" i="2"/>
  <c r="H1187" i="2"/>
  <c r="G1187" i="2"/>
  <c r="H1186" i="2"/>
  <c r="G1186" i="2"/>
  <c r="H1185" i="2"/>
  <c r="G1185" i="2"/>
  <c r="H1184" i="2"/>
  <c r="G1184" i="2"/>
  <c r="H1183" i="2"/>
  <c r="G1183" i="2"/>
  <c r="H1182" i="2"/>
  <c r="G1182" i="2"/>
  <c r="H1181" i="2"/>
  <c r="G1181" i="2"/>
  <c r="H1180" i="2"/>
  <c r="G1180" i="2"/>
  <c r="H1179" i="2"/>
  <c r="G1179" i="2"/>
  <c r="H1178" i="2"/>
  <c r="G1178" i="2"/>
  <c r="H1177" i="2"/>
  <c r="G1177" i="2"/>
  <c r="H1176" i="2"/>
  <c r="G1176" i="2"/>
  <c r="H1175" i="2"/>
  <c r="G1175" i="2"/>
  <c r="H1174" i="2"/>
  <c r="G1174" i="2"/>
  <c r="H1173" i="2"/>
  <c r="G1173" i="2"/>
  <c r="H1172" i="2"/>
  <c r="G1172" i="2"/>
  <c r="H1171" i="2"/>
  <c r="G1171" i="2"/>
  <c r="H1170" i="2"/>
  <c r="G1170" i="2"/>
  <c r="H1169" i="2"/>
  <c r="G1169" i="2"/>
  <c r="H1168" i="2"/>
  <c r="G1168" i="2"/>
  <c r="H1167" i="2"/>
  <c r="G1167" i="2"/>
  <c r="H1166" i="2"/>
  <c r="G1166" i="2"/>
  <c r="H1165" i="2"/>
  <c r="G1165" i="2"/>
  <c r="H1164" i="2"/>
  <c r="G1164" i="2"/>
  <c r="H1163" i="2"/>
  <c r="G1163" i="2"/>
  <c r="H1162" i="2"/>
  <c r="G1162" i="2"/>
  <c r="H1161" i="2"/>
  <c r="G1161" i="2"/>
  <c r="H1160" i="2"/>
  <c r="G1160" i="2"/>
  <c r="H1159" i="2"/>
  <c r="G1159" i="2"/>
  <c r="H1158" i="2"/>
  <c r="G1158" i="2"/>
  <c r="H1157" i="2"/>
  <c r="G1157" i="2"/>
  <c r="H1156" i="2"/>
  <c r="G1156" i="2"/>
  <c r="H1155" i="2"/>
  <c r="G1155" i="2"/>
  <c r="H1154" i="2"/>
  <c r="G1154" i="2"/>
  <c r="H1153" i="2"/>
  <c r="G1153" i="2"/>
  <c r="H1152" i="2"/>
  <c r="G1152" i="2"/>
  <c r="H1151" i="2"/>
  <c r="G1151" i="2"/>
  <c r="H1150" i="2"/>
  <c r="G1150" i="2"/>
  <c r="H1149" i="2"/>
  <c r="G1149" i="2"/>
  <c r="H1148" i="2"/>
  <c r="G1148" i="2"/>
  <c r="H1147" i="2"/>
  <c r="G1147" i="2"/>
  <c r="H1146" i="2"/>
  <c r="G1146" i="2"/>
  <c r="H1145" i="2"/>
  <c r="G1145" i="2"/>
  <c r="H1144" i="2"/>
  <c r="G1144" i="2"/>
  <c r="H1143" i="2"/>
  <c r="G1143" i="2"/>
  <c r="H1142" i="2"/>
  <c r="G1142" i="2"/>
  <c r="H1141" i="2"/>
  <c r="G1141" i="2"/>
  <c r="H1140" i="2"/>
  <c r="G1140" i="2"/>
  <c r="H1139" i="2"/>
  <c r="G1139" i="2"/>
  <c r="H1138" i="2"/>
  <c r="G1138" i="2"/>
  <c r="H1137" i="2"/>
  <c r="G1137" i="2"/>
  <c r="H1136" i="2"/>
  <c r="G1136" i="2"/>
  <c r="H1135" i="2"/>
  <c r="G1135" i="2"/>
  <c r="H1134" i="2"/>
  <c r="G1134" i="2"/>
  <c r="H1133" i="2"/>
  <c r="G1133" i="2"/>
  <c r="H1132" i="2"/>
  <c r="G1132" i="2"/>
  <c r="H1131" i="2"/>
  <c r="G1131" i="2"/>
  <c r="H1130" i="2"/>
  <c r="G1130" i="2"/>
  <c r="H1129" i="2"/>
  <c r="G1129" i="2"/>
  <c r="H1128" i="2"/>
  <c r="G1128" i="2"/>
  <c r="H1127" i="2"/>
  <c r="G1127" i="2"/>
  <c r="H1126" i="2"/>
  <c r="G1126" i="2"/>
  <c r="H1125" i="2"/>
  <c r="G1125" i="2"/>
  <c r="H1124" i="2"/>
  <c r="G1124" i="2"/>
  <c r="H1123" i="2"/>
  <c r="G1123" i="2"/>
  <c r="H1122" i="2"/>
  <c r="G1122" i="2"/>
  <c r="H1121" i="2"/>
  <c r="G1121" i="2"/>
  <c r="H1120" i="2"/>
  <c r="G1120" i="2"/>
  <c r="H1119" i="2"/>
  <c r="G1119" i="2"/>
  <c r="H1118" i="2"/>
  <c r="G1118" i="2"/>
  <c r="H1117" i="2"/>
  <c r="G1117" i="2"/>
  <c r="H1116" i="2"/>
  <c r="G1116" i="2"/>
  <c r="H1115" i="2"/>
  <c r="G1115" i="2"/>
  <c r="H1114" i="2"/>
  <c r="G1114" i="2"/>
  <c r="H1113" i="2"/>
  <c r="G1113" i="2"/>
  <c r="H1112" i="2"/>
  <c r="G1112" i="2"/>
  <c r="H1111" i="2"/>
  <c r="G1111" i="2"/>
  <c r="H1110" i="2"/>
  <c r="G1110" i="2"/>
  <c r="H1109" i="2"/>
  <c r="G1109" i="2"/>
  <c r="H1108" i="2"/>
  <c r="G1108" i="2"/>
  <c r="H1107" i="2"/>
  <c r="G1107" i="2"/>
  <c r="H1106" i="2"/>
  <c r="G1106" i="2"/>
  <c r="H1105" i="2"/>
  <c r="G1105" i="2"/>
  <c r="H1104" i="2"/>
  <c r="G1104" i="2"/>
  <c r="H1103" i="2"/>
  <c r="G1103" i="2"/>
  <c r="H1102" i="2"/>
  <c r="G1102" i="2"/>
  <c r="H1101" i="2"/>
  <c r="G1101" i="2"/>
  <c r="H1100" i="2"/>
  <c r="G1100" i="2"/>
  <c r="H1099" i="2"/>
  <c r="G1099" i="2"/>
  <c r="H1098" i="2"/>
  <c r="G1098" i="2"/>
  <c r="H1097" i="2"/>
  <c r="G1097" i="2"/>
  <c r="H1096" i="2"/>
  <c r="G1096" i="2"/>
  <c r="H1095" i="2"/>
  <c r="G1095" i="2"/>
  <c r="H1094" i="2"/>
  <c r="G1094" i="2"/>
  <c r="H1093" i="2"/>
  <c r="G1093" i="2"/>
  <c r="H1092" i="2"/>
  <c r="G1092" i="2"/>
  <c r="H1091" i="2"/>
  <c r="G1091" i="2"/>
  <c r="H1090" i="2"/>
  <c r="G1090" i="2"/>
  <c r="H1089" i="2"/>
  <c r="G1089" i="2"/>
  <c r="H1088" i="2"/>
  <c r="G1088" i="2"/>
  <c r="H1087" i="2"/>
  <c r="G1087" i="2"/>
  <c r="H1086" i="2"/>
  <c r="G1086" i="2"/>
  <c r="H1085" i="2"/>
  <c r="G1085" i="2"/>
  <c r="H1084" i="2"/>
  <c r="G1084" i="2"/>
  <c r="H1083" i="2"/>
  <c r="G1083" i="2"/>
  <c r="H1082" i="2"/>
  <c r="G1082" i="2"/>
  <c r="H1081" i="2"/>
  <c r="G1081" i="2"/>
  <c r="H1080" i="2"/>
  <c r="G1080" i="2"/>
  <c r="H1079" i="2"/>
  <c r="G1079" i="2"/>
  <c r="H1078" i="2"/>
  <c r="G1078" i="2"/>
  <c r="H1077" i="2"/>
  <c r="G1077" i="2"/>
  <c r="H1076" i="2"/>
  <c r="G1076" i="2"/>
  <c r="H1075" i="2"/>
  <c r="G1075" i="2"/>
  <c r="H1074" i="2"/>
  <c r="G1074" i="2"/>
  <c r="H1073" i="2"/>
  <c r="G1073" i="2"/>
  <c r="H1072" i="2"/>
  <c r="G1072" i="2"/>
  <c r="H1071" i="2"/>
  <c r="G1071" i="2"/>
  <c r="H1070" i="2"/>
  <c r="G1070" i="2"/>
  <c r="H1069" i="2"/>
  <c r="G1069" i="2"/>
  <c r="H1068" i="2"/>
  <c r="G1068" i="2"/>
  <c r="H1067" i="2"/>
  <c r="G1067" i="2"/>
  <c r="H1066" i="2"/>
  <c r="G1066" i="2"/>
  <c r="H1065" i="2"/>
  <c r="G1065" i="2"/>
  <c r="H1064" i="2"/>
  <c r="G1064" i="2"/>
  <c r="H1063" i="2"/>
  <c r="G1063" i="2"/>
  <c r="H1062" i="2"/>
  <c r="G1062" i="2"/>
  <c r="H1061" i="2"/>
  <c r="G1061" i="2"/>
  <c r="H1060" i="2"/>
  <c r="G1060" i="2"/>
  <c r="H1059" i="2"/>
  <c r="G1059" i="2"/>
  <c r="H1058" i="2"/>
  <c r="G1058" i="2"/>
  <c r="H1057" i="2"/>
  <c r="G1057" i="2"/>
  <c r="H1056" i="2"/>
  <c r="G1056" i="2"/>
  <c r="H1055" i="2"/>
  <c r="G1055" i="2"/>
  <c r="H1054" i="2"/>
  <c r="G1054" i="2"/>
  <c r="H1053" i="2"/>
  <c r="G1053" i="2"/>
  <c r="H1052" i="2"/>
  <c r="G1052" i="2"/>
  <c r="H1051" i="2"/>
  <c r="G1051" i="2"/>
  <c r="H1050" i="2"/>
  <c r="G1050" i="2"/>
  <c r="H1049" i="2"/>
  <c r="G1049" i="2"/>
  <c r="H1048" i="2"/>
  <c r="G1048" i="2"/>
  <c r="H1047" i="2"/>
  <c r="G1047" i="2"/>
  <c r="H1046" i="2"/>
  <c r="G1046" i="2"/>
  <c r="H1045" i="2"/>
  <c r="G1045" i="2"/>
  <c r="H1044" i="2"/>
  <c r="G1044" i="2"/>
  <c r="H1043" i="2"/>
  <c r="G1043" i="2"/>
  <c r="H1042" i="2"/>
  <c r="G1042" i="2"/>
  <c r="H1041" i="2"/>
  <c r="G1041" i="2"/>
  <c r="H1040" i="2"/>
  <c r="G1040" i="2"/>
  <c r="H1039" i="2"/>
  <c r="G1039" i="2"/>
  <c r="H1038" i="2"/>
  <c r="G1038" i="2"/>
  <c r="H1037" i="2"/>
  <c r="G1037" i="2"/>
  <c r="H1036" i="2"/>
  <c r="G1036" i="2"/>
  <c r="H1035" i="2"/>
  <c r="G1035" i="2"/>
  <c r="H1034" i="2"/>
  <c r="G1034" i="2"/>
  <c r="H1033" i="2"/>
  <c r="G1033" i="2"/>
  <c r="H1032" i="2"/>
  <c r="G1032" i="2"/>
  <c r="H1031" i="2"/>
  <c r="G1031" i="2"/>
  <c r="H1030" i="2"/>
  <c r="G1030" i="2"/>
  <c r="H1029" i="2"/>
  <c r="G1029" i="2"/>
  <c r="H1028" i="2"/>
  <c r="G1028" i="2"/>
  <c r="H1027" i="2"/>
  <c r="G1027" i="2"/>
  <c r="H1026" i="2"/>
  <c r="G1026" i="2"/>
  <c r="H1025" i="2"/>
  <c r="G1025" i="2"/>
  <c r="H1024" i="2"/>
  <c r="G1024" i="2"/>
  <c r="H1023" i="2"/>
  <c r="G1023" i="2"/>
  <c r="H1022" i="2"/>
  <c r="G1022" i="2"/>
  <c r="H1021" i="2"/>
  <c r="G1021" i="2"/>
  <c r="H1020" i="2"/>
  <c r="G1020" i="2"/>
  <c r="H1019" i="2"/>
  <c r="G1019" i="2"/>
  <c r="H1018" i="2"/>
  <c r="G1018" i="2"/>
  <c r="H1017" i="2"/>
  <c r="G1017" i="2"/>
  <c r="H1016" i="2"/>
  <c r="G1016" i="2"/>
  <c r="H1015" i="2"/>
  <c r="G1015" i="2"/>
  <c r="H1014" i="2"/>
  <c r="G1014" i="2"/>
  <c r="H1013" i="2"/>
  <c r="G1013" i="2"/>
  <c r="H1012" i="2"/>
  <c r="G1012" i="2"/>
  <c r="H1011" i="2"/>
  <c r="G1011" i="2"/>
  <c r="H1010" i="2"/>
  <c r="G1010" i="2"/>
  <c r="H1009" i="2"/>
  <c r="G1009" i="2"/>
  <c r="H1008" i="2"/>
  <c r="G1008" i="2"/>
  <c r="H1007" i="2"/>
  <c r="G1007" i="2"/>
  <c r="H1006" i="2"/>
  <c r="G1006" i="2"/>
  <c r="H1005" i="2"/>
  <c r="G1005" i="2"/>
  <c r="H1004" i="2"/>
  <c r="G1004" i="2"/>
  <c r="H1003" i="2"/>
  <c r="G1003" i="2"/>
  <c r="H1002" i="2"/>
  <c r="G1002" i="2"/>
  <c r="H1001" i="2"/>
  <c r="G1001" i="2"/>
  <c r="H1000" i="2"/>
  <c r="G1000" i="2"/>
  <c r="H999" i="2"/>
  <c r="G999" i="2"/>
  <c r="H998" i="2"/>
  <c r="G998" i="2"/>
  <c r="H997" i="2"/>
  <c r="G997" i="2"/>
  <c r="H996" i="2"/>
  <c r="G996" i="2"/>
  <c r="H995" i="2"/>
  <c r="G995" i="2"/>
  <c r="H994" i="2"/>
  <c r="G994" i="2"/>
  <c r="H993" i="2"/>
  <c r="G993" i="2"/>
  <c r="H992" i="2"/>
  <c r="G992" i="2"/>
  <c r="H991" i="2"/>
  <c r="G991" i="2"/>
  <c r="H990" i="2"/>
  <c r="G990" i="2"/>
  <c r="H989" i="2"/>
  <c r="G989" i="2"/>
  <c r="H988" i="2"/>
  <c r="G988" i="2"/>
  <c r="H987" i="2"/>
  <c r="G987" i="2"/>
  <c r="H986" i="2"/>
  <c r="G986" i="2"/>
  <c r="H985" i="2"/>
  <c r="G985" i="2"/>
  <c r="H984" i="2"/>
  <c r="G984" i="2"/>
  <c r="H983" i="2"/>
  <c r="G983" i="2"/>
  <c r="H982" i="2"/>
  <c r="G982" i="2"/>
  <c r="H981" i="2"/>
  <c r="G981" i="2"/>
  <c r="H980" i="2"/>
  <c r="G980" i="2"/>
  <c r="H979" i="2"/>
  <c r="G979" i="2"/>
  <c r="H978" i="2"/>
  <c r="G978" i="2"/>
  <c r="H977" i="2"/>
  <c r="G977" i="2"/>
  <c r="H976" i="2"/>
  <c r="G976" i="2"/>
  <c r="H975" i="2"/>
  <c r="G975" i="2"/>
  <c r="H974" i="2"/>
  <c r="G974" i="2"/>
  <c r="H973" i="2"/>
  <c r="G973" i="2"/>
  <c r="H972" i="2"/>
  <c r="G972" i="2"/>
  <c r="H971" i="2"/>
  <c r="G971" i="2"/>
  <c r="H970" i="2"/>
  <c r="G970" i="2"/>
  <c r="H969" i="2"/>
  <c r="G969" i="2"/>
  <c r="H968" i="2"/>
  <c r="G968" i="2"/>
  <c r="H967" i="2"/>
  <c r="G967" i="2"/>
  <c r="H966" i="2"/>
  <c r="G966" i="2"/>
  <c r="H965" i="2"/>
  <c r="G965" i="2"/>
  <c r="H964" i="2"/>
  <c r="G964" i="2"/>
  <c r="H963" i="2"/>
  <c r="G963" i="2"/>
  <c r="H962" i="2"/>
  <c r="G962" i="2"/>
  <c r="H961" i="2"/>
  <c r="G961" i="2"/>
  <c r="H960" i="2"/>
  <c r="G960" i="2"/>
  <c r="H959" i="2"/>
  <c r="G959" i="2"/>
  <c r="H958" i="2"/>
  <c r="G958" i="2"/>
  <c r="H957" i="2"/>
  <c r="G957" i="2"/>
  <c r="H956" i="2"/>
  <c r="G956" i="2"/>
  <c r="H955" i="2"/>
  <c r="G955" i="2"/>
  <c r="H954" i="2"/>
  <c r="G954" i="2"/>
  <c r="H953" i="2"/>
  <c r="G953" i="2"/>
  <c r="H952" i="2"/>
  <c r="G952" i="2"/>
  <c r="H951" i="2"/>
  <c r="G951" i="2"/>
  <c r="H950" i="2"/>
  <c r="G950" i="2"/>
  <c r="H949" i="2"/>
  <c r="G949" i="2"/>
  <c r="H948" i="2"/>
  <c r="G948" i="2"/>
  <c r="H947" i="2"/>
  <c r="G947" i="2"/>
  <c r="H946" i="2"/>
  <c r="G946" i="2"/>
  <c r="H945" i="2"/>
  <c r="G945" i="2"/>
  <c r="H944" i="2"/>
  <c r="G944" i="2"/>
  <c r="H943" i="2"/>
  <c r="G943" i="2"/>
  <c r="H942" i="2"/>
  <c r="G942" i="2"/>
  <c r="H941" i="2"/>
  <c r="G941" i="2"/>
  <c r="H940" i="2"/>
  <c r="G940" i="2"/>
  <c r="H939" i="2"/>
  <c r="G939" i="2"/>
  <c r="H938" i="2"/>
  <c r="G938" i="2"/>
  <c r="H937" i="2"/>
  <c r="G937" i="2"/>
  <c r="H936" i="2"/>
  <c r="G936" i="2"/>
  <c r="H935" i="2"/>
  <c r="G935" i="2"/>
  <c r="H934" i="2"/>
  <c r="G934" i="2"/>
  <c r="H933" i="2"/>
  <c r="G933" i="2"/>
  <c r="H932" i="2"/>
  <c r="G932" i="2"/>
  <c r="H931" i="2"/>
  <c r="G931" i="2"/>
  <c r="H930" i="2"/>
  <c r="G930" i="2"/>
  <c r="H929" i="2"/>
  <c r="G929" i="2"/>
  <c r="H928" i="2"/>
  <c r="G928" i="2"/>
  <c r="H927" i="2"/>
  <c r="G927" i="2"/>
  <c r="H926" i="2"/>
  <c r="G926" i="2"/>
  <c r="H925" i="2"/>
  <c r="G925" i="2"/>
  <c r="H924" i="2"/>
  <c r="G924" i="2"/>
  <c r="H923" i="2"/>
  <c r="G923" i="2"/>
  <c r="H922" i="2"/>
  <c r="G922" i="2"/>
  <c r="H921" i="2"/>
  <c r="G921" i="2"/>
  <c r="H920" i="2"/>
  <c r="G920" i="2"/>
  <c r="H919" i="2"/>
  <c r="G919" i="2"/>
  <c r="H918" i="2"/>
  <c r="G918" i="2"/>
  <c r="H917" i="2"/>
  <c r="G917" i="2"/>
  <c r="H916" i="2"/>
  <c r="G916" i="2"/>
  <c r="H915" i="2"/>
  <c r="G915" i="2"/>
  <c r="H914" i="2"/>
  <c r="G914" i="2"/>
  <c r="H913" i="2"/>
  <c r="G913" i="2"/>
  <c r="H912" i="2"/>
  <c r="G912" i="2"/>
  <c r="H911" i="2"/>
  <c r="G911" i="2"/>
  <c r="H910" i="2"/>
  <c r="G910" i="2"/>
  <c r="H909" i="2"/>
  <c r="G909" i="2"/>
  <c r="H908" i="2"/>
  <c r="G908" i="2"/>
  <c r="H907" i="2"/>
  <c r="G907" i="2"/>
  <c r="H906" i="2"/>
  <c r="G906" i="2"/>
  <c r="H905" i="2"/>
  <c r="G905" i="2"/>
  <c r="H904" i="2"/>
  <c r="G904" i="2"/>
  <c r="H903" i="2"/>
  <c r="G903" i="2"/>
  <c r="H902" i="2"/>
  <c r="G902" i="2"/>
  <c r="H901" i="2"/>
  <c r="G901" i="2"/>
  <c r="H900" i="2"/>
  <c r="G900" i="2"/>
  <c r="H899" i="2"/>
  <c r="G899" i="2"/>
  <c r="H898" i="2"/>
  <c r="G898" i="2"/>
  <c r="H897" i="2"/>
  <c r="G897" i="2"/>
  <c r="H896" i="2"/>
  <c r="G896" i="2"/>
  <c r="H895" i="2"/>
  <c r="G895" i="2"/>
  <c r="H894" i="2"/>
  <c r="G894" i="2"/>
  <c r="H893" i="2"/>
  <c r="G893" i="2"/>
  <c r="H892" i="2"/>
  <c r="G892" i="2"/>
  <c r="H891" i="2"/>
  <c r="G891" i="2"/>
  <c r="H890" i="2"/>
  <c r="G890" i="2"/>
  <c r="H889" i="2"/>
  <c r="G889" i="2"/>
  <c r="H888" i="2"/>
  <c r="G888" i="2"/>
  <c r="H887" i="2"/>
  <c r="G887" i="2"/>
  <c r="H886" i="2"/>
  <c r="G886" i="2"/>
  <c r="H885" i="2"/>
  <c r="G885" i="2"/>
  <c r="H884" i="2"/>
  <c r="G884" i="2"/>
  <c r="H883" i="2"/>
  <c r="G883" i="2"/>
  <c r="H882" i="2"/>
  <c r="G882" i="2"/>
  <c r="H881" i="2"/>
  <c r="G881" i="2"/>
  <c r="H880" i="2"/>
  <c r="G880" i="2"/>
  <c r="H879" i="2"/>
  <c r="G879" i="2"/>
  <c r="H878" i="2"/>
  <c r="G878" i="2"/>
  <c r="H877" i="2"/>
  <c r="G877" i="2"/>
  <c r="H876" i="2"/>
  <c r="G876" i="2"/>
  <c r="H875" i="2"/>
  <c r="G875" i="2"/>
  <c r="H874" i="2"/>
  <c r="G874" i="2"/>
  <c r="H873" i="2"/>
  <c r="G873" i="2"/>
  <c r="H872" i="2"/>
  <c r="G872" i="2"/>
  <c r="H871" i="2"/>
  <c r="G871" i="2"/>
  <c r="H870" i="2"/>
  <c r="G870" i="2"/>
  <c r="H869" i="2"/>
  <c r="G869" i="2"/>
  <c r="H868" i="2"/>
  <c r="G868" i="2"/>
  <c r="H867" i="2"/>
  <c r="G867" i="2"/>
  <c r="H866" i="2"/>
  <c r="G866" i="2"/>
  <c r="H865" i="2"/>
  <c r="G865" i="2"/>
  <c r="H864" i="2"/>
  <c r="G864" i="2"/>
  <c r="H863" i="2"/>
  <c r="G863" i="2"/>
  <c r="H862" i="2"/>
  <c r="G862" i="2"/>
  <c r="H861" i="2"/>
  <c r="G861" i="2"/>
  <c r="H860" i="2"/>
  <c r="G860" i="2"/>
  <c r="H859" i="2"/>
  <c r="G859" i="2"/>
  <c r="H858" i="2"/>
  <c r="G858" i="2"/>
  <c r="H857" i="2"/>
  <c r="G857" i="2"/>
  <c r="H856" i="2"/>
  <c r="G856" i="2"/>
  <c r="H855" i="2"/>
  <c r="G855" i="2"/>
  <c r="H854" i="2"/>
  <c r="G854" i="2"/>
  <c r="H853" i="2"/>
  <c r="G853" i="2"/>
  <c r="H852" i="2"/>
  <c r="G852" i="2"/>
  <c r="H851" i="2"/>
  <c r="G851" i="2"/>
  <c r="H850" i="2"/>
  <c r="G850" i="2"/>
  <c r="H849" i="2"/>
  <c r="G849" i="2"/>
  <c r="H848" i="2"/>
  <c r="G848" i="2"/>
  <c r="H847" i="2"/>
  <c r="G847" i="2"/>
  <c r="H846" i="2"/>
  <c r="G846" i="2"/>
  <c r="H845" i="2"/>
  <c r="G845" i="2"/>
  <c r="H844" i="2"/>
  <c r="G844" i="2"/>
  <c r="H843" i="2"/>
  <c r="G843" i="2"/>
  <c r="H842" i="2"/>
  <c r="G842" i="2"/>
  <c r="H841" i="2"/>
  <c r="G841" i="2"/>
  <c r="H840" i="2"/>
  <c r="G840" i="2"/>
  <c r="H839" i="2"/>
  <c r="G839" i="2"/>
  <c r="H838" i="2"/>
  <c r="G838" i="2"/>
  <c r="H837" i="2"/>
  <c r="G837" i="2"/>
  <c r="H836" i="2"/>
  <c r="G836" i="2"/>
  <c r="H835" i="2"/>
  <c r="G835" i="2"/>
  <c r="H834" i="2"/>
  <c r="G834" i="2"/>
  <c r="H833" i="2"/>
  <c r="G833" i="2"/>
  <c r="H832" i="2"/>
  <c r="G832" i="2"/>
  <c r="H831" i="2"/>
  <c r="G831" i="2"/>
  <c r="H830" i="2"/>
  <c r="G830" i="2"/>
  <c r="H829" i="2"/>
  <c r="G829" i="2"/>
  <c r="H828" i="2"/>
  <c r="G828" i="2"/>
  <c r="H827" i="2"/>
  <c r="G827" i="2"/>
  <c r="H826" i="2"/>
  <c r="G826" i="2"/>
  <c r="H825" i="2"/>
  <c r="G825" i="2"/>
  <c r="H824" i="2"/>
  <c r="G824" i="2"/>
  <c r="H823" i="2"/>
  <c r="G823" i="2"/>
  <c r="H822" i="2"/>
  <c r="G822" i="2"/>
  <c r="H821" i="2"/>
  <c r="G821" i="2"/>
  <c r="H820" i="2"/>
  <c r="G820" i="2"/>
  <c r="H819" i="2"/>
  <c r="G819" i="2"/>
  <c r="H818" i="2"/>
  <c r="G818" i="2"/>
  <c r="H817" i="2"/>
  <c r="G817" i="2"/>
  <c r="H816" i="2"/>
  <c r="G816" i="2"/>
  <c r="H815" i="2"/>
  <c r="G815" i="2"/>
  <c r="H814" i="2"/>
  <c r="G814" i="2"/>
  <c r="H813" i="2"/>
  <c r="G813" i="2"/>
  <c r="H812" i="2"/>
  <c r="G812" i="2"/>
  <c r="H811" i="2"/>
  <c r="G811" i="2"/>
  <c r="H810" i="2"/>
  <c r="G810" i="2"/>
  <c r="H809" i="2"/>
  <c r="G809" i="2"/>
  <c r="H808" i="2"/>
  <c r="G808" i="2"/>
  <c r="H807" i="2"/>
  <c r="G807" i="2"/>
  <c r="H806" i="2"/>
  <c r="G806" i="2"/>
  <c r="H805" i="2"/>
  <c r="G805" i="2"/>
  <c r="H804" i="2"/>
  <c r="G804" i="2"/>
  <c r="H803" i="2"/>
  <c r="G803" i="2"/>
  <c r="H802" i="2"/>
  <c r="G802" i="2"/>
  <c r="H801" i="2"/>
  <c r="G801" i="2"/>
  <c r="H800" i="2"/>
  <c r="G800" i="2"/>
  <c r="H799" i="2"/>
  <c r="G799" i="2"/>
  <c r="H798" i="2"/>
  <c r="G798" i="2"/>
  <c r="H797" i="2"/>
  <c r="G797" i="2"/>
  <c r="H796" i="2"/>
  <c r="G796" i="2"/>
  <c r="H795" i="2"/>
  <c r="G795" i="2"/>
  <c r="H794" i="2"/>
  <c r="G794" i="2"/>
  <c r="H793" i="2"/>
  <c r="G793" i="2"/>
  <c r="H792" i="2"/>
  <c r="G792" i="2"/>
  <c r="H791" i="2"/>
  <c r="G791" i="2"/>
  <c r="H790" i="2"/>
  <c r="G790" i="2"/>
  <c r="H789" i="2"/>
  <c r="G789" i="2"/>
  <c r="H788" i="2"/>
  <c r="G788" i="2"/>
  <c r="H787" i="2"/>
  <c r="G787" i="2"/>
  <c r="H786" i="2"/>
  <c r="G786" i="2"/>
  <c r="H785" i="2"/>
  <c r="G785" i="2"/>
  <c r="H784" i="2"/>
  <c r="G784" i="2"/>
  <c r="H783" i="2"/>
  <c r="G783" i="2"/>
  <c r="H782" i="2"/>
  <c r="G782" i="2"/>
  <c r="H781" i="2"/>
  <c r="G781" i="2"/>
  <c r="H780" i="2"/>
  <c r="G780" i="2"/>
  <c r="H779" i="2"/>
  <c r="G779" i="2"/>
  <c r="H778" i="2"/>
  <c r="G778" i="2"/>
  <c r="H777" i="2"/>
  <c r="G777" i="2"/>
  <c r="H776" i="2"/>
  <c r="G776" i="2"/>
  <c r="H775" i="2"/>
  <c r="G775" i="2"/>
  <c r="H774" i="2"/>
  <c r="G774" i="2"/>
  <c r="H773" i="2"/>
  <c r="G773" i="2"/>
  <c r="H772" i="2"/>
  <c r="G772" i="2"/>
  <c r="H771" i="2"/>
  <c r="G771" i="2"/>
  <c r="H770" i="2"/>
  <c r="G770" i="2"/>
  <c r="H769" i="2"/>
  <c r="G769" i="2"/>
  <c r="H768" i="2"/>
  <c r="G768" i="2"/>
  <c r="H767" i="2"/>
  <c r="G767" i="2"/>
  <c r="H766" i="2"/>
  <c r="G766" i="2"/>
  <c r="H765" i="2"/>
  <c r="G765" i="2"/>
  <c r="H764" i="2"/>
  <c r="G764" i="2"/>
  <c r="H763" i="2"/>
  <c r="G763" i="2"/>
  <c r="H762" i="2"/>
  <c r="G762" i="2"/>
  <c r="H761" i="2"/>
  <c r="G761" i="2"/>
  <c r="H760" i="2"/>
  <c r="G760" i="2"/>
  <c r="H759" i="2"/>
  <c r="G759" i="2"/>
  <c r="H758" i="2"/>
  <c r="G758" i="2"/>
  <c r="H757" i="2"/>
  <c r="G757" i="2"/>
  <c r="H756" i="2"/>
  <c r="G756" i="2"/>
  <c r="H755" i="2"/>
  <c r="G755" i="2"/>
  <c r="H754" i="2"/>
  <c r="G754" i="2"/>
  <c r="H753" i="2"/>
  <c r="G753" i="2"/>
  <c r="H752" i="2"/>
  <c r="G752" i="2"/>
  <c r="H751" i="2"/>
  <c r="G751" i="2"/>
  <c r="H750" i="2"/>
  <c r="G750" i="2"/>
  <c r="H749" i="2"/>
  <c r="G749" i="2"/>
  <c r="H748" i="2"/>
  <c r="G748" i="2"/>
  <c r="H747" i="2"/>
  <c r="G747" i="2"/>
  <c r="H746" i="2"/>
  <c r="G746" i="2"/>
  <c r="H745" i="2"/>
  <c r="G745" i="2"/>
  <c r="H744" i="2"/>
  <c r="G744" i="2"/>
  <c r="H743" i="2"/>
  <c r="G743" i="2"/>
  <c r="H742" i="2"/>
  <c r="G742" i="2"/>
  <c r="H741" i="2"/>
  <c r="G741" i="2"/>
  <c r="H740" i="2"/>
  <c r="G740" i="2"/>
  <c r="H739" i="2"/>
  <c r="G739" i="2"/>
  <c r="H738" i="2"/>
  <c r="G738" i="2"/>
  <c r="H737" i="2"/>
  <c r="G737" i="2"/>
  <c r="H736" i="2"/>
  <c r="G736" i="2"/>
  <c r="H735" i="2"/>
  <c r="G735" i="2"/>
  <c r="H734" i="2"/>
  <c r="G734" i="2"/>
  <c r="H733" i="2"/>
  <c r="G733" i="2"/>
  <c r="H732" i="2"/>
  <c r="G732" i="2"/>
  <c r="H731" i="2"/>
  <c r="G731" i="2"/>
  <c r="H730" i="2"/>
  <c r="G730" i="2"/>
  <c r="H729" i="2"/>
  <c r="G729" i="2"/>
  <c r="H728" i="2"/>
  <c r="G728" i="2"/>
  <c r="H727" i="2"/>
  <c r="G727" i="2"/>
  <c r="H726" i="2"/>
  <c r="G726" i="2"/>
  <c r="H725" i="2"/>
  <c r="G725" i="2"/>
  <c r="H724" i="2"/>
  <c r="G724" i="2"/>
  <c r="H723" i="2"/>
  <c r="G723" i="2"/>
  <c r="H722" i="2"/>
  <c r="G722" i="2"/>
  <c r="H721" i="2"/>
  <c r="G721" i="2"/>
  <c r="H720" i="2"/>
  <c r="G720" i="2"/>
  <c r="H719" i="2"/>
  <c r="G719" i="2"/>
  <c r="H718" i="2"/>
  <c r="G718" i="2"/>
  <c r="H717" i="2"/>
  <c r="G717" i="2"/>
  <c r="H716" i="2"/>
  <c r="G716" i="2"/>
  <c r="H715" i="2"/>
  <c r="G715" i="2"/>
  <c r="H714" i="2"/>
  <c r="G714" i="2"/>
  <c r="H713" i="2"/>
  <c r="G713" i="2"/>
  <c r="H712" i="2"/>
  <c r="G712" i="2"/>
  <c r="H711" i="2"/>
  <c r="G711" i="2"/>
  <c r="H710" i="2"/>
  <c r="G710" i="2"/>
  <c r="H709" i="2"/>
  <c r="G709" i="2"/>
  <c r="H708" i="2"/>
  <c r="G708" i="2"/>
  <c r="H707" i="2"/>
  <c r="G707" i="2"/>
  <c r="H706" i="2"/>
  <c r="G706" i="2"/>
  <c r="H705" i="2"/>
  <c r="G705" i="2"/>
  <c r="H704" i="2"/>
  <c r="G704" i="2"/>
  <c r="H703" i="2"/>
  <c r="G703" i="2"/>
  <c r="H702" i="2"/>
  <c r="G702" i="2"/>
  <c r="H701" i="2"/>
  <c r="G701" i="2"/>
  <c r="H700" i="2"/>
  <c r="G700" i="2"/>
  <c r="H699" i="2"/>
  <c r="G699" i="2"/>
  <c r="H698" i="2"/>
  <c r="G698" i="2"/>
  <c r="H697" i="2"/>
  <c r="G697" i="2"/>
  <c r="H696" i="2"/>
  <c r="G696" i="2"/>
  <c r="H695" i="2"/>
  <c r="G695" i="2"/>
  <c r="H694" i="2"/>
  <c r="G694" i="2"/>
  <c r="H693" i="2"/>
  <c r="G693" i="2"/>
  <c r="H692" i="2"/>
  <c r="G692" i="2"/>
  <c r="H691" i="2"/>
  <c r="G691" i="2"/>
  <c r="H690" i="2"/>
  <c r="G690" i="2"/>
  <c r="H689" i="2"/>
  <c r="G689" i="2"/>
  <c r="H688" i="2"/>
  <c r="G688" i="2"/>
  <c r="H687" i="2"/>
  <c r="G687" i="2"/>
  <c r="H686" i="2"/>
  <c r="G686" i="2"/>
  <c r="H685" i="2"/>
  <c r="G685" i="2"/>
  <c r="H684" i="2"/>
  <c r="G684" i="2"/>
  <c r="H683" i="2"/>
  <c r="G683" i="2"/>
  <c r="H682" i="2"/>
  <c r="G682" i="2"/>
  <c r="H681" i="2"/>
  <c r="G681" i="2"/>
  <c r="H680" i="2"/>
  <c r="G680" i="2"/>
  <c r="H679" i="2"/>
  <c r="G679" i="2"/>
  <c r="H678" i="2"/>
  <c r="G678" i="2"/>
  <c r="H677" i="2"/>
  <c r="G677" i="2"/>
  <c r="H676" i="2"/>
  <c r="G676" i="2"/>
  <c r="H675" i="2"/>
  <c r="G675" i="2"/>
  <c r="H674" i="2"/>
  <c r="G674" i="2"/>
  <c r="H673" i="2"/>
  <c r="G673" i="2"/>
  <c r="H672" i="2"/>
  <c r="G672" i="2"/>
  <c r="H671" i="2"/>
  <c r="G671" i="2"/>
  <c r="H670" i="2"/>
  <c r="G670" i="2"/>
  <c r="H669" i="2"/>
  <c r="G669" i="2"/>
  <c r="H668" i="2"/>
  <c r="G668" i="2"/>
  <c r="H667" i="2"/>
  <c r="G667" i="2"/>
  <c r="H666" i="2"/>
  <c r="G666" i="2"/>
  <c r="H665" i="2"/>
  <c r="G665" i="2"/>
  <c r="H664" i="2"/>
  <c r="G664" i="2"/>
  <c r="H663" i="2"/>
  <c r="G663" i="2"/>
  <c r="H662" i="2"/>
  <c r="G662" i="2"/>
  <c r="H661" i="2"/>
  <c r="G661" i="2"/>
  <c r="H660" i="2"/>
  <c r="G660" i="2"/>
  <c r="H659" i="2"/>
  <c r="G659" i="2"/>
  <c r="H658" i="2"/>
  <c r="G658" i="2"/>
  <c r="H657" i="2"/>
  <c r="G657" i="2"/>
  <c r="H656" i="2"/>
  <c r="G656" i="2"/>
  <c r="H655" i="2"/>
  <c r="G655" i="2"/>
  <c r="H654" i="2"/>
  <c r="G654" i="2"/>
  <c r="H653" i="2"/>
  <c r="G653" i="2"/>
  <c r="H652" i="2"/>
  <c r="G652" i="2"/>
  <c r="H651" i="2"/>
  <c r="G651" i="2"/>
  <c r="H650" i="2"/>
  <c r="G650" i="2"/>
  <c r="H649" i="2"/>
  <c r="G649" i="2"/>
  <c r="H648" i="2"/>
  <c r="G648" i="2"/>
  <c r="H647" i="2"/>
  <c r="G647" i="2"/>
  <c r="H646" i="2"/>
  <c r="G646" i="2"/>
  <c r="H645" i="2"/>
  <c r="G645" i="2"/>
  <c r="H644" i="2"/>
  <c r="G644" i="2"/>
  <c r="H643" i="2"/>
  <c r="G643" i="2"/>
  <c r="H642" i="2"/>
  <c r="G642" i="2"/>
  <c r="H641" i="2"/>
  <c r="G641" i="2"/>
  <c r="H640" i="2"/>
  <c r="G640" i="2"/>
  <c r="H639" i="2"/>
  <c r="G639" i="2"/>
  <c r="H638" i="2"/>
  <c r="G638" i="2"/>
  <c r="H637" i="2"/>
  <c r="G637" i="2"/>
  <c r="H636" i="2"/>
  <c r="G636" i="2"/>
  <c r="H635" i="2"/>
  <c r="G635" i="2"/>
  <c r="H634" i="2"/>
  <c r="G634" i="2"/>
  <c r="H633" i="2"/>
  <c r="G633" i="2"/>
  <c r="H632" i="2"/>
  <c r="G632" i="2"/>
  <c r="H631" i="2"/>
  <c r="G631" i="2"/>
  <c r="H630" i="2"/>
  <c r="G630" i="2"/>
  <c r="H629" i="2"/>
  <c r="G629" i="2"/>
  <c r="H628" i="2"/>
  <c r="G628" i="2"/>
  <c r="H627" i="2"/>
  <c r="G627" i="2"/>
  <c r="H626" i="2"/>
  <c r="G626" i="2"/>
  <c r="H625" i="2"/>
  <c r="G625" i="2"/>
  <c r="H624" i="2"/>
  <c r="G624" i="2"/>
  <c r="H623" i="2"/>
  <c r="G623" i="2"/>
  <c r="H622" i="2"/>
  <c r="G622" i="2"/>
  <c r="H621" i="2"/>
  <c r="G621" i="2"/>
  <c r="H620" i="2"/>
  <c r="G620" i="2"/>
  <c r="H619" i="2"/>
  <c r="G619" i="2"/>
  <c r="H618" i="2"/>
  <c r="G618" i="2"/>
  <c r="H617" i="2"/>
  <c r="G617" i="2"/>
  <c r="H616" i="2"/>
  <c r="G616" i="2"/>
  <c r="H615" i="2"/>
  <c r="G615" i="2"/>
  <c r="H614" i="2"/>
  <c r="G614" i="2"/>
  <c r="H613" i="2"/>
  <c r="G613" i="2"/>
  <c r="H612" i="2"/>
  <c r="G612" i="2"/>
  <c r="H611" i="2"/>
  <c r="G611" i="2"/>
  <c r="H610" i="2"/>
  <c r="G610" i="2"/>
  <c r="H609" i="2"/>
  <c r="G609" i="2"/>
  <c r="H608" i="2"/>
  <c r="G608" i="2"/>
  <c r="H607" i="2"/>
  <c r="G607" i="2"/>
  <c r="H606" i="2"/>
  <c r="G606" i="2"/>
  <c r="H605" i="2"/>
  <c r="G605" i="2"/>
  <c r="H604" i="2"/>
  <c r="G604" i="2"/>
  <c r="H603" i="2"/>
  <c r="G603" i="2"/>
  <c r="H602" i="2"/>
  <c r="G602" i="2"/>
  <c r="H601" i="2"/>
  <c r="G601" i="2"/>
  <c r="H600" i="2"/>
  <c r="G600" i="2"/>
  <c r="H599" i="2"/>
  <c r="G599" i="2"/>
  <c r="H598" i="2"/>
  <c r="G598" i="2"/>
  <c r="H597" i="2"/>
  <c r="G597" i="2"/>
  <c r="H596" i="2"/>
  <c r="G596" i="2"/>
  <c r="H595" i="2"/>
  <c r="G595" i="2"/>
  <c r="H594" i="2"/>
  <c r="G594" i="2"/>
  <c r="H593" i="2"/>
  <c r="G593" i="2"/>
  <c r="H592" i="2"/>
  <c r="G592" i="2"/>
  <c r="H591" i="2"/>
  <c r="G591" i="2"/>
  <c r="H590" i="2"/>
  <c r="G590" i="2"/>
  <c r="H589" i="2"/>
  <c r="G589" i="2"/>
  <c r="H588" i="2"/>
  <c r="G588" i="2"/>
  <c r="H587" i="2"/>
  <c r="G587" i="2"/>
  <c r="H586" i="2"/>
  <c r="G586" i="2"/>
  <c r="H585" i="2"/>
  <c r="G585" i="2"/>
  <c r="H584" i="2"/>
  <c r="G584" i="2"/>
  <c r="H583" i="2"/>
  <c r="G583" i="2"/>
  <c r="H582" i="2"/>
  <c r="G582" i="2"/>
  <c r="H581" i="2"/>
  <c r="G581" i="2"/>
  <c r="H580" i="2"/>
  <c r="G580" i="2"/>
  <c r="H579" i="2"/>
  <c r="G579" i="2"/>
  <c r="H578" i="2"/>
  <c r="G578" i="2"/>
  <c r="H577" i="2"/>
  <c r="G577" i="2"/>
  <c r="H576" i="2"/>
  <c r="G576" i="2"/>
  <c r="H575" i="2"/>
  <c r="G575" i="2"/>
  <c r="H574" i="2"/>
  <c r="G574" i="2"/>
  <c r="H573" i="2"/>
  <c r="G573" i="2"/>
  <c r="H572" i="2"/>
  <c r="G572" i="2"/>
  <c r="H571" i="2"/>
  <c r="G571" i="2"/>
  <c r="H570" i="2"/>
  <c r="G570" i="2"/>
  <c r="H569" i="2"/>
  <c r="G569" i="2"/>
  <c r="H568" i="2"/>
  <c r="G568" i="2"/>
  <c r="H567" i="2"/>
  <c r="G567" i="2"/>
  <c r="H566" i="2"/>
  <c r="G566" i="2"/>
  <c r="H565" i="2"/>
  <c r="G565" i="2"/>
  <c r="H564" i="2"/>
  <c r="G564" i="2"/>
  <c r="H563" i="2"/>
  <c r="G563" i="2"/>
  <c r="H562" i="2"/>
  <c r="G562" i="2"/>
  <c r="H561" i="2"/>
  <c r="G561" i="2"/>
  <c r="H560" i="2"/>
  <c r="G560" i="2"/>
  <c r="H559" i="2"/>
  <c r="G559" i="2"/>
  <c r="H558" i="2"/>
  <c r="G558" i="2"/>
  <c r="H557" i="2"/>
  <c r="G557" i="2"/>
  <c r="H556" i="2"/>
  <c r="G556" i="2"/>
  <c r="H555" i="2"/>
  <c r="G555" i="2"/>
  <c r="H554" i="2"/>
  <c r="G554" i="2"/>
  <c r="H553" i="2"/>
  <c r="G553" i="2"/>
  <c r="H552" i="2"/>
  <c r="G552" i="2"/>
  <c r="H551" i="2"/>
  <c r="G551" i="2"/>
  <c r="H550" i="2"/>
  <c r="G550" i="2"/>
  <c r="H549" i="2"/>
  <c r="G549" i="2"/>
  <c r="H548" i="2"/>
  <c r="G548" i="2"/>
  <c r="H547" i="2"/>
  <c r="G547" i="2"/>
  <c r="H546" i="2"/>
  <c r="G546" i="2"/>
  <c r="H545" i="2"/>
  <c r="G545" i="2"/>
  <c r="H544" i="2"/>
  <c r="G544" i="2"/>
  <c r="H543" i="2"/>
  <c r="G543" i="2"/>
  <c r="H542" i="2"/>
  <c r="G542" i="2"/>
  <c r="H541" i="2"/>
  <c r="G541" i="2"/>
  <c r="H540" i="2"/>
  <c r="G540" i="2"/>
  <c r="H539" i="2"/>
  <c r="G539" i="2"/>
  <c r="H538" i="2"/>
  <c r="G538" i="2"/>
  <c r="H537" i="2"/>
  <c r="G537" i="2"/>
  <c r="H536" i="2"/>
  <c r="G536" i="2"/>
  <c r="H535" i="2"/>
  <c r="G535" i="2"/>
  <c r="H534" i="2"/>
  <c r="G534" i="2"/>
  <c r="H533" i="2"/>
  <c r="G533" i="2"/>
  <c r="H532" i="2"/>
  <c r="G532" i="2"/>
  <c r="H531" i="2"/>
  <c r="G531" i="2"/>
  <c r="H530" i="2"/>
  <c r="G530" i="2"/>
  <c r="H529" i="2"/>
  <c r="G529" i="2"/>
  <c r="H528" i="2"/>
  <c r="G528" i="2"/>
  <c r="H527" i="2"/>
  <c r="G527" i="2"/>
  <c r="H526" i="2"/>
  <c r="G526" i="2"/>
  <c r="H525" i="2"/>
  <c r="G525" i="2"/>
  <c r="H524" i="2"/>
  <c r="G524" i="2"/>
  <c r="H523" i="2"/>
  <c r="G523" i="2"/>
  <c r="H522" i="2"/>
  <c r="G522" i="2"/>
  <c r="H521" i="2"/>
  <c r="G521" i="2"/>
  <c r="H520" i="2"/>
  <c r="G520" i="2"/>
  <c r="H519" i="2"/>
  <c r="G519" i="2"/>
  <c r="H518" i="2"/>
  <c r="G518" i="2"/>
  <c r="H517" i="2"/>
  <c r="G517" i="2"/>
  <c r="H516" i="2"/>
  <c r="G516" i="2"/>
  <c r="H515" i="2"/>
  <c r="G515" i="2"/>
  <c r="H514" i="2"/>
  <c r="G514" i="2"/>
  <c r="H513" i="2"/>
  <c r="G513" i="2"/>
  <c r="H512" i="2"/>
  <c r="G512" i="2"/>
  <c r="H511" i="2"/>
  <c r="G511" i="2"/>
  <c r="H510" i="2"/>
  <c r="G510" i="2"/>
  <c r="H509" i="2"/>
  <c r="G509" i="2"/>
  <c r="H508" i="2"/>
  <c r="G508" i="2"/>
  <c r="H507" i="2"/>
  <c r="G507" i="2"/>
  <c r="H506" i="2"/>
  <c r="G506" i="2"/>
  <c r="H505" i="2"/>
  <c r="G505" i="2"/>
  <c r="H504" i="2"/>
  <c r="G504" i="2"/>
  <c r="H503" i="2"/>
  <c r="G503" i="2"/>
  <c r="H502" i="2"/>
  <c r="G502" i="2"/>
  <c r="H501" i="2"/>
  <c r="G501" i="2"/>
  <c r="H500" i="2"/>
  <c r="G500" i="2"/>
  <c r="H499" i="2"/>
  <c r="G499" i="2"/>
  <c r="H498" i="2"/>
  <c r="G498" i="2"/>
  <c r="H497" i="2"/>
  <c r="G497" i="2"/>
  <c r="H496" i="2"/>
  <c r="G496" i="2"/>
  <c r="H495" i="2"/>
  <c r="G495" i="2"/>
  <c r="H494" i="2"/>
  <c r="G494" i="2"/>
  <c r="H493" i="2"/>
  <c r="G493" i="2"/>
  <c r="H492" i="2"/>
  <c r="G492" i="2"/>
  <c r="H491" i="2"/>
  <c r="G491" i="2"/>
  <c r="H490" i="2"/>
  <c r="G490" i="2"/>
  <c r="H489" i="2"/>
  <c r="G489" i="2"/>
  <c r="H488" i="2"/>
  <c r="G488" i="2"/>
  <c r="H487" i="2"/>
  <c r="G487" i="2"/>
  <c r="H486" i="2"/>
  <c r="G486" i="2"/>
  <c r="H485" i="2"/>
  <c r="G485" i="2"/>
  <c r="H484" i="2"/>
  <c r="G484" i="2"/>
  <c r="H483" i="2"/>
  <c r="G483" i="2"/>
  <c r="H482" i="2"/>
  <c r="G482" i="2"/>
  <c r="H481" i="2"/>
  <c r="G481" i="2"/>
  <c r="H480" i="2"/>
  <c r="G480" i="2"/>
  <c r="H479" i="2"/>
  <c r="G479" i="2"/>
  <c r="H478" i="2"/>
  <c r="G478" i="2"/>
  <c r="H477" i="2"/>
  <c r="G477" i="2"/>
  <c r="H476" i="2"/>
  <c r="G476" i="2"/>
  <c r="H475" i="2"/>
  <c r="G475" i="2"/>
  <c r="H474" i="2"/>
  <c r="G474" i="2"/>
  <c r="H473" i="2"/>
  <c r="G473" i="2"/>
  <c r="H472" i="2"/>
  <c r="G472" i="2"/>
  <c r="H471" i="2"/>
  <c r="G471" i="2"/>
  <c r="H470" i="2"/>
  <c r="G470" i="2"/>
  <c r="H469" i="2"/>
  <c r="G469" i="2"/>
  <c r="H468" i="2"/>
  <c r="G468" i="2"/>
  <c r="H467" i="2"/>
  <c r="G467" i="2"/>
  <c r="H466" i="2"/>
  <c r="G466" i="2"/>
  <c r="H465" i="2"/>
  <c r="G465" i="2"/>
  <c r="H464" i="2"/>
  <c r="G464" i="2"/>
  <c r="H463" i="2"/>
  <c r="G463" i="2"/>
  <c r="H462" i="2"/>
  <c r="G462" i="2"/>
  <c r="H461" i="2"/>
  <c r="G461" i="2"/>
  <c r="H460" i="2"/>
  <c r="G460" i="2"/>
  <c r="H459" i="2"/>
  <c r="G459" i="2"/>
  <c r="H458" i="2"/>
  <c r="G458" i="2"/>
  <c r="H457" i="2"/>
  <c r="G457" i="2"/>
  <c r="H456" i="2"/>
  <c r="G456" i="2"/>
  <c r="H455" i="2"/>
  <c r="G455" i="2"/>
  <c r="H454" i="2"/>
  <c r="G454" i="2"/>
  <c r="H453" i="2"/>
  <c r="G453" i="2"/>
  <c r="H452" i="2"/>
  <c r="G452" i="2"/>
  <c r="H451" i="2"/>
  <c r="G451" i="2"/>
  <c r="H450" i="2"/>
  <c r="G450" i="2"/>
  <c r="H449" i="2"/>
  <c r="G449" i="2"/>
  <c r="H448" i="2"/>
  <c r="G448" i="2"/>
  <c r="H447" i="2"/>
  <c r="G447" i="2"/>
  <c r="H446" i="2"/>
  <c r="G446" i="2"/>
  <c r="H445" i="2"/>
  <c r="G445" i="2"/>
  <c r="H444" i="2"/>
  <c r="G444" i="2"/>
  <c r="H443" i="2"/>
  <c r="G443" i="2"/>
  <c r="H442" i="2"/>
  <c r="G442" i="2"/>
  <c r="H441" i="2"/>
  <c r="G441" i="2"/>
  <c r="H440" i="2"/>
  <c r="G440" i="2"/>
  <c r="H439" i="2"/>
  <c r="G439" i="2"/>
  <c r="H438" i="2"/>
  <c r="G438" i="2"/>
  <c r="H437" i="2"/>
  <c r="G437" i="2"/>
  <c r="H436" i="2"/>
  <c r="G436" i="2"/>
  <c r="H435" i="2"/>
  <c r="G435" i="2"/>
  <c r="H434" i="2"/>
  <c r="G434" i="2"/>
  <c r="H433" i="2"/>
  <c r="G433" i="2"/>
  <c r="H432" i="2"/>
  <c r="G432" i="2"/>
  <c r="H431" i="2"/>
  <c r="G431" i="2"/>
  <c r="H430" i="2"/>
  <c r="G430" i="2"/>
  <c r="H429" i="2"/>
  <c r="G429" i="2"/>
  <c r="H428" i="2"/>
  <c r="G428" i="2"/>
  <c r="H427" i="2"/>
  <c r="G427" i="2"/>
  <c r="H426" i="2"/>
  <c r="G426" i="2"/>
  <c r="H425" i="2"/>
  <c r="G425" i="2"/>
  <c r="H424" i="2"/>
  <c r="G424" i="2"/>
  <c r="H423" i="2"/>
  <c r="G423" i="2"/>
  <c r="H422" i="2"/>
  <c r="G422" i="2"/>
  <c r="H421" i="2"/>
  <c r="G421" i="2"/>
  <c r="H420" i="2"/>
  <c r="G420" i="2"/>
  <c r="H419" i="2"/>
  <c r="G419" i="2"/>
  <c r="H418" i="2"/>
  <c r="G418" i="2"/>
  <c r="H417" i="2"/>
  <c r="G417" i="2"/>
  <c r="H416" i="2"/>
  <c r="G416" i="2"/>
  <c r="H415" i="2"/>
  <c r="G415" i="2"/>
  <c r="H414" i="2"/>
  <c r="G414" i="2"/>
  <c r="H413" i="2"/>
  <c r="G413" i="2"/>
  <c r="H412" i="2"/>
  <c r="G412" i="2"/>
  <c r="H411" i="2"/>
  <c r="G411" i="2"/>
  <c r="H410" i="2"/>
  <c r="G410" i="2"/>
  <c r="H409" i="2"/>
  <c r="G409" i="2"/>
  <c r="H408" i="2"/>
  <c r="G408" i="2"/>
  <c r="H407" i="2"/>
  <c r="G407" i="2"/>
  <c r="H406" i="2"/>
  <c r="G406" i="2"/>
  <c r="H405" i="2"/>
  <c r="G405" i="2"/>
  <c r="H404" i="2"/>
  <c r="G404" i="2"/>
  <c r="H403" i="2"/>
  <c r="G403" i="2"/>
  <c r="H402" i="2"/>
  <c r="G402" i="2"/>
  <c r="H401" i="2"/>
  <c r="G401" i="2"/>
  <c r="H400" i="2"/>
  <c r="G400" i="2"/>
  <c r="H399" i="2"/>
  <c r="G399" i="2"/>
  <c r="H398" i="2"/>
  <c r="G398" i="2"/>
  <c r="H397" i="2"/>
  <c r="G397" i="2"/>
  <c r="H396" i="2"/>
  <c r="G396" i="2"/>
  <c r="H395" i="2"/>
  <c r="G395" i="2"/>
  <c r="H394" i="2"/>
  <c r="G394" i="2"/>
  <c r="H393" i="2"/>
  <c r="G393" i="2"/>
  <c r="H392" i="2"/>
  <c r="G392" i="2"/>
  <c r="H391" i="2"/>
  <c r="G391" i="2"/>
  <c r="H390" i="2"/>
  <c r="G390" i="2"/>
  <c r="H389" i="2"/>
  <c r="G389" i="2"/>
  <c r="H388" i="2"/>
  <c r="G388" i="2"/>
  <c r="H387" i="2"/>
  <c r="G387" i="2"/>
  <c r="H386" i="2"/>
  <c r="G386" i="2"/>
  <c r="H385" i="2"/>
  <c r="G385" i="2"/>
  <c r="H384" i="2"/>
  <c r="G384" i="2"/>
  <c r="H383" i="2"/>
  <c r="G383" i="2"/>
  <c r="H382" i="2"/>
  <c r="G382" i="2"/>
  <c r="H381" i="2"/>
  <c r="G381" i="2"/>
  <c r="H380" i="2"/>
  <c r="G380" i="2"/>
  <c r="H379" i="2"/>
  <c r="G379" i="2"/>
  <c r="H378" i="2"/>
  <c r="G378" i="2"/>
  <c r="H377" i="2"/>
  <c r="G377" i="2"/>
  <c r="H376" i="2"/>
  <c r="G376" i="2"/>
  <c r="H375" i="2"/>
  <c r="G375" i="2"/>
  <c r="H374" i="2"/>
  <c r="G374" i="2"/>
  <c r="H373" i="2"/>
  <c r="G373" i="2"/>
  <c r="H372" i="2"/>
  <c r="G372" i="2"/>
  <c r="H371" i="2"/>
  <c r="G371" i="2"/>
  <c r="H370" i="2"/>
  <c r="G370" i="2"/>
  <c r="H369" i="2"/>
  <c r="G369" i="2"/>
  <c r="H368" i="2"/>
  <c r="G368" i="2"/>
  <c r="H367" i="2"/>
  <c r="G367" i="2"/>
  <c r="H366" i="2"/>
  <c r="G366" i="2"/>
  <c r="H365" i="2"/>
  <c r="G365" i="2"/>
  <c r="H364" i="2"/>
  <c r="G364" i="2"/>
  <c r="H363" i="2"/>
  <c r="G363" i="2"/>
  <c r="H362" i="2"/>
  <c r="G362" i="2"/>
  <c r="H361" i="2"/>
  <c r="G361" i="2"/>
  <c r="H360" i="2"/>
  <c r="G360" i="2"/>
  <c r="H359" i="2"/>
  <c r="G359" i="2"/>
  <c r="H358" i="2"/>
  <c r="G358" i="2"/>
  <c r="H357" i="2"/>
  <c r="G357" i="2"/>
  <c r="H356" i="2"/>
  <c r="G356" i="2"/>
  <c r="H355" i="2"/>
  <c r="G355" i="2"/>
  <c r="H354" i="2"/>
  <c r="G354" i="2"/>
  <c r="H353" i="2"/>
  <c r="G353" i="2"/>
  <c r="H352" i="2"/>
  <c r="G352" i="2"/>
  <c r="H351" i="2"/>
  <c r="G351" i="2"/>
  <c r="H350" i="2"/>
  <c r="G350" i="2"/>
  <c r="H349" i="2"/>
  <c r="G349" i="2"/>
  <c r="H348" i="2"/>
  <c r="G348" i="2"/>
  <c r="H347" i="2"/>
  <c r="G347" i="2"/>
  <c r="H346" i="2"/>
  <c r="G346" i="2"/>
  <c r="H345" i="2"/>
  <c r="G345" i="2"/>
  <c r="H344" i="2"/>
  <c r="G344" i="2"/>
  <c r="H343" i="2"/>
  <c r="G343" i="2"/>
  <c r="H342" i="2"/>
  <c r="G342" i="2"/>
  <c r="H341" i="2"/>
  <c r="G341" i="2"/>
  <c r="H340" i="2"/>
  <c r="G340" i="2"/>
  <c r="H339" i="2"/>
  <c r="G339" i="2"/>
  <c r="H338" i="2"/>
  <c r="G338" i="2"/>
  <c r="H337" i="2"/>
  <c r="G337" i="2"/>
  <c r="H336" i="2"/>
  <c r="G336" i="2"/>
  <c r="H335" i="2"/>
  <c r="G335" i="2"/>
  <c r="H334" i="2"/>
  <c r="G334" i="2"/>
  <c r="H333" i="2"/>
  <c r="G333" i="2"/>
  <c r="H332" i="2"/>
  <c r="G332" i="2"/>
  <c r="H331" i="2"/>
  <c r="G331" i="2"/>
  <c r="H330" i="2"/>
  <c r="G330" i="2"/>
  <c r="H329" i="2"/>
  <c r="G329" i="2"/>
  <c r="H328" i="2"/>
  <c r="G328" i="2"/>
  <c r="H327" i="2"/>
  <c r="G327" i="2"/>
  <c r="H326" i="2"/>
  <c r="G326" i="2"/>
  <c r="H325" i="2"/>
  <c r="G325" i="2"/>
  <c r="H324" i="2"/>
  <c r="G324" i="2"/>
  <c r="H323" i="2"/>
  <c r="G323" i="2"/>
  <c r="H322" i="2"/>
  <c r="G322" i="2"/>
  <c r="H321" i="2"/>
  <c r="G321" i="2"/>
  <c r="H320" i="2"/>
  <c r="G320" i="2"/>
  <c r="H319" i="2"/>
  <c r="G319" i="2"/>
  <c r="H318" i="2"/>
  <c r="G318" i="2"/>
  <c r="H317" i="2"/>
  <c r="G317" i="2"/>
  <c r="H316" i="2"/>
  <c r="G316" i="2"/>
  <c r="H315" i="2"/>
  <c r="G315" i="2"/>
  <c r="H314" i="2"/>
  <c r="G314" i="2"/>
  <c r="H313" i="2"/>
  <c r="G313" i="2"/>
  <c r="H312" i="2"/>
  <c r="G312" i="2"/>
  <c r="H311" i="2"/>
  <c r="G311" i="2"/>
  <c r="H310" i="2"/>
  <c r="G310" i="2"/>
  <c r="H309" i="2"/>
  <c r="G309" i="2"/>
  <c r="H308" i="2"/>
  <c r="G308" i="2"/>
  <c r="H307" i="2"/>
  <c r="G307" i="2"/>
  <c r="H306" i="2"/>
  <c r="G306" i="2"/>
  <c r="H305" i="2"/>
  <c r="G305" i="2"/>
  <c r="H304" i="2"/>
  <c r="G304" i="2"/>
  <c r="H303" i="2"/>
  <c r="G303" i="2"/>
  <c r="H302" i="2"/>
  <c r="G302" i="2"/>
  <c r="H301" i="2"/>
  <c r="G301" i="2"/>
  <c r="H300" i="2"/>
  <c r="G300" i="2"/>
  <c r="H299" i="2"/>
  <c r="G299" i="2"/>
  <c r="H298" i="2"/>
  <c r="G298" i="2"/>
  <c r="H297" i="2"/>
  <c r="G297" i="2"/>
  <c r="H296" i="2"/>
  <c r="G296" i="2"/>
  <c r="H295" i="2"/>
  <c r="G295" i="2"/>
  <c r="H294" i="2"/>
  <c r="G294" i="2"/>
  <c r="H293" i="2"/>
  <c r="G293" i="2"/>
  <c r="H292" i="2"/>
  <c r="G292" i="2"/>
  <c r="H291" i="2"/>
  <c r="G291" i="2"/>
  <c r="H290" i="2"/>
  <c r="G290" i="2"/>
  <c r="H289" i="2"/>
  <c r="G289" i="2"/>
  <c r="H288" i="2"/>
  <c r="G288" i="2"/>
  <c r="H287" i="2"/>
  <c r="G287" i="2"/>
  <c r="H286" i="2"/>
  <c r="G286" i="2"/>
  <c r="H285" i="2"/>
  <c r="G285" i="2"/>
  <c r="H284" i="2"/>
  <c r="G284" i="2"/>
  <c r="H283" i="2"/>
  <c r="G283" i="2"/>
  <c r="H282" i="2"/>
  <c r="G282" i="2"/>
  <c r="H281" i="2"/>
  <c r="G281" i="2"/>
  <c r="H280" i="2"/>
  <c r="G280" i="2"/>
  <c r="H279" i="2"/>
  <c r="G279" i="2"/>
  <c r="H278" i="2"/>
  <c r="G278" i="2"/>
  <c r="H277" i="2"/>
  <c r="G277" i="2"/>
  <c r="H276" i="2"/>
  <c r="G276" i="2"/>
  <c r="H275" i="2"/>
  <c r="G275" i="2"/>
  <c r="H274" i="2"/>
  <c r="G274" i="2"/>
  <c r="H273" i="2"/>
  <c r="G273" i="2"/>
  <c r="H272" i="2"/>
  <c r="G272" i="2"/>
  <c r="H271" i="2"/>
  <c r="G271" i="2"/>
  <c r="H270" i="2"/>
  <c r="G270" i="2"/>
  <c r="H269" i="2"/>
  <c r="G269" i="2"/>
  <c r="H268" i="2"/>
  <c r="G268" i="2"/>
  <c r="H267" i="2"/>
  <c r="G267" i="2"/>
  <c r="H266" i="2"/>
  <c r="G266" i="2"/>
  <c r="H265" i="2"/>
  <c r="G265" i="2"/>
  <c r="H264" i="2"/>
  <c r="G264" i="2"/>
  <c r="H263" i="2"/>
  <c r="G263" i="2"/>
  <c r="H262" i="2"/>
  <c r="G262" i="2"/>
  <c r="H261" i="2"/>
  <c r="G261" i="2"/>
  <c r="H260" i="2"/>
  <c r="G260" i="2"/>
  <c r="H259" i="2"/>
  <c r="G259" i="2"/>
  <c r="H258" i="2"/>
  <c r="G258" i="2"/>
  <c r="H257" i="2"/>
  <c r="G257" i="2"/>
  <c r="H256" i="2"/>
  <c r="G256" i="2"/>
  <c r="H255" i="2"/>
  <c r="G255" i="2"/>
  <c r="H254" i="2"/>
  <c r="G254" i="2"/>
  <c r="H253" i="2"/>
  <c r="G253" i="2"/>
  <c r="H252" i="2"/>
  <c r="G252" i="2"/>
  <c r="H251" i="2"/>
  <c r="G251" i="2"/>
  <c r="H250" i="2"/>
  <c r="G250" i="2"/>
  <c r="H249" i="2"/>
  <c r="G249" i="2"/>
  <c r="H248" i="2"/>
  <c r="G248" i="2"/>
  <c r="H247" i="2"/>
  <c r="G247" i="2"/>
  <c r="H246" i="2"/>
  <c r="G246" i="2"/>
  <c r="H245" i="2"/>
  <c r="G245" i="2"/>
  <c r="H244" i="2"/>
  <c r="G244" i="2"/>
  <c r="H243" i="2"/>
  <c r="G243" i="2"/>
  <c r="H242" i="2"/>
  <c r="G242" i="2"/>
  <c r="H241" i="2"/>
  <c r="G241" i="2"/>
  <c r="H240" i="2"/>
  <c r="G240" i="2"/>
  <c r="H239" i="2"/>
  <c r="G239" i="2"/>
  <c r="H238" i="2"/>
  <c r="G238" i="2"/>
  <c r="H237" i="2"/>
  <c r="G237" i="2"/>
  <c r="H236" i="2"/>
  <c r="G236" i="2"/>
  <c r="H235" i="2"/>
  <c r="G235" i="2"/>
  <c r="H234" i="2"/>
  <c r="G234" i="2"/>
  <c r="H233" i="2"/>
  <c r="G233" i="2"/>
  <c r="H232" i="2"/>
  <c r="G232" i="2"/>
  <c r="H231" i="2"/>
  <c r="G231" i="2"/>
  <c r="H230" i="2"/>
  <c r="G230" i="2"/>
  <c r="H229" i="2"/>
  <c r="G229" i="2"/>
  <c r="H228" i="2"/>
  <c r="G228" i="2"/>
  <c r="H227" i="2"/>
  <c r="G227" i="2"/>
  <c r="H226" i="2"/>
  <c r="G226" i="2"/>
  <c r="H225" i="2"/>
  <c r="G225" i="2"/>
  <c r="H224" i="2"/>
  <c r="G224" i="2"/>
  <c r="H223" i="2"/>
  <c r="G223" i="2"/>
  <c r="H222" i="2"/>
  <c r="G222" i="2"/>
  <c r="H221" i="2"/>
  <c r="G221" i="2"/>
  <c r="H220" i="2"/>
  <c r="G220" i="2"/>
  <c r="H219" i="2"/>
  <c r="G219" i="2"/>
  <c r="H218" i="2"/>
  <c r="G218" i="2"/>
  <c r="H217" i="2"/>
  <c r="G217" i="2"/>
  <c r="H216" i="2"/>
  <c r="G216" i="2"/>
  <c r="H215" i="2"/>
  <c r="G215" i="2"/>
  <c r="H214" i="2"/>
  <c r="G214" i="2"/>
  <c r="H213" i="2"/>
  <c r="G213" i="2"/>
  <c r="H212" i="2"/>
  <c r="G212" i="2"/>
  <c r="H211" i="2"/>
  <c r="G211" i="2"/>
  <c r="H210" i="2"/>
  <c r="G210" i="2"/>
  <c r="H209" i="2"/>
  <c r="G209" i="2"/>
  <c r="H208" i="2"/>
  <c r="G208" i="2"/>
  <c r="H207" i="2"/>
  <c r="G207" i="2"/>
  <c r="H206" i="2"/>
  <c r="G206" i="2"/>
  <c r="H205" i="2"/>
  <c r="G205" i="2"/>
  <c r="H204" i="2"/>
  <c r="G204" i="2"/>
  <c r="H203" i="2"/>
  <c r="G203" i="2"/>
  <c r="H202" i="2"/>
  <c r="G202" i="2"/>
  <c r="H201" i="2"/>
  <c r="G201" i="2"/>
  <c r="H200" i="2"/>
  <c r="G200" i="2"/>
  <c r="H199" i="2"/>
  <c r="G199" i="2"/>
  <c r="H198" i="2"/>
  <c r="G198" i="2"/>
  <c r="H197" i="2"/>
  <c r="G197" i="2"/>
  <c r="H196" i="2"/>
  <c r="G196" i="2"/>
  <c r="H195" i="2"/>
  <c r="G195" i="2"/>
  <c r="H194" i="2"/>
  <c r="G194" i="2"/>
  <c r="H193" i="2"/>
  <c r="G193" i="2"/>
  <c r="H192" i="2"/>
  <c r="G192" i="2"/>
  <c r="H191" i="2"/>
  <c r="G191" i="2"/>
  <c r="H190" i="2"/>
  <c r="G190" i="2"/>
  <c r="H189" i="2"/>
  <c r="G189" i="2"/>
  <c r="H188" i="2"/>
  <c r="G188" i="2"/>
  <c r="H187" i="2"/>
  <c r="G187" i="2"/>
  <c r="H186" i="2"/>
  <c r="G186" i="2"/>
  <c r="H185" i="2"/>
  <c r="G185" i="2"/>
  <c r="H184" i="2"/>
  <c r="G184" i="2"/>
  <c r="H183" i="2"/>
  <c r="G183" i="2"/>
  <c r="H182" i="2"/>
  <c r="G182" i="2"/>
  <c r="H181" i="2"/>
  <c r="G181" i="2"/>
  <c r="H180" i="2"/>
  <c r="G180" i="2"/>
  <c r="H179" i="2"/>
  <c r="G179" i="2"/>
  <c r="H178" i="2"/>
  <c r="G178" i="2"/>
  <c r="H177" i="2"/>
  <c r="G177" i="2"/>
  <c r="H176" i="2"/>
  <c r="G176" i="2"/>
  <c r="H175" i="2"/>
  <c r="G175" i="2"/>
  <c r="H174" i="2"/>
  <c r="G174" i="2"/>
  <c r="H173" i="2"/>
  <c r="G173" i="2"/>
  <c r="H172" i="2"/>
  <c r="G172" i="2"/>
  <c r="H171" i="2"/>
  <c r="G171" i="2"/>
  <c r="H170" i="2"/>
  <c r="G170" i="2"/>
  <c r="H169" i="2"/>
  <c r="G169" i="2"/>
  <c r="H168" i="2"/>
  <c r="G168" i="2"/>
  <c r="H167" i="2"/>
  <c r="G167" i="2"/>
  <c r="H166" i="2"/>
  <c r="G166" i="2"/>
  <c r="H165" i="2"/>
  <c r="G165" i="2"/>
  <c r="H164" i="2"/>
  <c r="G164" i="2"/>
  <c r="H163" i="2"/>
  <c r="G163" i="2"/>
  <c r="H162" i="2"/>
  <c r="G162" i="2"/>
  <c r="H161" i="2"/>
  <c r="G161" i="2"/>
  <c r="H160" i="2"/>
  <c r="G160" i="2"/>
  <c r="H159" i="2"/>
  <c r="G159" i="2"/>
  <c r="H158" i="2"/>
  <c r="G158" i="2"/>
  <c r="H157" i="2"/>
  <c r="G157" i="2"/>
  <c r="H156" i="2"/>
  <c r="G156" i="2"/>
  <c r="H155" i="2"/>
  <c r="G155" i="2"/>
  <c r="H154" i="2"/>
  <c r="G154" i="2"/>
  <c r="H153" i="2"/>
  <c r="G153" i="2"/>
  <c r="H152" i="2"/>
  <c r="G152" i="2"/>
  <c r="H151" i="2"/>
  <c r="G151" i="2"/>
  <c r="H150" i="2"/>
  <c r="G150" i="2"/>
  <c r="H149" i="2"/>
  <c r="G149" i="2"/>
  <c r="H148" i="2"/>
  <c r="G148" i="2"/>
  <c r="H147" i="2"/>
  <c r="G147" i="2"/>
  <c r="H146" i="2"/>
  <c r="G146" i="2"/>
  <c r="H145" i="2"/>
  <c r="G145" i="2"/>
  <c r="H144" i="2"/>
  <c r="G144" i="2"/>
  <c r="H143" i="2"/>
  <c r="G143" i="2"/>
  <c r="H142" i="2"/>
  <c r="G142" i="2"/>
  <c r="H141" i="2"/>
  <c r="G141" i="2"/>
  <c r="H140" i="2"/>
  <c r="G140" i="2"/>
  <c r="H139" i="2"/>
  <c r="G139" i="2"/>
  <c r="H138" i="2"/>
  <c r="G138" i="2"/>
  <c r="H137" i="2"/>
  <c r="G137" i="2"/>
  <c r="H136" i="2"/>
  <c r="G136" i="2"/>
  <c r="H135" i="2"/>
  <c r="G135" i="2"/>
  <c r="H134" i="2"/>
  <c r="G134" i="2"/>
  <c r="H133" i="2"/>
  <c r="G133" i="2"/>
  <c r="H132" i="2"/>
  <c r="G132" i="2"/>
  <c r="H131" i="2"/>
  <c r="G131" i="2"/>
  <c r="H130" i="2"/>
  <c r="G130" i="2"/>
  <c r="H129" i="2"/>
  <c r="G129" i="2"/>
  <c r="H128" i="2"/>
  <c r="G128" i="2"/>
  <c r="H127" i="2"/>
  <c r="G127" i="2"/>
  <c r="H126" i="2"/>
  <c r="G126" i="2"/>
  <c r="H125" i="2"/>
  <c r="G125" i="2"/>
  <c r="H124" i="2"/>
  <c r="G124" i="2"/>
  <c r="H123" i="2"/>
  <c r="G123" i="2"/>
  <c r="H122" i="2"/>
  <c r="G122" i="2"/>
  <c r="H121" i="2"/>
  <c r="G121" i="2"/>
  <c r="H120" i="2"/>
  <c r="G120" i="2"/>
  <c r="H119" i="2"/>
  <c r="G119" i="2"/>
  <c r="H118" i="2"/>
  <c r="G118" i="2"/>
  <c r="H117" i="2"/>
  <c r="G117" i="2"/>
  <c r="H116" i="2"/>
  <c r="G116" i="2"/>
  <c r="H115" i="2"/>
  <c r="G115" i="2"/>
  <c r="H114" i="2"/>
  <c r="G114" i="2"/>
  <c r="H113" i="2"/>
  <c r="G113" i="2"/>
  <c r="H112" i="2"/>
  <c r="G112" i="2"/>
  <c r="H111" i="2"/>
  <c r="G111" i="2"/>
  <c r="H110" i="2"/>
  <c r="G110" i="2"/>
  <c r="H109" i="2"/>
  <c r="G109" i="2"/>
  <c r="H108" i="2"/>
  <c r="G108" i="2"/>
  <c r="H107" i="2"/>
  <c r="G107" i="2"/>
  <c r="H106" i="2"/>
  <c r="G106" i="2"/>
  <c r="H105" i="2"/>
  <c r="G105" i="2"/>
  <c r="H104" i="2"/>
  <c r="G104" i="2"/>
  <c r="H103" i="2"/>
  <c r="G103" i="2"/>
  <c r="H102" i="2"/>
  <c r="G102" i="2"/>
  <c r="H101" i="2"/>
  <c r="G101" i="2"/>
  <c r="H100" i="2"/>
  <c r="G100" i="2"/>
  <c r="H99" i="2"/>
  <c r="G99" i="2"/>
  <c r="H98" i="2"/>
  <c r="G98" i="2"/>
  <c r="H97" i="2"/>
  <c r="G97" i="2"/>
  <c r="H96" i="2"/>
  <c r="G96" i="2"/>
  <c r="H95" i="2"/>
  <c r="G95" i="2"/>
  <c r="H94" i="2"/>
  <c r="G94" i="2"/>
  <c r="H93" i="2"/>
  <c r="G93" i="2"/>
  <c r="H92" i="2"/>
  <c r="G92" i="2"/>
  <c r="H91" i="2"/>
  <c r="G91" i="2"/>
  <c r="H90" i="2"/>
  <c r="G90" i="2"/>
  <c r="H89" i="2"/>
  <c r="G89" i="2"/>
  <c r="H88" i="2"/>
  <c r="G88" i="2"/>
  <c r="H87" i="2"/>
  <c r="G87" i="2"/>
  <c r="H86" i="2"/>
  <c r="G86" i="2"/>
  <c r="H85" i="2"/>
  <c r="G85" i="2"/>
  <c r="H84" i="2"/>
  <c r="G84" i="2"/>
  <c r="H83" i="2"/>
  <c r="G83" i="2"/>
  <c r="H82" i="2"/>
  <c r="G82" i="2"/>
  <c r="H81" i="2"/>
  <c r="G81" i="2"/>
  <c r="H80" i="2"/>
  <c r="G80" i="2"/>
  <c r="H79" i="2"/>
  <c r="G79" i="2"/>
  <c r="H78" i="2"/>
  <c r="G78" i="2"/>
  <c r="H77" i="2"/>
  <c r="G77" i="2"/>
  <c r="H76" i="2"/>
  <c r="G76" i="2"/>
  <c r="H75" i="2"/>
  <c r="G75" i="2"/>
  <c r="H74" i="2"/>
  <c r="G74" i="2"/>
  <c r="H73" i="2"/>
  <c r="G73" i="2"/>
  <c r="H72" i="2"/>
  <c r="G72" i="2"/>
  <c r="H71" i="2"/>
  <c r="G71" i="2"/>
  <c r="H70" i="2"/>
  <c r="G70" i="2"/>
  <c r="H69" i="2"/>
  <c r="G69" i="2"/>
  <c r="H68" i="2"/>
  <c r="G68" i="2"/>
  <c r="H67" i="2"/>
  <c r="G67" i="2"/>
  <c r="H66" i="2"/>
  <c r="G66" i="2"/>
  <c r="H65" i="2"/>
  <c r="G65" i="2"/>
  <c r="H64" i="2"/>
  <c r="G64" i="2"/>
  <c r="H63" i="2"/>
  <c r="G63" i="2"/>
  <c r="H62" i="2"/>
  <c r="G62" i="2"/>
  <c r="H61" i="2"/>
  <c r="G61" i="2"/>
  <c r="H60" i="2"/>
  <c r="G60" i="2"/>
  <c r="H59" i="2"/>
  <c r="G59" i="2"/>
  <c r="H58" i="2"/>
  <c r="G58" i="2"/>
  <c r="H57" i="2"/>
  <c r="G57" i="2"/>
  <c r="H56" i="2"/>
  <c r="G56" i="2"/>
  <c r="H55" i="2"/>
  <c r="G55" i="2"/>
  <c r="H54" i="2"/>
  <c r="G54" i="2"/>
  <c r="H53" i="2"/>
  <c r="G53" i="2"/>
  <c r="H52" i="2"/>
  <c r="G52" i="2"/>
  <c r="H51" i="2"/>
  <c r="G51" i="2"/>
  <c r="H50" i="2"/>
  <c r="G50" i="2"/>
  <c r="H49" i="2"/>
  <c r="G49" i="2"/>
  <c r="H48" i="2"/>
  <c r="G48" i="2"/>
  <c r="H47" i="2"/>
  <c r="G47" i="2"/>
  <c r="H46" i="2"/>
  <c r="G46" i="2"/>
  <c r="H45" i="2"/>
  <c r="G45" i="2"/>
  <c r="H44" i="2"/>
  <c r="G44" i="2"/>
  <c r="H43" i="2"/>
  <c r="G43" i="2"/>
  <c r="H42" i="2"/>
  <c r="G42" i="2"/>
  <c r="H41" i="2"/>
  <c r="G41" i="2"/>
  <c r="H40" i="2"/>
  <c r="G40" i="2"/>
  <c r="H39" i="2"/>
  <c r="G39" i="2"/>
  <c r="H38" i="2"/>
  <c r="G38" i="2"/>
  <c r="H37" i="2"/>
  <c r="G37" i="2"/>
  <c r="H36" i="2"/>
  <c r="G36" i="2"/>
  <c r="H35" i="2"/>
  <c r="G35" i="2"/>
  <c r="H34" i="2"/>
  <c r="G34" i="2"/>
  <c r="H33" i="2"/>
  <c r="G33" i="2"/>
  <c r="H32" i="2"/>
  <c r="G32" i="2"/>
  <c r="H31" i="2"/>
  <c r="G31" i="2"/>
  <c r="H30" i="2"/>
  <c r="G30" i="2"/>
  <c r="H29" i="2"/>
  <c r="G29" i="2"/>
  <c r="H28" i="2"/>
  <c r="G28" i="2"/>
  <c r="H27" i="2"/>
  <c r="G27" i="2"/>
  <c r="H26" i="2"/>
  <c r="G26" i="2"/>
  <c r="H25" i="2"/>
  <c r="G25" i="2"/>
  <c r="H24" i="2"/>
  <c r="G24" i="2"/>
  <c r="H23" i="2"/>
  <c r="G23" i="2"/>
  <c r="H22" i="2"/>
  <c r="G22" i="2"/>
  <c r="H21" i="2"/>
  <c r="G21" i="2"/>
  <c r="H20" i="2"/>
  <c r="G20" i="2"/>
  <c r="H19" i="2"/>
  <c r="G19" i="2"/>
  <c r="H18" i="2"/>
  <c r="G18" i="2"/>
  <c r="H17" i="2"/>
  <c r="G17" i="2"/>
  <c r="H16" i="2"/>
  <c r="G16" i="2"/>
  <c r="H15" i="2"/>
  <c r="G15" i="2"/>
  <c r="H14" i="2"/>
  <c r="G14" i="2"/>
  <c r="H13" i="2"/>
  <c r="G13" i="2"/>
  <c r="H12" i="2"/>
  <c r="G12" i="2"/>
  <c r="H11" i="2"/>
  <c r="G11" i="2"/>
  <c r="H10" i="2"/>
  <c r="G10" i="2"/>
  <c r="H9" i="2"/>
  <c r="G9" i="2"/>
  <c r="H8" i="2"/>
  <c r="G8" i="2"/>
  <c r="H7" i="2"/>
  <c r="G7" i="2"/>
  <c r="H6" i="2"/>
  <c r="G6" i="2"/>
  <c r="H5" i="2"/>
  <c r="G5" i="2"/>
  <c r="H4" i="2"/>
  <c r="G4" i="2"/>
  <c r="H3" i="2"/>
  <c r="G3" i="2"/>
  <c r="H2" i="2"/>
  <c r="G2" i="2"/>
</calcChain>
</file>

<file path=xl/connections.xml><?xml version="1.0" encoding="utf-8"?>
<connections xmlns="http://schemas.openxmlformats.org/spreadsheetml/2006/main">
  <connection id="1" name="Connection1" type="6" refreshedVersion="0" background="1" saveData="1">
    <textPr fileType="mac" sourceFile="Macintosh HD:Users:travis:Downloads:contents (2).csv">
      <textFields count="12">
        <textField/>
        <textField type="text"/>
        <textField/>
        <textField/>
        <textField/>
        <textField/>
        <textField/>
        <textField/>
        <textField/>
        <textField/>
        <textField/>
        <textField/>
      </textFields>
    </textPr>
  </connection>
</connections>
</file>

<file path=xl/sharedStrings.xml><?xml version="1.0" encoding="utf-8"?>
<sst xmlns="http://schemas.openxmlformats.org/spreadsheetml/2006/main" count="34331" uniqueCount="21035">
  <si>
    <t>The model 20th century speaker : a book of entertainment for home, school and church : recitations, readings, plays, drills, tableux, etc., together with rules for physical culture and for the training of the voice and the use of gesture, according to the Delsarte system /</t>
  </si>
  <si>
    <t>nc01.ark:/13960/t68350x1f</t>
  </si>
  <si>
    <t>012193411</t>
  </si>
  <si>
    <t>Elocutionary studies /</t>
  </si>
  <si>
    <t>uc2.ark:/13960/t73t9q97f</t>
  </si>
  <si>
    <t>ien.35556000984377</t>
  </si>
  <si>
    <t>011919819</t>
  </si>
  <si>
    <t>On sentence-rhythm and word-order in modern English /</t>
  </si>
  <si>
    <t>Western, August.</t>
  </si>
  <si>
    <t>ien.35556005514989</t>
  </si>
  <si>
    <t>011920628</t>
  </si>
  <si>
    <t>ien.35556004818043</t>
  </si>
  <si>
    <t>011920671</t>
  </si>
  <si>
    <t>Kurze englische sprachlehre in beispielen umfassend das nöthigste über aussprache, formen- und satzlehre.</t>
  </si>
  <si>
    <t>Feller, F. E.</t>
  </si>
  <si>
    <t>ien.35556036877280</t>
  </si>
  <si>
    <t>011920957</t>
  </si>
  <si>
    <t>ien.35556035064260</t>
  </si>
  <si>
    <t>011922073</t>
  </si>
  <si>
    <t>The philosophy of the human voice: embracing its physiological history; together with a system of principles, by which criticism in the art of elocution may be rendered intelligible, and instruction, definite and comprehensive. To which is added A brief analysis of song and recitative /</t>
  </si>
  <si>
    <t>ien.35556038199162</t>
  </si>
  <si>
    <t>011922210</t>
  </si>
  <si>
    <t>ien.35556023380298</t>
  </si>
  <si>
    <t>011922216</t>
  </si>
  <si>
    <t>Lives of the poets;</t>
  </si>
  <si>
    <t>ien.35556023380306</t>
  </si>
  <si>
    <t>ien.35556023380314</t>
  </si>
  <si>
    <t>ien.35556038039756</t>
  </si>
  <si>
    <t>011922217</t>
  </si>
  <si>
    <t>ien.35556038039764</t>
  </si>
  <si>
    <t>ien.35556038039772</t>
  </si>
  <si>
    <t>ien.35556038200176</t>
  </si>
  <si>
    <t>011922289</t>
  </si>
  <si>
    <t>Teaching literature in the grammar grades and high school,</t>
  </si>
  <si>
    <t>ien.35556025358003</t>
  </si>
  <si>
    <t>011922307</t>
  </si>
  <si>
    <t>Delsarte system of oratory.</t>
  </si>
  <si>
    <t>ien.35556040112856</t>
  </si>
  <si>
    <t>011922361</t>
  </si>
  <si>
    <t>Disguise plots in Elizabethan drama; a study in stage tradition ...</t>
  </si>
  <si>
    <t>ien.35556040857443</t>
  </si>
  <si>
    <t>011924785</t>
  </si>
  <si>
    <t>Julian of Toledo 'De vitiis et figuris',</t>
  </si>
  <si>
    <t>Julianus,</t>
  </si>
  <si>
    <t>uc1.31158000104520</t>
  </si>
  <si>
    <t>011983096</t>
  </si>
  <si>
    <t>Gymnastics of the voice for song and speech : also a method for the cure of stuttering and stammering /</t>
  </si>
  <si>
    <t>uc1.31158011854709</t>
  </si>
  <si>
    <t>011983830</t>
  </si>
  <si>
    <t>History of the Scottish metrical Psalms; with an account of the paraphrases and hymns, and of the music of the old Psalter.</t>
  </si>
  <si>
    <t>MacMeeken, John West,</t>
  </si>
  <si>
    <t>wu.89006289144</t>
  </si>
  <si>
    <t>011985248</t>
  </si>
  <si>
    <t>wu.89006189781</t>
  </si>
  <si>
    <t>011985301</t>
  </si>
  <si>
    <t>Evangeline and other poems /</t>
  </si>
  <si>
    <t>nc01.ark:/13960/t1hh7nb97</t>
  </si>
  <si>
    <t>012193151</t>
  </si>
  <si>
    <t>The young lady's accidence, or, A short and easy introduction to English grammar : designed principally for the use of young learners, more especially those of the fair sex, though proper for either /</t>
  </si>
  <si>
    <t>inu.30000127827305</t>
  </si>
  <si>
    <t>011821018</t>
  </si>
  <si>
    <t>English literature : from the Norman conquest to Chaucer /</t>
  </si>
  <si>
    <t>inu.30000112051937</t>
  </si>
  <si>
    <t>011823131</t>
  </si>
  <si>
    <t>An American selection of lessons in reading and speaking : calculated to improve the minds and refine the taste of youth : to which are prefixed, rules in elocution, and directions for expressing the principal passions of the mind /</t>
  </si>
  <si>
    <t>inu.30000113491777</t>
  </si>
  <si>
    <t>011823201</t>
  </si>
  <si>
    <t>The speaker; or, miscellaneous pieces, selected from the best English writers, and disposed under proper heads, with a view to facilitate the improvement of youth in reading and speaking. To which are prefixed two essays.</t>
  </si>
  <si>
    <t>inu.30000113491769</t>
  </si>
  <si>
    <t>011823210</t>
  </si>
  <si>
    <t>inu.30000088965888</t>
  </si>
  <si>
    <t>011823294</t>
  </si>
  <si>
    <t>Language for the grades.</t>
  </si>
  <si>
    <t>inu.30000120344845</t>
  </si>
  <si>
    <t>011823490</t>
  </si>
  <si>
    <t>Phonics and reading, for the use of teachers and of students in normal and high schools /</t>
  </si>
  <si>
    <t>Van Liew, C. C.</t>
  </si>
  <si>
    <t>inu.30000120346014</t>
  </si>
  <si>
    <t>011823491</t>
  </si>
  <si>
    <t>Secund fonetic redur.</t>
  </si>
  <si>
    <t>inu.30000120338953</t>
  </si>
  <si>
    <t>011823493</t>
  </si>
  <si>
    <t>inu.30000120496884</t>
  </si>
  <si>
    <t>011823497</t>
  </si>
  <si>
    <t>English grammar, adapted to the different classes of learners : with an appendix, containing rules and observtions for assisting the more advanced students to write with perspicuity and accuracy /</t>
  </si>
  <si>
    <t>inu.30000120496710</t>
  </si>
  <si>
    <t>011823499</t>
  </si>
  <si>
    <t>English grammar by lectures : comprehending the principles and rules of syntactical parsing, on a new and highly impoved system : intended as a text book for students : containing exercises in syntax, rules for parsing by transposition, critical notes, and a lecture on rhetoric /</t>
  </si>
  <si>
    <t>inu.30000118282015</t>
  </si>
  <si>
    <t>011823500</t>
  </si>
  <si>
    <t>inu.30000120153519</t>
  </si>
  <si>
    <t>011823505</t>
  </si>
  <si>
    <t>inu.30000118287469</t>
  </si>
  <si>
    <t>011823568</t>
  </si>
  <si>
    <t>English grammar exercises /</t>
  </si>
  <si>
    <t>uc1.b3862845</t>
  </si>
  <si>
    <t>011878630</t>
  </si>
  <si>
    <t>Political poems and songs relating to English history: composed during the period from the accession of Edw. III. to that of Ric. III;</t>
  </si>
  <si>
    <t>Wright, Thomas,</t>
  </si>
  <si>
    <t>coo.31924105726842</t>
  </si>
  <si>
    <t>inu.30000099958872</t>
  </si>
  <si>
    <t>011814646</t>
  </si>
  <si>
    <t>The elocutionist; a collection of pieces in prose and verse, peculiarly adapted to display the art of reading ... Preceded by an introduction, in which an attempt is made to simplify Walker's system and ... to reduce the number of his rules.</t>
  </si>
  <si>
    <t>inu.30000120316348</t>
  </si>
  <si>
    <t>011814846</t>
  </si>
  <si>
    <t>Berry's spelling book,</t>
  </si>
  <si>
    <t>Elson, William H.</t>
  </si>
  <si>
    <t>inu.30000120337393</t>
  </si>
  <si>
    <t>011814865</t>
  </si>
  <si>
    <t>Elementary lessons in English.</t>
  </si>
  <si>
    <t>inu.30000120337401</t>
  </si>
  <si>
    <t>inu.30000118281884</t>
  </si>
  <si>
    <t>011814872</t>
  </si>
  <si>
    <t>English grammar and composition in which the science of the language is made tributary to the art of expression ; a course of practical lessons carefully graded, and adapted to every-day use in the school-room,</t>
  </si>
  <si>
    <t>inu.30000099956629</t>
  </si>
  <si>
    <t>011817302</t>
  </si>
  <si>
    <t>The principles of speech; a text-book for an introductory course,</t>
  </si>
  <si>
    <t>Merry, Glenn Newton.</t>
  </si>
  <si>
    <t>inu.30000113392512</t>
  </si>
  <si>
    <t>011819691</t>
  </si>
  <si>
    <t>The mystery of rhetorick unveiled; wherein above 130 of the tropes and figures are severally derived from the Greek into English; together, with lively definitions, and variety of Latin, English, and scriptural examples ...</t>
  </si>
  <si>
    <t>Smith, John,</t>
  </si>
  <si>
    <t>inu.30000104887165</t>
  </si>
  <si>
    <t>011819758</t>
  </si>
  <si>
    <t>The new juvenile expositor, or Rational reader, and key to the Juvenile spelling book; comprising the definitions of all the syllabic words in that work ... being American school class book no. 4.</t>
  </si>
  <si>
    <t>inu.30000131063004</t>
  </si>
  <si>
    <t>011820072</t>
  </si>
  <si>
    <t>Dufief's Nature dispayed in her mode of teaching language to man : being a new and infallible method of acquiring languages with unparalled rapidity /</t>
  </si>
  <si>
    <t>inu.30000108822838</t>
  </si>
  <si>
    <t>011820833</t>
  </si>
  <si>
    <t>A grammar of the English language : in a series of letters. Intended for the use of schools and of young persons in general; but more especially for the use of soldiers, sailors, apprentices, and plough-boys. To which are added six lessons, intended to prevent statesmen from using false grammar, and from writing in an awkward manner /</t>
  </si>
  <si>
    <t>wu.89014950323</t>
  </si>
  <si>
    <t>011725763</t>
  </si>
  <si>
    <t>A new grammar of the English tongue, with chapters on composition, versification, paraphrasing and punctuation,</t>
  </si>
  <si>
    <t>wu.89101313435</t>
  </si>
  <si>
    <t>011725765</t>
  </si>
  <si>
    <t>Higher lessons in English : a work on English grammar and composition, in which the science of the language is made tributary to the art of expression : a course of practical lessons carefully graded, and adapted to everyday use in the school-room /</t>
  </si>
  <si>
    <t>wu.89058160995</t>
  </si>
  <si>
    <t>011725766</t>
  </si>
  <si>
    <t>A primer of spoken English /</t>
  </si>
  <si>
    <t>wu.89056424682</t>
  </si>
  <si>
    <t>011725767</t>
  </si>
  <si>
    <t>wu.89081028896</t>
  </si>
  <si>
    <t>011725775</t>
  </si>
  <si>
    <t>wu.89081028920</t>
  </si>
  <si>
    <t>wu.89081028953</t>
  </si>
  <si>
    <t>wu.89001446145</t>
  </si>
  <si>
    <t>011725776</t>
  </si>
  <si>
    <t>English composition in theory and practice,/</t>
  </si>
  <si>
    <t>wu.89079718656</t>
  </si>
  <si>
    <t>011725777</t>
  </si>
  <si>
    <t>wu.89001068303</t>
  </si>
  <si>
    <t>011725778</t>
  </si>
  <si>
    <t>wu.89002339869</t>
  </si>
  <si>
    <t>011725783</t>
  </si>
  <si>
    <t>The king's English /</t>
  </si>
  <si>
    <t>wu.89002154276</t>
  </si>
  <si>
    <t>011725784</t>
  </si>
  <si>
    <t>Historical manual of English prosody /</t>
  </si>
  <si>
    <t>wu.89003586153</t>
  </si>
  <si>
    <t>011725786</t>
  </si>
  <si>
    <t>How to write verse : being studies in the principles and practice of the art of English verse-structure /</t>
  </si>
  <si>
    <t>Northcroft, George J. H.</t>
  </si>
  <si>
    <t>wu.89001446137</t>
  </si>
  <si>
    <t>011726528</t>
  </si>
  <si>
    <t>wu.89119133387</t>
  </si>
  <si>
    <t>011727275</t>
  </si>
  <si>
    <r>
      <t>Chando manjari = Chandomañjar+</t>
    </r>
    <r>
      <rPr>
        <sz val="10"/>
        <rFont val="ヒラギノ角ゴ ProN W6"/>
        <charset val="128"/>
      </rPr>
      <t>_x0001_</t>
    </r>
    <r>
      <rPr>
        <sz val="10"/>
        <rFont val="Verdana"/>
      </rPr>
      <t xml:space="preserve"> : /</t>
    </r>
  </si>
  <si>
    <t>GaE_x001E_g_x0001__x0001_d_x0001__x0001_sa,</t>
  </si>
  <si>
    <t>wu.89004774204</t>
  </si>
  <si>
    <t>011727337</t>
  </si>
  <si>
    <t>The phonetics of French pronunciation : being Longmans' Modern French course. Part 1, Lessons 1-10. in the transcript of the Association Phoneétique.</t>
  </si>
  <si>
    <t>Ahern, I. M. G.</t>
  </si>
  <si>
    <t>coo.31924009605910</t>
  </si>
  <si>
    <t>011742543</t>
  </si>
  <si>
    <t>The foreign sources of modern English versification;</t>
  </si>
  <si>
    <t>coo.31924105726834</t>
  </si>
  <si>
    <t>011742807</t>
  </si>
  <si>
    <t>The makers of modern English; a popular handbook to the greater poets of the century /</t>
  </si>
  <si>
    <t>uc1.b5334383</t>
  </si>
  <si>
    <t>011714542</t>
  </si>
  <si>
    <t>Studies in poetry.</t>
  </si>
  <si>
    <t>uc2.ark:/13960/t9765gm08</t>
  </si>
  <si>
    <t>011715428</t>
  </si>
  <si>
    <t>The labor-saving grammer, designed for schools, families and private learners.</t>
  </si>
  <si>
    <t>uc2.ark:/13960/t07w6c125</t>
  </si>
  <si>
    <t>011715754</t>
  </si>
  <si>
    <t>An index to poetry and recitations : being a practical reference manual for the librarian, teacher, bookseller, elocutionist, etc. ; including over thirty thousand titles from three hundred and sixty-nine books /</t>
  </si>
  <si>
    <t>Granger, Edith.</t>
  </si>
  <si>
    <t>uc1.b4229681</t>
  </si>
  <si>
    <t>011716344</t>
  </si>
  <si>
    <t>Second series of bibliographical collections and notes on early English literature, 1474-1700 /</t>
  </si>
  <si>
    <t>uc2.ark:/13960/t1gh9p877</t>
  </si>
  <si>
    <t>uc2.ark:/13960/t87h1ts1f</t>
  </si>
  <si>
    <t>011716594</t>
  </si>
  <si>
    <t>Check-list or brief catalogue of the English books, 1475-1640, in the Henry E. Huntington Library and Art Gallery : additions and corrections, July, 1919-June 1920 /</t>
  </si>
  <si>
    <t>uc1.31158011308110</t>
  </si>
  <si>
    <t>011719318</t>
  </si>
  <si>
    <t>uc1.31158007444515</t>
  </si>
  <si>
    <t>011719825</t>
  </si>
  <si>
    <t>uc1.l0073265357</t>
  </si>
  <si>
    <t>wu.89050515402</t>
  </si>
  <si>
    <t>011724738</t>
  </si>
  <si>
    <t>The schoolmaster /</t>
  </si>
  <si>
    <t>wu.89003618758</t>
  </si>
  <si>
    <t>011724773</t>
  </si>
  <si>
    <t>wu.89003618774</t>
  </si>
  <si>
    <t>011724774</t>
  </si>
  <si>
    <t>wu.89003727948</t>
  </si>
  <si>
    <t>011725303</t>
  </si>
  <si>
    <t>Elements of phonetics, English, French &amp; German,</t>
  </si>
  <si>
    <t>wu.89003553799</t>
  </si>
  <si>
    <t>011725308</t>
  </si>
  <si>
    <t>How to speak Irish : or, The sounds of the Irish language in theory and practice : a compendium /</t>
  </si>
  <si>
    <t>Daly, Richard.</t>
  </si>
  <si>
    <t>wu.89046649810</t>
  </si>
  <si>
    <t>011725686</t>
  </si>
  <si>
    <t>English humour in phonetic transcript /</t>
  </si>
  <si>
    <t>wu.89050151596</t>
  </si>
  <si>
    <t>011725687</t>
  </si>
  <si>
    <t>The practical elements of rhetoric with illustrative examples.</t>
  </si>
  <si>
    <t>wu.89003585825</t>
  </si>
  <si>
    <t>011725703</t>
  </si>
  <si>
    <t>Rhymes and meters. A practical manual for versifiers.</t>
  </si>
  <si>
    <t>wu.89110085776</t>
  </si>
  <si>
    <t>011725760</t>
  </si>
  <si>
    <t>The history of the English language /</t>
  </si>
  <si>
    <t>wu.89081027625</t>
  </si>
  <si>
    <t>011725761</t>
  </si>
  <si>
    <t>The pictorial grammar /</t>
  </si>
  <si>
    <t>Crowquill, Alfred.</t>
  </si>
  <si>
    <t>wu.89032217796</t>
  </si>
  <si>
    <t>011725762</t>
  </si>
  <si>
    <t>New zetetic method for English and French composition: a series of progressive exercises containing imitations of fables, legends, poems, &amp;c. &amp;c.; also, arguments ...</t>
  </si>
  <si>
    <t>Roux, Alphonse Antoine.</t>
  </si>
  <si>
    <t>coo.31924026933956</t>
  </si>
  <si>
    <t>011666331</t>
  </si>
  <si>
    <t>Introduction to poetry; poetic expression, poetic truth- the progress of poetry.</t>
  </si>
  <si>
    <t>coo.31924027105067</t>
  </si>
  <si>
    <t>011666352</t>
  </si>
  <si>
    <t>The writer's desk book ...</t>
  </si>
  <si>
    <t>coo.31924027105745</t>
  </si>
  <si>
    <t>011666353</t>
  </si>
  <si>
    <t>On poetic interpretation of nature /</t>
  </si>
  <si>
    <t>Shairp, John Campbell,</t>
  </si>
  <si>
    <t>wu.89000721803</t>
  </si>
  <si>
    <t>011679553</t>
  </si>
  <si>
    <t>wu.89001946482</t>
  </si>
  <si>
    <t>011679564</t>
  </si>
  <si>
    <t>Literary remains of Charles Stuart Calverley :</t>
  </si>
  <si>
    <t>wu.89001272731</t>
  </si>
  <si>
    <t>011679597</t>
  </si>
  <si>
    <t>wu.89002110559</t>
  </si>
  <si>
    <t>011679600</t>
  </si>
  <si>
    <t>wu.89001273820</t>
  </si>
  <si>
    <t>011679627</t>
  </si>
  <si>
    <t>The literary remains;</t>
  </si>
  <si>
    <t>uc1.b5192723</t>
  </si>
  <si>
    <t>011681025</t>
  </si>
  <si>
    <t>Culture &amp; anarchy : an essay in political and social criticism ; and Friendship's garland : being the conversations, letters, and opinions of the late Arminius, Baron von Thunderten-Tronckh : collected and edited, with a dedicatory letter to Adolescens Leo, esq., of "The Daily telegraph" /</t>
  </si>
  <si>
    <t>uc1.b5206900</t>
  </si>
  <si>
    <t>011681924</t>
  </si>
  <si>
    <t>The study of poetry,</t>
  </si>
  <si>
    <t>uc1.31158008268566</t>
  </si>
  <si>
    <t>011682476</t>
  </si>
  <si>
    <t>Two lectures introductory to the study of poetry,</t>
  </si>
  <si>
    <t>uc1.31158000568948</t>
  </si>
  <si>
    <t>011682684</t>
  </si>
  <si>
    <t>uc1.l0054867155</t>
  </si>
  <si>
    <t>011682738</t>
  </si>
  <si>
    <t>uc1.l0095454831</t>
  </si>
  <si>
    <t>011682804</t>
  </si>
  <si>
    <t>On the terminology of grammar : being the report of the Joint Committee on Grammatical Terminology.</t>
  </si>
  <si>
    <t>uc1.31158006469067</t>
  </si>
  <si>
    <t>011682811</t>
  </si>
  <si>
    <t>A text-book on rhetoric : supplementing the development of the science with exhaustive practice in Composition : a course of practical lessons adapted for use in high schools and academies and in the lower classes of colleges /</t>
  </si>
  <si>
    <t>uc1.l0068351972</t>
  </si>
  <si>
    <t>011683089</t>
  </si>
  <si>
    <t>The rime-vowels of Cursor mundi; a phonological and etymological investigation.</t>
  </si>
  <si>
    <t>uc1.31158006664030</t>
  </si>
  <si>
    <t>011683116</t>
  </si>
  <si>
    <t>uc1.b5334378</t>
  </si>
  <si>
    <t>011714540</t>
  </si>
  <si>
    <t>Lord Byron's Armenian exercises and poetry.</t>
  </si>
  <si>
    <t>hvd.hx5b1b</t>
  </si>
  <si>
    <t>011636502</t>
  </si>
  <si>
    <t>hvd.hx5az5</t>
  </si>
  <si>
    <t>011636890</t>
  </si>
  <si>
    <t>How to write : a pocket manual of composition and letter-writing ... : to which are added forms for letters of introduction, notes, cards, etc., and a collection of poetical quotations.</t>
  </si>
  <si>
    <t>Jacques, D. H.</t>
  </si>
  <si>
    <t>hvd.hwp9c7</t>
  </si>
  <si>
    <t>011637040</t>
  </si>
  <si>
    <t>History and etymology of the English language.</t>
  </si>
  <si>
    <t>hvd.32044102771474</t>
  </si>
  <si>
    <t>011637160</t>
  </si>
  <si>
    <t>hvd.hwp9cf</t>
  </si>
  <si>
    <t>011637182</t>
  </si>
  <si>
    <t>hvd.hxkcgb</t>
  </si>
  <si>
    <t>011637217</t>
  </si>
  <si>
    <t>hvd.hx51y8</t>
  </si>
  <si>
    <t>011638273</t>
  </si>
  <si>
    <t>hvd.32044102788650</t>
  </si>
  <si>
    <t>011638364</t>
  </si>
  <si>
    <t>The progressive second reader : for our public and private schools : containing exercises in articulation, and easy lessons in reading, spelling, and defining : with original designs and illustrations /</t>
  </si>
  <si>
    <t>hvd.hn6ps3</t>
  </si>
  <si>
    <t>011638473</t>
  </si>
  <si>
    <t>hvd.hx5gb8</t>
  </si>
  <si>
    <t>011641315</t>
  </si>
  <si>
    <t>A critical pronouncing dictionary and expositor of the English language ... : to which is annexed a key to the classical prounciation of Greek, Latin, and Scripture proper names, &amp;c.</t>
  </si>
  <si>
    <t>coo.31924013267285</t>
  </si>
  <si>
    <t>011665280</t>
  </si>
  <si>
    <t>Lives of the English poets. With an introd. by Arthur Waugh.</t>
  </si>
  <si>
    <t>coo.31924013267327</t>
  </si>
  <si>
    <t>011665281</t>
  </si>
  <si>
    <t>The lives of the most eminent English poets.</t>
  </si>
  <si>
    <t>coo.31924060450644</t>
  </si>
  <si>
    <t>coo.31924013348564</t>
  </si>
  <si>
    <t>011665307</t>
  </si>
  <si>
    <t>Development of English literature and language.</t>
  </si>
  <si>
    <t>coo.31924064968609</t>
  </si>
  <si>
    <t>011665431</t>
  </si>
  <si>
    <t>Critical and miscellaneous: Collected and republished (First time, 1839; final, 1869)</t>
  </si>
  <si>
    <t>coo.31924064968617</t>
  </si>
  <si>
    <t>coo.31924064968625</t>
  </si>
  <si>
    <t>coo.31924013460435</t>
  </si>
  <si>
    <t>011665432</t>
  </si>
  <si>
    <t>coo.31924071178317</t>
  </si>
  <si>
    <t>011665866</t>
  </si>
  <si>
    <t>Lectures on the English language. First series.</t>
  </si>
  <si>
    <t>coo.31924071178333</t>
  </si>
  <si>
    <t>011665867</t>
  </si>
  <si>
    <t>coo.31924071178358</t>
  </si>
  <si>
    <t>011665868</t>
  </si>
  <si>
    <t>Day, Henry Noble.</t>
  </si>
  <si>
    <t>coo.31924026521355</t>
  </si>
  <si>
    <t>011666064</t>
  </si>
  <si>
    <t>Elements of French pronunciation and diction,</t>
  </si>
  <si>
    <t>coo.31924026580955</t>
  </si>
  <si>
    <t>011666162</t>
  </si>
  <si>
    <t>Paraphrasing.</t>
  </si>
  <si>
    <t>Webster, Joseph Rowe,</t>
  </si>
  <si>
    <t>coo.31924026634570</t>
  </si>
  <si>
    <t>011666197</t>
  </si>
  <si>
    <t>The national fifth reader : containing a complete and practical treatise on elocution, select and classified exercises in reading and declamation ... : adapted to the use of students in literature /</t>
  </si>
  <si>
    <t>hvd.hn1rvq</t>
  </si>
  <si>
    <t>011633563</t>
  </si>
  <si>
    <t>A selection of one hundred of Perrin's fables : accompanied with a key : containing the text, a literal and a free translation, arranged in such a manner as to point out the difference between the French and the English idiom, also a figured pronunciation of the French, according to the best French works extant on the subject : the whole preceded by a short treatise on the sounds of the French language, compared with those of the English /</t>
  </si>
  <si>
    <t>hvd.hn3klm</t>
  </si>
  <si>
    <t>011633567</t>
  </si>
  <si>
    <t>A selection of one hundred of Perrin's fables, accompanied with a key; containing the text, a literal and a free translation, arranged in such a manner as to point out the difference between the French and the English idiom. Also a figured pronunciation of the French, according to the best French works extant on the subject. The whole preceeded by a short treatise on the sounds of the French language, compared with those of the English.</t>
  </si>
  <si>
    <t>hvd.hw3ed7</t>
  </si>
  <si>
    <t>011633954</t>
  </si>
  <si>
    <t>The standard speaker : containing exercises in prose and poetry for declamation in schools, academies, lyceums, colleges, newly translated or compiled from celebrated orators, authors and popular debaters, ancient and modern, a treatise on oratory and elocution, notes explanatory and biographical /</t>
  </si>
  <si>
    <t>hvd.hn37lg</t>
  </si>
  <si>
    <t>011634763</t>
  </si>
  <si>
    <t>Elements of the English language : or, Analytical orthography; designed to teach the philosophy of orthography and orthoepy, adapted to schools /</t>
  </si>
  <si>
    <t>hvd.hn1jzr</t>
  </si>
  <si>
    <t>011634868</t>
  </si>
  <si>
    <t>An analysis of the derivative words in the English language: or, A key to their precise analytic definitives,</t>
  </si>
  <si>
    <t>hvd.hwskpf</t>
  </si>
  <si>
    <t>011635569</t>
  </si>
  <si>
    <t>The alphabet of orthoëpy and its application to monosyllables.</t>
  </si>
  <si>
    <t>Jones, Judson.</t>
  </si>
  <si>
    <t>hvd.hwnzk9</t>
  </si>
  <si>
    <t>011636413</t>
  </si>
  <si>
    <t>Lectures on language, as particularly connected with English grammar : designed for the use of teachers and advanced learners /</t>
  </si>
  <si>
    <t>hvd.hn61ny</t>
  </si>
  <si>
    <t>011628502</t>
  </si>
  <si>
    <t>Critical and miscellaneous essays : complete in one volume /</t>
  </si>
  <si>
    <t>hvd.hwj9ax</t>
  </si>
  <si>
    <t>011628644</t>
  </si>
  <si>
    <t>A compendious history of English literature, and of the English language, from the Norman conquest : With numerous specimens /</t>
  </si>
  <si>
    <t>hvd.hwj9ay</t>
  </si>
  <si>
    <t>hvd.hx5djm</t>
  </si>
  <si>
    <t>011628994</t>
  </si>
  <si>
    <t>Affixes in their origin and application, exhibiting the etymologic structure of English words.</t>
  </si>
  <si>
    <t>hvd.hwkb4i</t>
  </si>
  <si>
    <t>011629037</t>
  </si>
  <si>
    <t>Lectures on the English poets. /</t>
  </si>
  <si>
    <t>hvd.hwsk4z</t>
  </si>
  <si>
    <t>011629259</t>
  </si>
  <si>
    <t>Vocal culture and elocution: with numerous exercises in reading and speaking,</t>
  </si>
  <si>
    <t>hvd.hn1qc9</t>
  </si>
  <si>
    <t>011629392</t>
  </si>
  <si>
    <t>hvd.32044102769734</t>
  </si>
  <si>
    <t>011629479</t>
  </si>
  <si>
    <t>hvd.32044081501850</t>
  </si>
  <si>
    <t>011629596</t>
  </si>
  <si>
    <t>hvd.hx5dlt</t>
  </si>
  <si>
    <t>011630067</t>
  </si>
  <si>
    <t>The thought and its expression. A grammar after the system introduced into the best schools of Germany.</t>
  </si>
  <si>
    <t>Scheib, Henry.</t>
  </si>
  <si>
    <t>hvd.hnjymb</t>
  </si>
  <si>
    <t>011630191</t>
  </si>
  <si>
    <t>Analysis of French pronunciation.</t>
  </si>
  <si>
    <t>Quimby, Elihu T.</t>
  </si>
  <si>
    <t>hvd.32044022660989</t>
  </si>
  <si>
    <t>011630362</t>
  </si>
  <si>
    <t>The Tâittirîya-Prâtiçâkhya : with its commentary, the Tribhâshyaratna /</t>
  </si>
  <si>
    <t>hvd.hwpa7b</t>
  </si>
  <si>
    <t>011630590</t>
  </si>
  <si>
    <t>A rhyming dictionary : answering at the same time the purposes of spelling and pronouncing the English language on a plan not hitherto attempted to which is added an index to allowable rhymes, with authorities for their usage from our best poets /</t>
  </si>
  <si>
    <t>hvd.hn1r2m</t>
  </si>
  <si>
    <t>011631206</t>
  </si>
  <si>
    <t>hvd.hn1q78</t>
  </si>
  <si>
    <t>011631605</t>
  </si>
  <si>
    <t>The principles of English grammar ...</t>
  </si>
  <si>
    <t>hvd.hxczs9</t>
  </si>
  <si>
    <t>011631610</t>
  </si>
  <si>
    <t>English hexameter translations from Schiller, Göthe, Homer, Callinus, and Meleager.</t>
  </si>
  <si>
    <t>hvd.hn1uel</t>
  </si>
  <si>
    <t>011633365</t>
  </si>
  <si>
    <t>The English reader : or, Pieces in prose and poetry ... /</t>
  </si>
  <si>
    <t>hvd.hw3a2u</t>
  </si>
  <si>
    <t>011633528</t>
  </si>
  <si>
    <t>Introduction to the English reader, or A selection of pieces, in prose and poetry ... To which are added, rules and observations for assisting children to read with propriety ... to which, by the aid of a key, is scrupulously applied Mr. Walkers' pronunciation ...</t>
  </si>
  <si>
    <t>hvd.hn1evk</t>
  </si>
  <si>
    <t>011624504</t>
  </si>
  <si>
    <t>Introduction to the English reader, or A selection of pieces, in prose and poetry, calculated to improve the younger classes of learners in reading, and to imbue their minds with the love of virtue. To which are added, rules and observations for assisting children to read with propriety ... To which, by the aid of a key, is scrupulously applied, Mr. Walker's pronunciation ...</t>
  </si>
  <si>
    <t>hvd.hn1rqn</t>
  </si>
  <si>
    <t>011624506</t>
  </si>
  <si>
    <t>Murray's system of English grammar, improved and adapted to the present mode of instruction in this branch of science. Larger arrangement.</t>
  </si>
  <si>
    <t>hvd.hn1eu2</t>
  </si>
  <si>
    <t>011624618</t>
  </si>
  <si>
    <t>hvd.hn1j1n</t>
  </si>
  <si>
    <t>011624653</t>
  </si>
  <si>
    <t>A selection of one hundred of Perrin's fables, accompanied with a key; containing the text, a literal and a free translation, arranged in such a manner as to point out the difference between the French and the English idiom. Also a figured pronunciation of the French, according to the best French works extant on the subject. The whole preceded by a short treatise on the sounds of the French language, compared with those of the English.</t>
  </si>
  <si>
    <t>hvd.hn1dls</t>
  </si>
  <si>
    <t>011625818</t>
  </si>
  <si>
    <t>hvd.hw22yy</t>
  </si>
  <si>
    <t>011625973</t>
  </si>
  <si>
    <t>hvd.hw3a18</t>
  </si>
  <si>
    <t>011625974</t>
  </si>
  <si>
    <t>Orthophony, or The cultivation of the voice in elocution. A manual of elementary exercises, adapted to Dr. Rush's "Philosophy of the human voice," and the system of vocal culture</t>
  </si>
  <si>
    <t>hvd.32044081497190</t>
  </si>
  <si>
    <t>011628193</t>
  </si>
  <si>
    <t>Weld's progressive English grammar : illustrated with copious exercises in analysis, parsing, and composition : adapted to schools and academies of every grade /</t>
  </si>
  <si>
    <t>hvd.hx5dkm</t>
  </si>
  <si>
    <t>011628324</t>
  </si>
  <si>
    <t>011621172</t>
  </si>
  <si>
    <t>hvd.hn1c37</t>
  </si>
  <si>
    <t>011621215</t>
  </si>
  <si>
    <t>hvd.hn6bxb</t>
  </si>
  <si>
    <t>011621448</t>
  </si>
  <si>
    <t>An abridgment of Lectures on rhetorick /</t>
  </si>
  <si>
    <t>hvd.hn1t3y</t>
  </si>
  <si>
    <t>011621592</t>
  </si>
  <si>
    <t>Multum in parvo. An improved grammar of the English language, for the use of schools and academies.</t>
  </si>
  <si>
    <t>Colegrove, William,</t>
  </si>
  <si>
    <t>hvd.hn1fjq</t>
  </si>
  <si>
    <t>011621752</t>
  </si>
  <si>
    <t>Elements of the art of rhetoric: adapted for use in colleges and academies, and for private study.</t>
  </si>
  <si>
    <t>hvd.hn1ccf</t>
  </si>
  <si>
    <t>011622021</t>
  </si>
  <si>
    <t>The first lines of English grammar; being a brief abstract of the author's larger work, the "Institutes of English grammar." Designed for young learners.</t>
  </si>
  <si>
    <t>hvd.hn2fjq</t>
  </si>
  <si>
    <t>011622126</t>
  </si>
  <si>
    <t>Practical grammar. A grammar of the English language, on an improved plan ...</t>
  </si>
  <si>
    <t>hvd.hn1fkc</t>
  </si>
  <si>
    <t>011622411</t>
  </si>
  <si>
    <t>A French pronouncing grammar for young students. With a vocabulary of the names of familiar objects and conversational phrases.</t>
  </si>
  <si>
    <t>Gibert, M.,</t>
  </si>
  <si>
    <t>hvd.hn1t2b</t>
  </si>
  <si>
    <t>011622446</t>
  </si>
  <si>
    <t>A digest of English grammar, synthetical and analytical ...</t>
  </si>
  <si>
    <t>hvd.hn1f35</t>
  </si>
  <si>
    <t>011622804</t>
  </si>
  <si>
    <t>Rise, progress, and present structure of the English language /</t>
  </si>
  <si>
    <t>hvd.hn1tty</t>
  </si>
  <si>
    <t>011623445</t>
  </si>
  <si>
    <t>hvd.hw22jx</t>
  </si>
  <si>
    <t>011624101</t>
  </si>
  <si>
    <t>The class-book of etymology, designed to promote precision in the use, and facilitate the acquisition of a knowledge of the English language.</t>
  </si>
  <si>
    <t>hvd.hn5ev8</t>
  </si>
  <si>
    <t>011624500</t>
  </si>
  <si>
    <t>English exercises adapted to Murray's English grammar ... Designed for the benefit of private learners as well as for the use of schools.</t>
  </si>
  <si>
    <t>hvd.hn1clk</t>
  </si>
  <si>
    <t>011624501</t>
  </si>
  <si>
    <t>English grammar, adapted to the different classes of learners with an appendix, containing rules and observations, for assisting the more advanced students to write with perspicuity and accuracy.</t>
  </si>
  <si>
    <t>hvd.hn1etg</t>
  </si>
  <si>
    <t>011624503</t>
  </si>
  <si>
    <t>Elements of the English language, or Analytical orthography designed to teach the philosophy of orthography and orthoepy, adapted to schools.</t>
  </si>
  <si>
    <t>hvd.rslgw2</t>
  </si>
  <si>
    <t>011618275</t>
  </si>
  <si>
    <t>hvd.ah5t3s</t>
  </si>
  <si>
    <t>011619072</t>
  </si>
  <si>
    <t>Pulpit elocution: comprising remarks on the effect of manner in public discourse; the elements of elocution, applied to the reading of the Scriptures, hymns, and sermons; with observations on the principles of gesture; and a selection of exercises in reading and speaking.</t>
  </si>
  <si>
    <t>hvd.32044086599172</t>
  </si>
  <si>
    <t>011619334</t>
  </si>
  <si>
    <t>A new and complete guide to the pronunciation and reading of the French language; illustrated with analogous English sounds.</t>
  </si>
  <si>
    <t>Camp, Norman William.</t>
  </si>
  <si>
    <t>hvd.hnkx5v</t>
  </si>
  <si>
    <t>011619449</t>
  </si>
  <si>
    <t>hvd.hwj9az</t>
  </si>
  <si>
    <t>011619639</t>
  </si>
  <si>
    <t>hvd.32044010377299</t>
  </si>
  <si>
    <t>011619841</t>
  </si>
  <si>
    <t>hvd.32044097079826</t>
  </si>
  <si>
    <t>011619854</t>
  </si>
  <si>
    <t>The principles of English grammar : comprising the substance of the most approved English grammars extant : with copious exercises in parsing and syntax : for the use of academies and common schools : a new edition, revised and corrected : with an appendix of various and useful matter /</t>
  </si>
  <si>
    <t>hvd.hn23m9</t>
  </si>
  <si>
    <t>011620021</t>
  </si>
  <si>
    <t>The third primary reader, consisting of extracts in prose and verse. With exercises in enunciation. For the use of the highest classes in primary schools.</t>
  </si>
  <si>
    <t>hvd.hwnqc6</t>
  </si>
  <si>
    <t>011620048</t>
  </si>
  <si>
    <t>The practical elocutionist : or the principles of elocution ... /</t>
  </si>
  <si>
    <t>hvd.32044102771599</t>
  </si>
  <si>
    <t>011620056</t>
  </si>
  <si>
    <t>hvd.hn1rqc</t>
  </si>
  <si>
    <t>hvd.hwnqbh</t>
  </si>
  <si>
    <t>011620450</t>
  </si>
  <si>
    <t>Orthophony; or, The cultivation of the voice, in elocution: a manual of elementary exercises, adapted to Dr. Rush's "Philosophy of the human voice," and the system of vocal culture</t>
  </si>
  <si>
    <t>hvd.hwsika</t>
  </si>
  <si>
    <t>011620611</t>
  </si>
  <si>
    <t>Manual of English pronunciation and spelling : containing a full alphabetical vocabulary of the language, with a preliminary exposition of English orthoëpy and orthography, and designed as a work of reference for general use, and as a text-book in schools /</t>
  </si>
  <si>
    <t>hvd.hn2irx</t>
  </si>
  <si>
    <t>Music of nature, or, An attempt to prove that what is passionate and pleasing in the art of singing, speaking, and performing upon musical instruments, is derived from the sounds of the animated world : with curious and interesting illustrations /</t>
  </si>
  <si>
    <t>hvd.hn6naz</t>
  </si>
  <si>
    <t>011615492</t>
  </si>
  <si>
    <t>Lives of the English poets : with critical observations on their works ; and, Lives of sundry eminent persons /</t>
  </si>
  <si>
    <t>hvd.hn5x1r</t>
  </si>
  <si>
    <t>011616239</t>
  </si>
  <si>
    <t>A short introduction to English grammar; with critical notes.</t>
  </si>
  <si>
    <t>hvd.hn3fxf</t>
  </si>
  <si>
    <t>011616590</t>
  </si>
  <si>
    <t>hvd.hn5wjs</t>
  </si>
  <si>
    <t>011616591</t>
  </si>
  <si>
    <t>An abridgment of English grammar, comprehending the principles and rules of the language. With exercises in orthography, in parsing, in syntax, and in punctuation, designed for the younger classes of learners.</t>
  </si>
  <si>
    <t>hvd.hn5wxc</t>
  </si>
  <si>
    <t>011616592</t>
  </si>
  <si>
    <t>Murray's English exercises, consisting of exercises in parsing ... with which the corresponding notes, rules, and observations in Murray's grammar are incorporated ... Revised, prepared and particularly adapted to the use schools; being a counterpart to the Engish teacher,</t>
  </si>
  <si>
    <t>hvd.hn5wip</t>
  </si>
  <si>
    <t>011616596</t>
  </si>
  <si>
    <t>The English reader, or Pieces in prose and poetry ...</t>
  </si>
  <si>
    <t>hvd.hn5xap</t>
  </si>
  <si>
    <t>011616881</t>
  </si>
  <si>
    <t>The only sure guide to the English tongue, or Perry's new pronouncing spelling book.</t>
  </si>
  <si>
    <t>Perry, William,</t>
  </si>
  <si>
    <t>hvd.hn24l7</t>
  </si>
  <si>
    <t>011617380</t>
  </si>
  <si>
    <t>English grammar on the productive system; a method of instruction recently adopted in Germany and Switzerland, designed for schools and academies.</t>
  </si>
  <si>
    <t>hvd.hn5x2a</t>
  </si>
  <si>
    <t>011617497</t>
  </si>
  <si>
    <t>Parsing book; containing a brief course of syntax, together with selections of prose and poetry for analysis and parsing.</t>
  </si>
  <si>
    <t>hvd.hn5wjz</t>
  </si>
  <si>
    <t>011617513</t>
  </si>
  <si>
    <t>Elements of rhetoric: comprising an analysis of the laws of moral evidence and of persuasion. With rules for argumentative composition and elocution.</t>
  </si>
  <si>
    <t>hvd.hn6bns</t>
  </si>
  <si>
    <t>011617843</t>
  </si>
  <si>
    <t>The philotaxian grammar : being a concise and lucid guide to a knowledge of the English language : containing a new and comprehensive system of parsing, and a complete order for correcting false syntax, and exhibiting the cases of nouns and pronouns, and the moods and tenses of verbs, in a new and systematic arrangement designed for schools and private learners /</t>
  </si>
  <si>
    <t>Howe, Samuel L.</t>
  </si>
  <si>
    <t>hvd.hwkt2h</t>
  </si>
  <si>
    <t>011611723</t>
  </si>
  <si>
    <t>hvd.hwsk54</t>
  </si>
  <si>
    <t>011611793</t>
  </si>
  <si>
    <t>The practical elocutionist, or, The principles of elocution rendered easy of comprehension : with rules for the use of each element of oral expression, practically illustrated in a systematic course of progressive exercises : designed for common schools and academies /</t>
  </si>
  <si>
    <t>Maglathlin, Henry B.</t>
  </si>
  <si>
    <t>hvd.32044097078869</t>
  </si>
  <si>
    <t>011611834</t>
  </si>
  <si>
    <t>hvd.32044097058481</t>
  </si>
  <si>
    <t>011611885</t>
  </si>
  <si>
    <t>Abridgment of Murray's English grammar, with an appendix, containing exercises in orthography, in parsing, in syntax, and in punctuation. Designed for the younger classes of learners.</t>
  </si>
  <si>
    <t>hvd.32044105239875</t>
  </si>
  <si>
    <t>011612167</t>
  </si>
  <si>
    <t>hvd.32044097068027</t>
  </si>
  <si>
    <t>011612277</t>
  </si>
  <si>
    <t>hvd.hn6kdd</t>
  </si>
  <si>
    <t>011612286</t>
  </si>
  <si>
    <t>Elements of rhetoric: comprising an analysis of the laws of moral evidence and of persuasion, with rules for argumentative composition and elocution.</t>
  </si>
  <si>
    <t>hvd.32044024513723</t>
  </si>
  <si>
    <t>011612694</t>
  </si>
  <si>
    <t>English, past and present /</t>
  </si>
  <si>
    <t>hvd.32044086660677</t>
  </si>
  <si>
    <t>011612989</t>
  </si>
  <si>
    <t>Walker's critical pronouncing dictionary and expositor of the English language : abridged for the use of schools : to which is annexed an abridgment of Walker's key to the pronunciation of Greek, Latin, and Scripture proper names.</t>
  </si>
  <si>
    <t>hvd.32044086660685</t>
  </si>
  <si>
    <t>011612991</t>
  </si>
  <si>
    <t>hvd.hwpa6n</t>
  </si>
  <si>
    <t>011613007</t>
  </si>
  <si>
    <t>Rudiments of elocution; founded on Rush's philosophy of the human voice.</t>
  </si>
  <si>
    <t>hvd.hn5x35</t>
  </si>
  <si>
    <t>011613405</t>
  </si>
  <si>
    <t>hvd.hwsmei</t>
  </si>
  <si>
    <t>011614197</t>
  </si>
  <si>
    <t>hvd.hn2wxb</t>
  </si>
  <si>
    <t>011614508</t>
  </si>
  <si>
    <t>hvd.32044086791217</t>
  </si>
  <si>
    <t>011604455</t>
  </si>
  <si>
    <t>Poetical works. To which have been prefixed the connected disquisitions on the rise and progress of English poetry, and on English metres, and some biographic particulars of the author,</t>
  </si>
  <si>
    <t>hvd.32044024156143</t>
  </si>
  <si>
    <t>011604525</t>
  </si>
  <si>
    <t>hvd.hn2dvw</t>
  </si>
  <si>
    <t>hvd.32044097056741</t>
  </si>
  <si>
    <t>011605223</t>
  </si>
  <si>
    <t>Key to the exercises adapted to Murray's English grammar : Calculated to enable private learners to become their own instructers [sic], in grammar and composition. /</t>
  </si>
  <si>
    <t>hvd.32044038405353</t>
  </si>
  <si>
    <t>011606956</t>
  </si>
  <si>
    <t>Exercises in vocal culture : for the use of classes under the instruction of E.C. Mitchell.</t>
  </si>
  <si>
    <t>Mitchell, E. C.</t>
  </si>
  <si>
    <t>hvd.32044038404182</t>
  </si>
  <si>
    <t>011606962</t>
  </si>
  <si>
    <t>English grammar : style, rhetoric, and poetry ; to which are added, Preparatory logic ; and, Advice to the student, on the improvement of the understanding /</t>
  </si>
  <si>
    <t>Hiley, Richard.</t>
  </si>
  <si>
    <t>hvd.hn61ij</t>
  </si>
  <si>
    <t>011607569</t>
  </si>
  <si>
    <t>The imperial dictionary, English, technological, and scientific ...</t>
  </si>
  <si>
    <t>hvd.32044002025005</t>
  </si>
  <si>
    <t>011609570</t>
  </si>
  <si>
    <t>hvd.32044094444528</t>
  </si>
  <si>
    <t>hvd.32044086703071</t>
  </si>
  <si>
    <t>011610501</t>
  </si>
  <si>
    <t>The academical speaker : a selection of extracts in prose and verse, from ancient and modern authors : adapted for exercises in elocution /</t>
  </si>
  <si>
    <t>hvd.hwsk5u</t>
  </si>
  <si>
    <t>011610722</t>
  </si>
  <si>
    <t>Principles of elocution and vocal culture : in which the rules for correct reading and speaking, and directions for improving and strengthening the voice, are given /</t>
  </si>
  <si>
    <t>Atwell, Benjamin W.</t>
  </si>
  <si>
    <t>hvd.hw24y2</t>
  </si>
  <si>
    <t>011610884</t>
  </si>
  <si>
    <t>hvd.32044086857885</t>
  </si>
  <si>
    <t>011610929</t>
  </si>
  <si>
    <t>The bride; a play, in five acts.</t>
  </si>
  <si>
    <t>hvd.32044050785153</t>
  </si>
  <si>
    <t>011610932</t>
  </si>
  <si>
    <t>Visible speech: a new fact demonstrated.</t>
  </si>
  <si>
    <t>hvd.32044088287073</t>
  </si>
  <si>
    <t>011611321</t>
  </si>
  <si>
    <t>hvd.32044097078943</t>
  </si>
  <si>
    <t>011611334</t>
  </si>
  <si>
    <t>English grammar adapted to the different classes of learners with an appendix ...</t>
  </si>
  <si>
    <t>hvd.32044097079867</t>
  </si>
  <si>
    <t>011603650</t>
  </si>
  <si>
    <t>Abridgment of Murray's English grammar, with an appendix containing exercises in orthography, in parsing [etc.]</t>
  </si>
  <si>
    <t>hvd.32044097056667</t>
  </si>
  <si>
    <t>011603666</t>
  </si>
  <si>
    <t>The English reader, or Pieces in prose and poetry, selected from the best writers.</t>
  </si>
  <si>
    <t>hvd.32044097071450</t>
  </si>
  <si>
    <t>011603667</t>
  </si>
  <si>
    <t>hvd.32044102787132</t>
  </si>
  <si>
    <t>011603685</t>
  </si>
  <si>
    <t>Introduction to the English reader, or A selection of pieces in prose and poetry ... To which are added rules and observations for assisting children to read with propriety.</t>
  </si>
  <si>
    <t>hvd.32044097079859</t>
  </si>
  <si>
    <t>011603737</t>
  </si>
  <si>
    <t>An English grammar : comprehending the principles and rules of the language, illustrated by appropriate exercises: on the basis of Murray /</t>
  </si>
  <si>
    <t>Swett, Josiah,</t>
  </si>
  <si>
    <t>hvd.32044097042840</t>
  </si>
  <si>
    <t>011603747</t>
  </si>
  <si>
    <t>A practical guide to English pronunciation : for the use of schools /</t>
  </si>
  <si>
    <t>Stearns, Edward J.</t>
  </si>
  <si>
    <t>hvd.32044097061873</t>
  </si>
  <si>
    <t>011603877</t>
  </si>
  <si>
    <t>hvd.32044081502072</t>
  </si>
  <si>
    <t>011603905</t>
  </si>
  <si>
    <t>The progressive speller : for common schools and academies : a complete key to pronunciation, easy words for primary classes, lessons for spelling and defining, dictation exercises : also exercises in the formation and the analysis of derivative words, thus furnishing a thorough course of instruction in the orthography and orthoepy of the most common words in the English language /</t>
  </si>
  <si>
    <t>hvd.32044097042618</t>
  </si>
  <si>
    <t>011603972</t>
  </si>
  <si>
    <t>hvd.hn2a16</t>
  </si>
  <si>
    <t>hvd.32044102848199</t>
  </si>
  <si>
    <t>011603984</t>
  </si>
  <si>
    <t>The history of English literature.</t>
  </si>
  <si>
    <t>hvd.32044102845930</t>
  </si>
  <si>
    <t>011603996</t>
  </si>
  <si>
    <t>Elements of rhetoric : comprising an analysis of the laws of moral evidence and of persuasion ... /</t>
  </si>
  <si>
    <t>hvd.32044102770104</t>
  </si>
  <si>
    <t>011603997</t>
  </si>
  <si>
    <t>Elements of rhetoric /</t>
  </si>
  <si>
    <t>hvd.32044097071518</t>
  </si>
  <si>
    <t>011604113</t>
  </si>
  <si>
    <t>hvd.32044038405734</t>
  </si>
  <si>
    <t>011604314</t>
  </si>
  <si>
    <t>Eloquence a virtue, or, Outlines of a systematic rhetoric /</t>
  </si>
  <si>
    <t>Theremin, Franz,</t>
  </si>
  <si>
    <t>hvd.32044038403978</t>
  </si>
  <si>
    <t>011604366</t>
  </si>
  <si>
    <t>A digest of English grammar, synthetical and analytical : classified and methodically arranged ; accompanied by a chart of sentences, and adapted to the use of schools /</t>
  </si>
  <si>
    <t>hvd.32044102770633</t>
  </si>
  <si>
    <t>011603066</t>
  </si>
  <si>
    <t>hvd.32044097071633</t>
  </si>
  <si>
    <t>011603070</t>
  </si>
  <si>
    <t>hvd.32044102854429</t>
  </si>
  <si>
    <t>011603071</t>
  </si>
  <si>
    <t>hvd.32044102845955</t>
  </si>
  <si>
    <t>011603128</t>
  </si>
  <si>
    <t>Elements of criticism : with analyses, and translation of ancient and foreign illustrations /</t>
  </si>
  <si>
    <t>hvd.32044102771466</t>
  </si>
  <si>
    <t>011603132</t>
  </si>
  <si>
    <t>A common-school grammar of the English language</t>
  </si>
  <si>
    <t>hvd.32044081501884</t>
  </si>
  <si>
    <t>011603136</t>
  </si>
  <si>
    <t>hvd.32044102787173</t>
  </si>
  <si>
    <t>011603296</t>
  </si>
  <si>
    <t>The child's grammar : corresponding with parsing lessons and forming part of a series for teaching /</t>
  </si>
  <si>
    <t>Lovechild,</t>
  </si>
  <si>
    <t>hvd.32044097056899</t>
  </si>
  <si>
    <t>011603309</t>
  </si>
  <si>
    <t>hvd.32044097041578</t>
  </si>
  <si>
    <t>011603310</t>
  </si>
  <si>
    <t>hvd.32044004825881</t>
  </si>
  <si>
    <t>011603389</t>
  </si>
  <si>
    <t>Sketches of the poetical literature of the past half-century in six lectures /</t>
  </si>
  <si>
    <t>Moir, D. M.</t>
  </si>
  <si>
    <t>hvd.32044102769742</t>
  </si>
  <si>
    <t>011603424</t>
  </si>
  <si>
    <t>Advanced course of composition and rhetoric: a series of practial lessons on the origin, history, and peculiarities of the English language...Adapted to self-instruction, and the use of schools and colleges /</t>
  </si>
  <si>
    <t>hvd.32044102770070</t>
  </si>
  <si>
    <t>011603430</t>
  </si>
  <si>
    <t>First lessons in composition : in which the principles of the art are developed in connection with the principles of grammar : embracing full directions on the subject of punctuation with copious exercises /</t>
  </si>
  <si>
    <t>hvd.32044102846144</t>
  </si>
  <si>
    <t>011603431</t>
  </si>
  <si>
    <t>hvd.32044102770112</t>
  </si>
  <si>
    <t>011603432</t>
  </si>
  <si>
    <t>hvd.32044102846110</t>
  </si>
  <si>
    <t>011603446</t>
  </si>
  <si>
    <t>hvd.32044102771433</t>
  </si>
  <si>
    <t>011603466</t>
  </si>
  <si>
    <t>The metropolitan fifth reader : compiled for the use of colleges, academies, and the higher classes of select and parish schools /</t>
  </si>
  <si>
    <t>hvd.32044097071591</t>
  </si>
  <si>
    <t>011603479</t>
  </si>
  <si>
    <t>hvd.32044081497158</t>
  </si>
  <si>
    <t>011603557</t>
  </si>
  <si>
    <t>Third class reader.</t>
  </si>
  <si>
    <t>hvd.32044097056824</t>
  </si>
  <si>
    <t>011603647</t>
  </si>
  <si>
    <t>English grammar ...</t>
  </si>
  <si>
    <t>hvd.32044097058440</t>
  </si>
  <si>
    <t>011603648</t>
  </si>
  <si>
    <t>hvd.32044102787165</t>
  </si>
  <si>
    <t>011603649</t>
  </si>
  <si>
    <t>A digest of English grammar, synthetical and analytical : classified and methodically arranged : accompanied by a chart of sentences and adapted to the use of schools /</t>
  </si>
  <si>
    <t>hvd.32044021076682</t>
  </si>
  <si>
    <t>011601670</t>
  </si>
  <si>
    <t>hvd.32044020532693</t>
  </si>
  <si>
    <t>011601687</t>
  </si>
  <si>
    <t>hvd.32044019028273</t>
  </si>
  <si>
    <t>011602015</t>
  </si>
  <si>
    <t>Comstock's elocution, enlarged : a system of vocal gymnastics designed for the promotion of health, cure of stammering, and defective articulation ... /</t>
  </si>
  <si>
    <t>hvd.32044105427546</t>
  </si>
  <si>
    <t>hvd.32044028779254</t>
  </si>
  <si>
    <t>011602175</t>
  </si>
  <si>
    <t>Watson's manual of calisthenics : a systematic drill-book without apparatus, for schools, families, and gymnasiums. With music to accompany the exercises ...</t>
  </si>
  <si>
    <t>hvd.32044102770054</t>
  </si>
  <si>
    <t>011602504</t>
  </si>
  <si>
    <t>hvd.32044102770138</t>
  </si>
  <si>
    <t>011602528</t>
  </si>
  <si>
    <t>Lectures on rhetoric and belles lettres. With a memoir of the author's life. To which are added, copious questions; and an analysis of each lecture,</t>
  </si>
  <si>
    <t>hvd.32044097042923</t>
  </si>
  <si>
    <t>011602554</t>
  </si>
  <si>
    <t>Morris's grammar : a philosophical and practical grammar of the English language : dialogically and progressively arranged : in which every word is parsed according to its use /</t>
  </si>
  <si>
    <t>Morris, I. J.</t>
  </si>
  <si>
    <t>hvd.32044102787041</t>
  </si>
  <si>
    <t>011602572</t>
  </si>
  <si>
    <t>An English school grammar : with very copious exercises and a systematic view of the formation and derivation of words : comprising Anglo-Saxon, Latin, &amp; Greek lists, which explain the etymology of above seven thousand English words /</t>
  </si>
  <si>
    <t>hvd.32044086679164</t>
  </si>
  <si>
    <t>011602602</t>
  </si>
  <si>
    <t>The English prosody; with rules deduced from the genius of our language, and the examples of the poets.</t>
  </si>
  <si>
    <t>Humphrey, Asa,</t>
  </si>
  <si>
    <t>hvd.32044081497331</t>
  </si>
  <si>
    <t>011602619</t>
  </si>
  <si>
    <t>The scholar's companion : containing exercises in the orthography, derivation, and classification of English words.</t>
  </si>
  <si>
    <t>hvd.32044102845971</t>
  </si>
  <si>
    <t>011602702</t>
  </si>
  <si>
    <t>hvd.hxjgcb</t>
  </si>
  <si>
    <t>011602716</t>
  </si>
  <si>
    <t>hvd.32044097041644</t>
  </si>
  <si>
    <t>011602724</t>
  </si>
  <si>
    <t>Third book of rational system of English grammar.</t>
  </si>
  <si>
    <t>hvd.32044097041503</t>
  </si>
  <si>
    <t>011602808</t>
  </si>
  <si>
    <t>A dictionary of hymnology setting forth the origin and history of Christian hymns of all ages and nations /</t>
  </si>
  <si>
    <t>uc1.b5046191</t>
  </si>
  <si>
    <t>011596380</t>
  </si>
  <si>
    <t>v.1-2 (1913-14)</t>
  </si>
  <si>
    <t>uc1.b5057550</t>
  </si>
  <si>
    <t>011596621</t>
  </si>
  <si>
    <t>[Pamphlets on German phonetics.</t>
  </si>
  <si>
    <t>uc1.b5060826</t>
  </si>
  <si>
    <t>011596672</t>
  </si>
  <si>
    <t>The etymological spelling-book and expositor : an introduction to the spelling, pronunciation, and derivation of the English language.</t>
  </si>
  <si>
    <t>uc1.b5189976</t>
  </si>
  <si>
    <t>011596759</t>
  </si>
  <si>
    <t>A Shakespearian grammar ; an attempt to illustrate some of the differences between Elizabethan and modern English ; for the use of schools /</t>
  </si>
  <si>
    <t>hvd.32044102770088</t>
  </si>
  <si>
    <t>011600746</t>
  </si>
  <si>
    <t>hvd.32044018842971</t>
  </si>
  <si>
    <t>011600992</t>
  </si>
  <si>
    <t>Guide to the Anglo-Saxon tongue : a grammar after Erasmus Rask /</t>
  </si>
  <si>
    <t>hvd.32044081497273</t>
  </si>
  <si>
    <t>011601009</t>
  </si>
  <si>
    <t>Pinneo's primary grammar of the English language : for beginners /</t>
  </si>
  <si>
    <t>hvd.32044097056832</t>
  </si>
  <si>
    <t>011601500</t>
  </si>
  <si>
    <t>A practical grammar of the English language : accompanied with notes, critical and explanatory /</t>
  </si>
  <si>
    <t>Nutting, Rufus,</t>
  </si>
  <si>
    <t>hvd.32044038404117</t>
  </si>
  <si>
    <t>011601536</t>
  </si>
  <si>
    <t>hvd.32044038404125</t>
  </si>
  <si>
    <t>hvd.32044097056568</t>
  </si>
  <si>
    <t>011601537</t>
  </si>
  <si>
    <t>An abridgment of Murray's English grammar : with an appendix : containing an exemplification of the parts of speech, and exercises in syntax : designed for the use of the younger class of learners /</t>
  </si>
  <si>
    <t>hvd.32044102771458</t>
  </si>
  <si>
    <t>011601542</t>
  </si>
  <si>
    <t>A shorter course in English grammar /</t>
  </si>
  <si>
    <t>hvd.32044081497067</t>
  </si>
  <si>
    <t>011601587</t>
  </si>
  <si>
    <t>Parsing book : containing a brief course of syntax : together with selections of prose and poetry for analysis and parsing /</t>
  </si>
  <si>
    <t>hvd.32044102770583</t>
  </si>
  <si>
    <t>011601588</t>
  </si>
  <si>
    <t>An elementary grammar of the English language : for the use of schools /</t>
  </si>
  <si>
    <t>hvd.32044079732996</t>
  </si>
  <si>
    <t>011601599</t>
  </si>
  <si>
    <t>An essay on the study of the Latin language in our schools and colleges : at the expense of writing and speaking in English, especially extemporaneously /</t>
  </si>
  <si>
    <t>Merrill, Thomas A.</t>
  </si>
  <si>
    <t>hvd.32044097041479</t>
  </si>
  <si>
    <t>011601602</t>
  </si>
  <si>
    <t>An English grammar, in three books, developing the new science, made up of those constructive principles which form a sure guide in using the English language ... Book I.</t>
  </si>
  <si>
    <t>Book 1</t>
  </si>
  <si>
    <t>hvd.hn1rq2</t>
  </si>
  <si>
    <t>011567124</t>
  </si>
  <si>
    <t>A treatise on the structure of the English language, or, The analysis and classification of sentences with their component parts : with illustrations and exercises : adapted to the use of schools /</t>
  </si>
  <si>
    <t>hvd.hn1t2i</t>
  </si>
  <si>
    <t>011567125</t>
  </si>
  <si>
    <t>A treatise on the structure of the English language ; or, The analysis and classification of sentences and their component parts : with illustrations and exercises adapted to the use of schools /</t>
  </si>
  <si>
    <t>hvd.hn5yw3</t>
  </si>
  <si>
    <t>011568573</t>
  </si>
  <si>
    <t>Easy instructions for the general education of children and youth : for usefulness, honor and happiness, in the home school or common school : including all that is requisite for primary books in reading, spelling, English grammar, good manners ... in which is found an American plan for reforming thoroughly the writing &amp; printing of our language, for common use ... /</t>
  </si>
  <si>
    <t>Rich, Ezekiel.</t>
  </si>
  <si>
    <t>hvd.hn1ssn</t>
  </si>
  <si>
    <t>011569091</t>
  </si>
  <si>
    <t>hvd.hn3q6h</t>
  </si>
  <si>
    <t>011569116</t>
  </si>
  <si>
    <t>hvd.32044081501959</t>
  </si>
  <si>
    <t>011569716</t>
  </si>
  <si>
    <t>The progressive fifth, or, Elocutionary reader : in which the principles of elocution are illustrated by reading exercises in connection with the rules : for the use of schools and academies /</t>
  </si>
  <si>
    <t>hvd.32044025676198</t>
  </si>
  <si>
    <t>011570664</t>
  </si>
  <si>
    <t>Comstock's phonetic magazine.</t>
  </si>
  <si>
    <t>v.1 (1846-47)</t>
  </si>
  <si>
    <t>hvd.32044025676206</t>
  </si>
  <si>
    <t>v.2 (1847-48)</t>
  </si>
  <si>
    <t>uc1.b4802939</t>
  </si>
  <si>
    <t>011589367</t>
  </si>
  <si>
    <t>The "act time" in Elizabethan theatres.</t>
  </si>
  <si>
    <t>Graves, Thornton Shirley,</t>
  </si>
  <si>
    <t>uc1.b4822957</t>
  </si>
  <si>
    <t>011589922</t>
  </si>
  <si>
    <t>The lives of the most eminent English poets: with critical observations on their works.</t>
  </si>
  <si>
    <t>uc1.b4822958</t>
  </si>
  <si>
    <t>uc1.b4822959</t>
  </si>
  <si>
    <t>uc1.31158007527590</t>
  </si>
  <si>
    <t>011590491</t>
  </si>
  <si>
    <t>uc1.l0098676067</t>
  </si>
  <si>
    <t>uc1.b4866332</t>
  </si>
  <si>
    <t>011594639</t>
  </si>
  <si>
    <t>uc1.l0096663364</t>
  </si>
  <si>
    <t>011595137</t>
  </si>
  <si>
    <t>The Psalms in metre /</t>
  </si>
  <si>
    <t>hvd.hwubf4</t>
  </si>
  <si>
    <t>011563942</t>
  </si>
  <si>
    <t>The principles of grammar: being a compendious treatise on the languages, English, Latin and Greek.</t>
  </si>
  <si>
    <t>hvd.hwskfj</t>
  </si>
  <si>
    <t>011563991</t>
  </si>
  <si>
    <t>Analysis of the elementary sounds of the English language : designed to accompany a chart of the same, with Worcester's notation /</t>
  </si>
  <si>
    <t>Leonard, L. W.</t>
  </si>
  <si>
    <t>hvd.hwknnm</t>
  </si>
  <si>
    <t>011564374</t>
  </si>
  <si>
    <t>Conversations on some of the old poets /</t>
  </si>
  <si>
    <t>hvd.32044100038637</t>
  </si>
  <si>
    <t>011564381</t>
  </si>
  <si>
    <t>The English language in its elements and forms : with a history of its origin and development : designed for use in colleges and schools /</t>
  </si>
  <si>
    <t>hvd.hwk7jl</t>
  </si>
  <si>
    <t>hvd.hwm4pp</t>
  </si>
  <si>
    <t>011564707</t>
  </si>
  <si>
    <t>History of the Greek alphabet and pronunciation /</t>
  </si>
  <si>
    <t>hvd.hn1fj9</t>
  </si>
  <si>
    <t>011564767</t>
  </si>
  <si>
    <t>hvd.hn24na</t>
  </si>
  <si>
    <t>hvd.hn24nc</t>
  </si>
  <si>
    <t>hvd.hwskke</t>
  </si>
  <si>
    <t>011564956</t>
  </si>
  <si>
    <t>Furst f[o]netic r[ea]dur.</t>
  </si>
  <si>
    <t>hvd.hwkt13</t>
  </si>
  <si>
    <t>011564965</t>
  </si>
  <si>
    <t>Evangeline : a tale of Arcadie /</t>
  </si>
  <si>
    <t>hvd.hwkt37</t>
  </si>
  <si>
    <t>011564967</t>
  </si>
  <si>
    <t>hvd.hwsk5c</t>
  </si>
  <si>
    <t>011565092</t>
  </si>
  <si>
    <t>hvd.32044097062426</t>
  </si>
  <si>
    <t>011565177</t>
  </si>
  <si>
    <t>hvd.hwshiw</t>
  </si>
  <si>
    <t>hvd.hn1dcz</t>
  </si>
  <si>
    <t>011565211</t>
  </si>
  <si>
    <t>English grammar, adapted to the different classes of learners. With an appendix, containing rules and observations for assisting the more advanced students.</t>
  </si>
  <si>
    <t>hvd.hn23hc</t>
  </si>
  <si>
    <t>011565327</t>
  </si>
  <si>
    <t>The gradual reader, first step, or, Exercises in articulation : designed to develop and strengthen the organs of speech, and to facilitate the correct utterance of the elementary sounds and their combinations : with reading lessons for pupils in the younger classes /</t>
  </si>
  <si>
    <t>hvd.ah3m3t</t>
  </si>
  <si>
    <t>011565612</t>
  </si>
  <si>
    <t>A new elucidation of the principles of speech and elocution : a full theoretical development, with numerous practical exercises, for the correction of imperfect, or the relief of impeded utterance, and for the general improvement of reading and speaking; the whole forming a complete directory for articulation, and expressive, oral delivery /</t>
  </si>
  <si>
    <t>hvd.hwp99b</t>
  </si>
  <si>
    <t>011565796</t>
  </si>
  <si>
    <t>hvd.hn1rab</t>
  </si>
  <si>
    <t>011566755</t>
  </si>
  <si>
    <t>011556676</t>
  </si>
  <si>
    <t>A bibliographical and critical account of the rarest books in the English language, alphabetically arranged : which, during the last fifty years, have come under the observation of J. Payne Collier ...</t>
  </si>
  <si>
    <t>hvd.hwj9cb</t>
  </si>
  <si>
    <t>hvd.32044097043038</t>
  </si>
  <si>
    <t>011557244</t>
  </si>
  <si>
    <t>A new system of English grammar : by the study of which youths and adults may become accomplished grammarians in three or four months, without the aid of a teacher /</t>
  </si>
  <si>
    <t>Caldwell, Sidney S.</t>
  </si>
  <si>
    <t>hvd.32044102770013</t>
  </si>
  <si>
    <t>011557653</t>
  </si>
  <si>
    <t>hvd.hn1szv</t>
  </si>
  <si>
    <t>011557943</t>
  </si>
  <si>
    <t>Weld's English grammar : illustrated by exercises in composition, analyzing and parsing /</t>
  </si>
  <si>
    <t>hvd.hn1s6d</t>
  </si>
  <si>
    <t>011557944</t>
  </si>
  <si>
    <t>hvd.hx6he3</t>
  </si>
  <si>
    <t>011558635</t>
  </si>
  <si>
    <t>A pronouncing and defining dictionary of the English language : abridged from Webster's American dictionary, with numerous synonyms, carefully discriminated /</t>
  </si>
  <si>
    <t>hvd.hn3qwp</t>
  </si>
  <si>
    <t>011559068</t>
  </si>
  <si>
    <t>The institutes of English grammar, methodically arranged; with forms of parsing and correcting, examples for parsing, questions for examination ... designed for the use of schools, academies, and private learners...</t>
  </si>
  <si>
    <t>hvd.hn5wil</t>
  </si>
  <si>
    <t>011559236</t>
  </si>
  <si>
    <t>An abridgment of lectures on rhetoric.</t>
  </si>
  <si>
    <t>hvd.hn1cdf</t>
  </si>
  <si>
    <t>011559253</t>
  </si>
  <si>
    <t>Analysis of the English language, with a complete classification of sentences and phrases according to their grammatical structure; designed as an introduction to English grammar.</t>
  </si>
  <si>
    <t>hvd.hn1fjn</t>
  </si>
  <si>
    <t>011559290</t>
  </si>
  <si>
    <t>Analysis, parsing and coposition : with direct references to the common school grammar and analytical and practical English grammar of Dr. Bullion' series : also adapted to any correct grammar of the English language /</t>
  </si>
  <si>
    <t>Cruikshank, James.</t>
  </si>
  <si>
    <t>hvd.hn23ir</t>
  </si>
  <si>
    <t>011559295</t>
  </si>
  <si>
    <t>A rhetorical grammar of the English language.</t>
  </si>
  <si>
    <t>Cruttenden, D. H.</t>
  </si>
  <si>
    <t>hvd.hn1dby</t>
  </si>
  <si>
    <t>011561860</t>
  </si>
  <si>
    <t>Thomas, Joseph,</t>
  </si>
  <si>
    <t>hvd.hn1cxp</t>
  </si>
  <si>
    <t>011562093</t>
  </si>
  <si>
    <t>The history of English poetry, from the eleventh to the seventeenth century.</t>
  </si>
  <si>
    <t>hvd.ah5kep</t>
  </si>
  <si>
    <t>011563525</t>
  </si>
  <si>
    <t>hvd.hn1ne4</t>
  </si>
  <si>
    <t>011553249</t>
  </si>
  <si>
    <t>hvd.hn1ne5</t>
  </si>
  <si>
    <t>hvd.hn1dnb</t>
  </si>
  <si>
    <t>011553399</t>
  </si>
  <si>
    <t>Orthophony, or, The cultivation of the voice in elocution : a manual of elementary exercises adapted to Dr. Rush's "Philosophy of the human voice" and the system of vocal culture introduced by Mr. James Murdoch : designed as an introduction to Russell's "American elocutionist" /</t>
  </si>
  <si>
    <t>hvd.hn5bhe</t>
  </si>
  <si>
    <t>011553400</t>
  </si>
  <si>
    <t>hvd.hn1dmy</t>
  </si>
  <si>
    <t>011553865</t>
  </si>
  <si>
    <t>hvd.hn1dnj</t>
  </si>
  <si>
    <t>hvd.hn1jkw</t>
  </si>
  <si>
    <t>011553895</t>
  </si>
  <si>
    <t>hvd.hn2nn6</t>
  </si>
  <si>
    <t>011554040</t>
  </si>
  <si>
    <t>English grammar on the productive system: a method of instruction recently adopted in Germany and Switzerland, designed for schools and academies.</t>
  </si>
  <si>
    <t>hvd.hw22zi</t>
  </si>
  <si>
    <t>011554042</t>
  </si>
  <si>
    <t>Orthophony, or the cultivation of the voice in elocution; a manual of elementary exercises, adapted to Rush's "Philosophy of the human voice," and the system of vocal culture</t>
  </si>
  <si>
    <t>hvd.hn24kn</t>
  </si>
  <si>
    <t>011554116</t>
  </si>
  <si>
    <t>The history of English literature; with an outline of the origin and growth of the English language.</t>
  </si>
  <si>
    <t>hvd.hn1x2a</t>
  </si>
  <si>
    <t>011554291</t>
  </si>
  <si>
    <t>hvd.32044097057558</t>
  </si>
  <si>
    <t>011556279</t>
  </si>
  <si>
    <t>The critical pronouncing spelling-book : containing the rudiments of the English language, to which are prefixed, the principles of English pronunciation : compiled for the use of schools, in the United States and Great Britain /</t>
  </si>
  <si>
    <t>hvd.32044014716013</t>
  </si>
  <si>
    <t>011556284</t>
  </si>
  <si>
    <t>The American elocutionist : comprising "Lessons in enunciation', "Exercises in elocution", and "Rudiments of gesture", with a selection of new pieces for practice in reading and declamation... : designed for colleges, professional institutions, academies and common schools /</t>
  </si>
  <si>
    <t>hvd.hwkc3v</t>
  </si>
  <si>
    <t>011556316</t>
  </si>
  <si>
    <t>A Shakespearian grammar : an attempt to illustrate some of the differences between Elizabethan and modern English : for the use of schools /</t>
  </si>
  <si>
    <t>hvd.hn1xpi</t>
  </si>
  <si>
    <t>011556412</t>
  </si>
  <si>
    <t>An introductory treatise on elocution : with principles and illustration : arranged for teaching and practice /</t>
  </si>
  <si>
    <t>hvd.hwhrf1</t>
  </si>
  <si>
    <t>hvd.hwj9bl</t>
  </si>
  <si>
    <t>Analytical sixth reader : containing an introductory article on the general principles of elocution, with a thorough method of analysis, intended to develop the pupil's appreciation of the thought and emotion, and a critical phonic analysis of English words : designed for the use of normal and high schools, and the highest classes in common schools /</t>
  </si>
  <si>
    <t>Edwards, Richard,</t>
  </si>
  <si>
    <t>hvd.hn1rnx</t>
  </si>
  <si>
    <t>011551030</t>
  </si>
  <si>
    <t>A grammar of the English language, adpated to the use of schools and academies.</t>
  </si>
  <si>
    <t>hvd.hn1mwq</t>
  </si>
  <si>
    <t>011551031</t>
  </si>
  <si>
    <t>hvd.hn1rp5</t>
  </si>
  <si>
    <t>011551035</t>
  </si>
  <si>
    <t>hvd.hn1dhg</t>
  </si>
  <si>
    <t>011551296</t>
  </si>
  <si>
    <t>Rhetoric : a text-book designed for use in schools and colleges and for private study /</t>
  </si>
  <si>
    <t>hvd.hn1qea</t>
  </si>
  <si>
    <t>011552011</t>
  </si>
  <si>
    <t>A practical grammar of the English language in which the principles established by Lindley Murray are inculcated and the theory of the modes clearly illustrated by diagrams ...</t>
  </si>
  <si>
    <t>hvd.hn6q9s</t>
  </si>
  <si>
    <t>011552217</t>
  </si>
  <si>
    <t>Dictionary of the English language for the use of schools and general students.</t>
  </si>
  <si>
    <t>hvd.hn2gxw</t>
  </si>
  <si>
    <t>011552218</t>
  </si>
  <si>
    <t>The lives of the most eminent English poets, with critical observations on their works.</t>
  </si>
  <si>
    <t>hvd.hn2gxx</t>
  </si>
  <si>
    <t>hvd.hn2gxy</t>
  </si>
  <si>
    <t>hvd.ah62kv</t>
  </si>
  <si>
    <t>011552333</t>
  </si>
  <si>
    <t>A help in acquiring a knowledge of the English language : designed for the benefit of those in this country who wish to study the English language and science.</t>
  </si>
  <si>
    <t>hvd.hn2iwm</t>
  </si>
  <si>
    <t>011552402</t>
  </si>
  <si>
    <t>hvd.hw22k2</t>
  </si>
  <si>
    <t>011552406</t>
  </si>
  <si>
    <t>The first book of etymology : designed to promote precision in the use, and facilitate the acquisition of a knowledge of the English language. For beginners. On the basis of "The first book of etymology /</t>
  </si>
  <si>
    <t>hvd.hw22je</t>
  </si>
  <si>
    <t>011552408</t>
  </si>
  <si>
    <t>The first book of etymology : designed to promote precision in the use, and facilitate the acquisition of a knowledge of the English language : for beginners /</t>
  </si>
  <si>
    <t>hvd.hn6ebc</t>
  </si>
  <si>
    <t>011552751</t>
  </si>
  <si>
    <t>Murray's English grammar simplified designed to facilitate the study of the English language ... Abridged for the use of schools</t>
  </si>
  <si>
    <t>hvd.hwhh7l</t>
  </si>
  <si>
    <t>011547854</t>
  </si>
  <si>
    <t>hvd.hwsue3</t>
  </si>
  <si>
    <t>011547866</t>
  </si>
  <si>
    <t>hvd.hn641h</t>
  </si>
  <si>
    <t>011547906</t>
  </si>
  <si>
    <t>hvd.32044102856515</t>
  </si>
  <si>
    <t>011548163</t>
  </si>
  <si>
    <t>The translator, English into French. Selections from the best English prose writers, with principles of translation, idiomatic phrases, and notes.</t>
  </si>
  <si>
    <t>hvd.hwshs1</t>
  </si>
  <si>
    <t>hvd.32044097062111</t>
  </si>
  <si>
    <t>011548250</t>
  </si>
  <si>
    <t>Elements of Latin pronunciation : for the use of students in language, law, medicine, zoology, botany, and the sciences generally in which Latin words are used /</t>
  </si>
  <si>
    <t>hvd.hwsjky</t>
  </si>
  <si>
    <t>hvd.hw22c8</t>
  </si>
  <si>
    <t>011548393</t>
  </si>
  <si>
    <t>The institutes of English grammar, methodically arranged : with forms of parsing and correcting, examples for parsing, questions for examination, false syntax for correction, exercises for writing, observations for the advanced student, five methods of analysis, and a key to the oral exercises : to which are added four appendixes, designed for the use of schools, academies, and private learners /</t>
  </si>
  <si>
    <t>hvd.hn6qbt</t>
  </si>
  <si>
    <t>011548592</t>
  </si>
  <si>
    <t>First lessons in grammar, based upon the construction and analysis of sentences; Designed as an introduction to the "Analysis of sentences".</t>
  </si>
  <si>
    <t>hvd.hwksxz</t>
  </si>
  <si>
    <t>011548600</t>
  </si>
  <si>
    <t>hvd.hn1eut</t>
  </si>
  <si>
    <t>011548607</t>
  </si>
  <si>
    <t>The third primary reader; consisting of extracts in prose and verse. With exercises in enunciation. For the use of the highest classes in primary schools.</t>
  </si>
  <si>
    <t>hvd.hw235l</t>
  </si>
  <si>
    <t>011548660</t>
  </si>
  <si>
    <t>hvd.32044089057772</t>
  </si>
  <si>
    <t>011548879</t>
  </si>
  <si>
    <t>hvd.hw1yv7</t>
  </si>
  <si>
    <t>011548891</t>
  </si>
  <si>
    <t>hvd.hwpa7d</t>
  </si>
  <si>
    <t>011549426</t>
  </si>
  <si>
    <t>The art of elocution : from the simple articulation of the elemental sounds of language, up to the highest tone of expression in speech attainable by the human voice.</t>
  </si>
  <si>
    <t>Vanderhoff, George,</t>
  </si>
  <si>
    <t>hvd.hwsk5k</t>
  </si>
  <si>
    <t>011549593</t>
  </si>
  <si>
    <t>Rudiments of elocution: founded on Rush's Philosophy of the human voice.</t>
  </si>
  <si>
    <t>Weston, Sullivan Hardy,</t>
  </si>
  <si>
    <t>hvd.hn1rct</t>
  </si>
  <si>
    <t>011550020</t>
  </si>
  <si>
    <t>hvd.hn1qct</t>
  </si>
  <si>
    <t>011550517</t>
  </si>
  <si>
    <t>Lectures on rhetoric and belles lettres. /</t>
  </si>
  <si>
    <t>hvd.hw22bj</t>
  </si>
  <si>
    <t>011542388</t>
  </si>
  <si>
    <t>Brown's Small grammar improved. The first lines of English grammar; being a brief abstract of the author's larger work, the "Institutes of English grammar." Designed for young learners.</t>
  </si>
  <si>
    <t>hvd.hn2zza</t>
  </si>
  <si>
    <t>011542390</t>
  </si>
  <si>
    <t>The grammar of English grammars : with an introduction, historical and critical; the whole methodically arranged and amply illustrated ... and a key to the oral exercises : to which are added four appendixes, pertaining separately to the four parts of grammar /</t>
  </si>
  <si>
    <t>hvd.hn6qbs</t>
  </si>
  <si>
    <t>011543481</t>
  </si>
  <si>
    <t>First lessons in grammar : based upon the construction and analysis of sentences designed as an introduction to the "analysis of sentences" /</t>
  </si>
  <si>
    <t>hvd.hn5jyl</t>
  </si>
  <si>
    <t>011543534</t>
  </si>
  <si>
    <t>hvd.hn5jym</t>
  </si>
  <si>
    <t>hvd.hn5jyn</t>
  </si>
  <si>
    <t>hvd.hn5jyp</t>
  </si>
  <si>
    <t>hvd.hn5x1q</t>
  </si>
  <si>
    <t>011544836</t>
  </si>
  <si>
    <t>A short introduction to English grammar with critical notes.</t>
  </si>
  <si>
    <t>hvd.32044043939610</t>
  </si>
  <si>
    <t>011544857</t>
  </si>
  <si>
    <t>Elements of musical enunciation /</t>
  </si>
  <si>
    <t>hvd.hn1kht</t>
  </si>
  <si>
    <t>011545065</t>
  </si>
  <si>
    <t>An introduction to the orthography and pronunciation of the English language.</t>
  </si>
  <si>
    <t>Muenscher, Joseph,</t>
  </si>
  <si>
    <t>hvd.hn3fxg</t>
  </si>
  <si>
    <t>011545154</t>
  </si>
  <si>
    <t>An abridgment of L. Murray's English grammar, with alterations and improvements, designed for the use of the younger class learners,</t>
  </si>
  <si>
    <t>hvd.hn6q99</t>
  </si>
  <si>
    <t>011545155</t>
  </si>
  <si>
    <t>Abridgment of Murray's English grammar. With an appendix, containing exercises in orthography, in parsing, in syntax, and in punctuation. Designed for the younger classes of learners.</t>
  </si>
  <si>
    <t>hvd.hn5x57</t>
  </si>
  <si>
    <t>011545157</t>
  </si>
  <si>
    <t>hvd.hn24l2</t>
  </si>
  <si>
    <t>011545699</t>
  </si>
  <si>
    <t>hvd.hw2c78</t>
  </si>
  <si>
    <t>011546825</t>
  </si>
  <si>
    <t>hvd.hn6ps4</t>
  </si>
  <si>
    <t>011547587</t>
  </si>
  <si>
    <t>Introductory lessons in English grammar /</t>
  </si>
  <si>
    <t>hvd.32044096987805</t>
  </si>
  <si>
    <t>011547698</t>
  </si>
  <si>
    <t>The principles of grammar : being a compendious treatise on the languages, English, Latin, Greek, German, Spanish, and French : founded on the immutable principle of the relation which one word sustains to another ... /</t>
  </si>
  <si>
    <t>hvd.hwubf3</t>
  </si>
  <si>
    <t>hvd.32044094195120</t>
  </si>
  <si>
    <t>011533755</t>
  </si>
  <si>
    <t>hvd.32044055313134</t>
  </si>
  <si>
    <t>011533839</t>
  </si>
  <si>
    <t>A critical pronouncing dictionary and expositor of the English language.</t>
  </si>
  <si>
    <t>hvd.32044079733101</t>
  </si>
  <si>
    <t>011534849</t>
  </si>
  <si>
    <t>The study of Latin and of English grammar. Remarks of George B. Emerson, at a meeting of the Boston social science association, of which he was then president, held February 21, 1867.</t>
  </si>
  <si>
    <t>Emerson, George B.</t>
  </si>
  <si>
    <t>hvd.32044086682119</t>
  </si>
  <si>
    <t>011535739</t>
  </si>
  <si>
    <t>Extracts from the registers of the Stationers' Company : of works entered for publication between the years 1557 and 1587, with notes and ill. /</t>
  </si>
  <si>
    <t>hvd.hx2hqv</t>
  </si>
  <si>
    <t>hvd.hx2hqw</t>
  </si>
  <si>
    <t>hvd.32044038398848</t>
  </si>
  <si>
    <t>011535978</t>
  </si>
  <si>
    <t>A key to the classical pronunciation of Greek, Latin and Scripture proper names : in which the words are accented and divided into syllables ; to which are added terminational vocabularies of Hebrew, Greek and Latin proper names ; concluding with observations on the Greek and Latin accents and quantity /</t>
  </si>
  <si>
    <t>hvd.32044058232182</t>
  </si>
  <si>
    <t>011536401</t>
  </si>
  <si>
    <t>Homeric translation in theory and practice. A reply to Matthew Arnold.</t>
  </si>
  <si>
    <t>hvd.32044038404380</t>
  </si>
  <si>
    <t>011536538</t>
  </si>
  <si>
    <t>hvd.32044079640462</t>
  </si>
  <si>
    <t>hvd.hwksym</t>
  </si>
  <si>
    <t>011539094</t>
  </si>
  <si>
    <t>hvd.32044040633976</t>
  </si>
  <si>
    <t>011539154</t>
  </si>
  <si>
    <t>The Song-book of the school-room : consisting of a great variety of songs, hymns, and scriptural selections with appropriate music : arranged to be sung in one, two, or three parts ; containing, also, the elementary principles of vocal music, prepared with reference to the inductive or Pestalozzian method of teaching : designed as a complete music manual for common, or grammar schools /</t>
  </si>
  <si>
    <t>hvd.32044004363289</t>
  </si>
  <si>
    <t>011539161</t>
  </si>
  <si>
    <t>English retraced, or, Remarks, critical and philological founded on a comparison of the Breeches Bible with the English of the present day.</t>
  </si>
  <si>
    <t>hvd.hn31y9</t>
  </si>
  <si>
    <t>011539698</t>
  </si>
  <si>
    <t>hvd.hn4qk9</t>
  </si>
  <si>
    <t>011539716</t>
  </si>
  <si>
    <t>hvd.hwksxa</t>
  </si>
  <si>
    <t>011541110</t>
  </si>
  <si>
    <t>Evangeline; a tale of Acadie.</t>
  </si>
  <si>
    <t>hvd.hn1j2v</t>
  </si>
  <si>
    <t>011541211</t>
  </si>
  <si>
    <t>hvd.hn6imd</t>
  </si>
  <si>
    <t>011542285</t>
  </si>
  <si>
    <t>Mezzofanti's system of learning languages applied to the study of French ... With a treatise on French versification, and a dictionary of idioms, peculiar expressions, &amp;c. /</t>
  </si>
  <si>
    <t>hvd.32044097043665</t>
  </si>
  <si>
    <t>011532799</t>
  </si>
  <si>
    <t>A third[-fourth] class reader.</t>
  </si>
  <si>
    <t>3rd</t>
  </si>
  <si>
    <t>hvd.32044081497240</t>
  </si>
  <si>
    <t>011532902</t>
  </si>
  <si>
    <t>hvd.32044097041420</t>
  </si>
  <si>
    <t>011532914</t>
  </si>
  <si>
    <t>Smith's new grammar. English grammar on the productive system: a method of instruction recently adopted in Germany and Switzerland. Designed for schools and academies.</t>
  </si>
  <si>
    <t>hvd.32044097075642</t>
  </si>
  <si>
    <t>011532921</t>
  </si>
  <si>
    <t>The English reader ...</t>
  </si>
  <si>
    <t>hvd.32044102873080</t>
  </si>
  <si>
    <t>011532940</t>
  </si>
  <si>
    <t>Mac Laurin's Self-instructing writing books, or, Every man and boy his own writing-master : a special adaptation of the school system to the use of individuals who wish to acquire rapidity ...: circular to learners and teachers.</t>
  </si>
  <si>
    <t>MacLaurin, W. S.</t>
  </si>
  <si>
    <t>hvd.32044102787082</t>
  </si>
  <si>
    <t>011532950</t>
  </si>
  <si>
    <t>The new English spelling book designed to teach orthography and orthoëpy, with a critical analysis of the language, and a classification of its elements. On a new plan.</t>
  </si>
  <si>
    <t>hvd.32044096989116</t>
  </si>
  <si>
    <t>011532967</t>
  </si>
  <si>
    <t>Self-culture in reading, speaking, and conversation : designed for the use of schools, colleges, and home instruction /</t>
  </si>
  <si>
    <t>Sherwood, William.</t>
  </si>
  <si>
    <t>hvd.32044102848173</t>
  </si>
  <si>
    <t>011533132</t>
  </si>
  <si>
    <t>History of English literature ...</t>
  </si>
  <si>
    <t>Spalding, W.</t>
  </si>
  <si>
    <t>hvd.32044102846037</t>
  </si>
  <si>
    <t>011533147</t>
  </si>
  <si>
    <t>hvd.32044102846078</t>
  </si>
  <si>
    <t>011533148</t>
  </si>
  <si>
    <t>hvd.32044102846086</t>
  </si>
  <si>
    <t>hvd.32044102846029</t>
  </si>
  <si>
    <t>011533150</t>
  </si>
  <si>
    <t>hvd.32044102846011</t>
  </si>
  <si>
    <t>011533153</t>
  </si>
  <si>
    <t>Elements of rhetoric. Comprising the substance of the article in the Encylclopædia metropolitana with additions, &amp;c.</t>
  </si>
  <si>
    <t>hvd.32044102854411</t>
  </si>
  <si>
    <t>011533269</t>
  </si>
  <si>
    <t>Pinneo's guide to composition : a series of practical lessons : designed to simplify the art of writing composition : for beginners /</t>
  </si>
  <si>
    <t>hvd.hn1rvc</t>
  </si>
  <si>
    <t>hvd.32044038405593</t>
  </si>
  <si>
    <t>011533479</t>
  </si>
  <si>
    <t>Grammatical synthesis : the art of English composition /</t>
  </si>
  <si>
    <t>The child's friend : being an entirely new, and systematic arrangement of all the sounds, combinations of characters, and exceptions in the English language ... /</t>
  </si>
  <si>
    <t>Draper, William.</t>
  </si>
  <si>
    <t>hvd.32044102770591</t>
  </si>
  <si>
    <t>011532446</t>
  </si>
  <si>
    <t>The third primary reader; consisting of extracts in prose and verse. With exercises in enunciation for the use of the highest classes in primary schools.</t>
  </si>
  <si>
    <t>hvd.32044081497364</t>
  </si>
  <si>
    <t>011532494</t>
  </si>
  <si>
    <t>The first book of etymology : designed to promote precision in the use, and facilitate the acquisition of a knowledge of the English language, for beginners /</t>
  </si>
  <si>
    <t>hvd.32044102851920</t>
  </si>
  <si>
    <t>011532579</t>
  </si>
  <si>
    <t>A self-teaching reader, for the study of the pronunciation of the French language: after a plan entirely new ...</t>
  </si>
  <si>
    <t>hvd.32044102851938</t>
  </si>
  <si>
    <t>hvd.32044102787033</t>
  </si>
  <si>
    <t>011532582</t>
  </si>
  <si>
    <t>hvd.32044097056659</t>
  </si>
  <si>
    <t>011532616</t>
  </si>
  <si>
    <t>Key to the exercises adapted to Murray's English grammar. Calculated to enable private learners to become their own instructers [!] in grammar and composition.</t>
  </si>
  <si>
    <t>hvd.32044102787181</t>
  </si>
  <si>
    <t>011532658</t>
  </si>
  <si>
    <t>A pronouncing vocabulary : with lessons in prose and verse and a few grammatical excercises /</t>
  </si>
  <si>
    <t>hvd.32044102769668</t>
  </si>
  <si>
    <t>011532692</t>
  </si>
  <si>
    <t>First lessons in composition : in which the principles of the art are developed in connection with the principles of grammar : embracing full directions on the subject of punctuation, with copious exercises /</t>
  </si>
  <si>
    <t>hvd.32044102846060</t>
  </si>
  <si>
    <t>011532718</t>
  </si>
  <si>
    <t>Aids to English composition : prepared for students of all grades; embracing specimens and examples of school and college exercises and most of the higher departments of English composition, both in prose and verse. /</t>
  </si>
  <si>
    <t>hvd.32044097079883</t>
  </si>
  <si>
    <t>011532768</t>
  </si>
  <si>
    <t>Knowles's elocutionist : a first-class rhetorical reader and recitation book ... designed for the use of schools and colleges /</t>
  </si>
  <si>
    <t>hvd.32044102851540</t>
  </si>
  <si>
    <t>011532774</t>
  </si>
  <si>
    <t>A practical grammar : in which words, phrases, and sentences are classified according to their offices, and their various relations to one another, illustrated by a complete system of diagrams /</t>
  </si>
  <si>
    <t>hvd.32044102770096</t>
  </si>
  <si>
    <t>011532057</t>
  </si>
  <si>
    <t>hvd.32044102771540</t>
  </si>
  <si>
    <t>011532068</t>
  </si>
  <si>
    <t>The parser's manual : embracing classified examples in nearly every variety of English construction : designed for schools and for the use of private students /</t>
  </si>
  <si>
    <t>Williams, John.</t>
  </si>
  <si>
    <t>hvd.32044102847514</t>
  </si>
  <si>
    <t>hvd.32044097041560</t>
  </si>
  <si>
    <t>011532100</t>
  </si>
  <si>
    <t>The rhetorical manual, or, Southern fifth reader : embracing copious and elegant extracts both in prose and poetry : with a treatise on rhetorical figures, and the principles of elocution /</t>
  </si>
  <si>
    <t>Ross, D. Barton.</t>
  </si>
  <si>
    <t>hvd.32044102787157</t>
  </si>
  <si>
    <t>011532118</t>
  </si>
  <si>
    <t>The etymological spelling book and expositor : being an introduction to the spelling, pronunciation, and derivation of the English language ... : adapted to the use of classical and ladies' schools, and also of adults and foreigners /</t>
  </si>
  <si>
    <t>hvd.32044081502015</t>
  </si>
  <si>
    <t>011532246</t>
  </si>
  <si>
    <t>hvd.32044097042881</t>
  </si>
  <si>
    <t>011532258</t>
  </si>
  <si>
    <t>The elements of English grammar : so arranged as to combine the analytical and synthetical methods : with an introduction for beginners, and various exercises, oral and written, for the formation, analysis, transformation, classification and correction of sentences /</t>
  </si>
  <si>
    <t>hvd.32044081497091</t>
  </si>
  <si>
    <t>011532315</t>
  </si>
  <si>
    <t>A digest of English grammar; synthetical and analytical.</t>
  </si>
  <si>
    <t>hvd.32044038405601</t>
  </si>
  <si>
    <t>011532326</t>
  </si>
  <si>
    <t>The art of discourse: a system of rhetoric, adapted for use in colleges and academies, and also for private study.</t>
  </si>
  <si>
    <t>hvd.32044102769692</t>
  </si>
  <si>
    <t>hvd.32044102769718</t>
  </si>
  <si>
    <t>011532399</t>
  </si>
  <si>
    <t>hvd.32044102856002</t>
  </si>
  <si>
    <t>011532417</t>
  </si>
  <si>
    <t>The French and English first-books, or, The rudiments of French and English grammar combined : with exercises for reading and translation /</t>
  </si>
  <si>
    <t>Haskins, David Greene,</t>
  </si>
  <si>
    <t>hvd.32044102771573</t>
  </si>
  <si>
    <t>011532418</t>
  </si>
  <si>
    <t>hvd.32044102787199</t>
  </si>
  <si>
    <t>011532426</t>
  </si>
  <si>
    <t>011530917</t>
  </si>
  <si>
    <t>hvd.32044102845781</t>
  </si>
  <si>
    <t>011530918</t>
  </si>
  <si>
    <t>hvd.32044081497315</t>
  </si>
  <si>
    <t>011530934</t>
  </si>
  <si>
    <t>hvd.32044097042956</t>
  </si>
  <si>
    <t>011530963</t>
  </si>
  <si>
    <t>The grammar school speller : containing rules for spelling with numerous examples to illustrate the application of each rule : together with a large collection of the most difficult words in the English language ... : for intermediate classes /</t>
  </si>
  <si>
    <t>hvd.32044097057475</t>
  </si>
  <si>
    <t>011531034</t>
  </si>
  <si>
    <t>Rudimental lessons in etymology and syntax : in which these two parts of grammar are exhibited in parallel columns : carelfuly adapted to the capacity of young learners /</t>
  </si>
  <si>
    <t>hvd.32044097071468</t>
  </si>
  <si>
    <t>011531372</t>
  </si>
  <si>
    <t>The fourth reader, or, Exercises in reading and speaking : designed for the higher classes in our public and private schools /</t>
  </si>
  <si>
    <t>hvd.32044051107514</t>
  </si>
  <si>
    <t>011531384</t>
  </si>
  <si>
    <t>hvd.32044058233693</t>
  </si>
  <si>
    <t>011531663</t>
  </si>
  <si>
    <t>hvd.32044102846094</t>
  </si>
  <si>
    <t>011531820</t>
  </si>
  <si>
    <t>hvd.32044102770468</t>
  </si>
  <si>
    <t>011531908</t>
  </si>
  <si>
    <t>A school manual : prepared for the use of his pupils /</t>
  </si>
  <si>
    <t>Morison, Nathaniel Holmes,</t>
  </si>
  <si>
    <t>hvd.32044097041511</t>
  </si>
  <si>
    <t>011531918</t>
  </si>
  <si>
    <t>English grammmar: a simple, concise, and comprehensive manual of the English language.</t>
  </si>
  <si>
    <t>hvd.32044029064722</t>
  </si>
  <si>
    <t>011531938</t>
  </si>
  <si>
    <t>Grammatical diagrams defended and improved; with directions for their proper construction and application.</t>
  </si>
  <si>
    <t>hvd.32044097071526</t>
  </si>
  <si>
    <t>011531966</t>
  </si>
  <si>
    <t>hvd.32044096988480</t>
  </si>
  <si>
    <t>011531968</t>
  </si>
  <si>
    <t>The common school manual : a regular and connected course of elementary studies : embracing the necessary and useful branches of a common education : in four parts ... /</t>
  </si>
  <si>
    <t>Bartlett, M. R.</t>
  </si>
  <si>
    <t>hvd.hxihve</t>
  </si>
  <si>
    <t>011532007</t>
  </si>
  <si>
    <t>A general pronouncing and explanatory dictionary of the English language. To which is added, a vocabulary of Scripture proper names, &amp;c.</t>
  </si>
  <si>
    <t>Fulton, George.</t>
  </si>
  <si>
    <t>hvd.32044097071427</t>
  </si>
  <si>
    <t>011532031</t>
  </si>
  <si>
    <t>Clark, Stephen W. q (Stephen Watkins),</t>
  </si>
  <si>
    <t>hvd.32044081497356</t>
  </si>
  <si>
    <t>011532032</t>
  </si>
  <si>
    <t>chi.086527682</t>
  </si>
  <si>
    <t>011435135</t>
  </si>
  <si>
    <t>Elements of phreno-mnemotechny, or, Art of acquiring memory /</t>
  </si>
  <si>
    <t>Miles, Pliny,</t>
  </si>
  <si>
    <t>chi.76009251</t>
  </si>
  <si>
    <t>011435580</t>
  </si>
  <si>
    <t>The singing voice and its practical cultivation : exercises and studies for the controlling of the breath, throat, facial muscles and vibrations in the head : with historical and personal observations /</t>
  </si>
  <si>
    <t>Lawton, William H.</t>
  </si>
  <si>
    <t>chi.086569286</t>
  </si>
  <si>
    <t>011435794</t>
  </si>
  <si>
    <t>The principles of speech and vocal physiology : and dictionary of sounds, embracing a full theoretical development for the guidance of parents, teachers, public speakers, &amp;c. : with minute practical directions and exercise for the cure of stammering, and all impediments and faults of articulation /</t>
  </si>
  <si>
    <t>wu.89085147080</t>
  </si>
  <si>
    <t>011440649</t>
  </si>
  <si>
    <t>wu.89010294395</t>
  </si>
  <si>
    <t>011440652</t>
  </si>
  <si>
    <t>A Sechuana reader in international orthography (with English translations) /</t>
  </si>
  <si>
    <t>wu.89110018330</t>
  </si>
  <si>
    <t>011441856</t>
  </si>
  <si>
    <t>The arte or crafte of rhethoryke;</t>
  </si>
  <si>
    <t>Cox, Leonard,</t>
  </si>
  <si>
    <t>wu.89018098061</t>
  </si>
  <si>
    <t>011441858</t>
  </si>
  <si>
    <t>wu.89005917307</t>
  </si>
  <si>
    <t>011441859</t>
  </si>
  <si>
    <t>Aristotle's Treatise on rhetoric /</t>
  </si>
  <si>
    <t>wu.89000697581</t>
  </si>
  <si>
    <t>011441888</t>
  </si>
  <si>
    <t>The popular ballad /</t>
  </si>
  <si>
    <t>hvd.32044097071567</t>
  </si>
  <si>
    <t>011529597</t>
  </si>
  <si>
    <t>The grammar school reader : containing the essential principles of elocution and a series of exercises in reading : designed for classes in grammar school /</t>
  </si>
  <si>
    <t>hvd.32044024301756</t>
  </si>
  <si>
    <t>011530035</t>
  </si>
  <si>
    <t>The Scholemaster /</t>
  </si>
  <si>
    <t>hvd.32044081497430</t>
  </si>
  <si>
    <t>011530854</t>
  </si>
  <si>
    <t>Sanders' analysis of English words : designed for the higher classes in schools and academies /</t>
  </si>
  <si>
    <t>hvd.32044097042790</t>
  </si>
  <si>
    <t>011530879</t>
  </si>
  <si>
    <t>A third class reader : consisting of extracts in prose and verse, for the use of the third classes in public and private schools : with an introductory treatise on reading and the training of vocal organs /</t>
  </si>
  <si>
    <t>hvd.32044081501876</t>
  </si>
  <si>
    <t>011530880</t>
  </si>
  <si>
    <t>hvd.32044081497141</t>
  </si>
  <si>
    <t>011530881</t>
  </si>
  <si>
    <t>A comprehensive grammar of the English language : for the use of schools /</t>
  </si>
  <si>
    <t>hvd.32044081502098</t>
  </si>
  <si>
    <t>Put reading first : the research building blocks for teaching children to read : kindergarten through grade 3 /</t>
  </si>
  <si>
    <t>Armbruster, Bonnie B.</t>
  </si>
  <si>
    <t>uiug.30112101040290</t>
  </si>
  <si>
    <t>011396414</t>
  </si>
  <si>
    <t>The Army writing program.</t>
  </si>
  <si>
    <t>coo.31924013164953</t>
  </si>
  <si>
    <t>011405311</t>
  </si>
  <si>
    <t>coo.31924013355940</t>
  </si>
  <si>
    <t>011405426</t>
  </si>
  <si>
    <t>Shelburne essays, Ist series</t>
  </si>
  <si>
    <t>coo.31924022154680</t>
  </si>
  <si>
    <t>011406285</t>
  </si>
  <si>
    <t>The English poets.</t>
  </si>
  <si>
    <t>umn.319510021852106</t>
  </si>
  <si>
    <t>011407035</t>
  </si>
  <si>
    <t>The English poets:</t>
  </si>
  <si>
    <t>umn.319510021852122</t>
  </si>
  <si>
    <t>umn.31951002066933g</t>
  </si>
  <si>
    <t>011407048</t>
  </si>
  <si>
    <t>Essay on Scottish poets and poetry.</t>
  </si>
  <si>
    <t>MacBeath, James Mainland,</t>
  </si>
  <si>
    <t>umn.319510021803806</t>
  </si>
  <si>
    <t>011407724</t>
  </si>
  <si>
    <t>The institutes of English grammar, methodically arranged;</t>
  </si>
  <si>
    <t>umn.319510015961309</t>
  </si>
  <si>
    <t>011407875</t>
  </si>
  <si>
    <t>Elements of composition and rhetoric.</t>
  </si>
  <si>
    <t>umn.31951002097567s</t>
  </si>
  <si>
    <t>011407942</t>
  </si>
  <si>
    <t>umn.31951002375476w</t>
  </si>
  <si>
    <t>011408024</t>
  </si>
  <si>
    <t>Dictionary of the English language ... /</t>
  </si>
  <si>
    <t>umn.31951002084555k</t>
  </si>
  <si>
    <t>011408083</t>
  </si>
  <si>
    <t>The tour of Doctor Syntax, in search of wife : a Hudibrastic poem.</t>
  </si>
  <si>
    <t>umn.31951001626242x</t>
  </si>
  <si>
    <t>011408156</t>
  </si>
  <si>
    <t>A history of literary criticism in the renaissance;</t>
  </si>
  <si>
    <t>umn.31951002084553o</t>
  </si>
  <si>
    <t>011408232</t>
  </si>
  <si>
    <t>The tour of Doctor Syntax, in search of the picturesque : a poem ; with an interesting biography of the author /</t>
  </si>
  <si>
    <t>umn.31951001574489m</t>
  </si>
  <si>
    <t>011408342</t>
  </si>
  <si>
    <t>Orthography as outlined in the state course of study for Illinois. Seventh and eighth years.</t>
  </si>
  <si>
    <t>umn.31951p01109533k</t>
  </si>
  <si>
    <t>011408469</t>
  </si>
  <si>
    <t>Common school grammar.</t>
  </si>
  <si>
    <t>umn.31951002180028k</t>
  </si>
  <si>
    <t>011408581</t>
  </si>
  <si>
    <t>uiug.30112105110651</t>
  </si>
  <si>
    <t>011408709</t>
  </si>
  <si>
    <t>The tongue and quill : communicating to manage in tomorrow's Air Force /</t>
  </si>
  <si>
    <t>Staley, Henry A.,</t>
  </si>
  <si>
    <t>uiug.30112105110669</t>
  </si>
  <si>
    <t>011410653</t>
  </si>
  <si>
    <t>Staley, H. A.</t>
  </si>
  <si>
    <t>uiug.30112010472477</t>
  </si>
  <si>
    <t>011420236</t>
  </si>
  <si>
    <t>Especially for teachers : ERIC documents on the teaching of writing, 1966-1981.</t>
  </si>
  <si>
    <t>uiug.30112106611590</t>
  </si>
  <si>
    <t>011424348</t>
  </si>
  <si>
    <t>A Metacognitive approach to phonics : using what you know to decode what you don't know /</t>
  </si>
  <si>
    <t>Guide théorique et pratique de langue et de prononciation anglaises, ou, Recueil d'anecdotes choisies, de passages tirés des meilleurs auteurs, accompangnés de leur traduction interlinéaire et littérale, avec la prononciation anglaise ramenée à une règle simple et positive pour faciliter l'étude de cette langue /</t>
  </si>
  <si>
    <t>wu.89001200120</t>
  </si>
  <si>
    <t>011261300</t>
  </si>
  <si>
    <t>The principles of the International Phonetic Association.</t>
  </si>
  <si>
    <t>wu.89003618576</t>
  </si>
  <si>
    <t>011261301</t>
  </si>
  <si>
    <t>The art of pronuntiation, digested into two parts: vox audienda &amp; vox videnda ....</t>
  </si>
  <si>
    <t>Robinson, Robert,</t>
  </si>
  <si>
    <t>wu.89001200146</t>
  </si>
  <si>
    <t>011261303</t>
  </si>
  <si>
    <t>Universal writing and printing with ordinary letters, for the use of missionaries, comparative philologists, linguists, and phonologists. /</t>
  </si>
  <si>
    <t>wu.89001454917</t>
  </si>
  <si>
    <t>011261326</t>
  </si>
  <si>
    <t>A rhyming, spelling and pronouncing dictionary of the English language in which, I. the whole language is arranged according to its terminations : II. every word is explained and divided into syllables exactly as pronounced ... to which ... is added an index of allowable rhymes, with authorities for their usage from our best poets.</t>
  </si>
  <si>
    <t>wu.89016858599</t>
  </si>
  <si>
    <t>011261364</t>
  </si>
  <si>
    <t>English grammar in familiar lectures: embracing a new systematic order of parsing, a new system of punctuation, exercise in false syntax, and a system of philosophical grammar ... designed for the use of schools and private learners.</t>
  </si>
  <si>
    <t>wu.89006410146</t>
  </si>
  <si>
    <t>011261367</t>
  </si>
  <si>
    <t>Louisa's metrical English grammar.</t>
  </si>
  <si>
    <t>Campbell, Graham,</t>
  </si>
  <si>
    <t>pur1.32754067958524</t>
  </si>
  <si>
    <t>011326420</t>
  </si>
  <si>
    <t>Writing framework and specifications for the 1998 National Assessment of Educational Progress.</t>
  </si>
  <si>
    <t>pur1.32754050087752</t>
  </si>
  <si>
    <t>011326658</t>
  </si>
  <si>
    <t>The role of task representation in reading-to-write /</t>
  </si>
  <si>
    <t>Flower, Linda.</t>
  </si>
  <si>
    <t>pur1.32754050087745</t>
  </si>
  <si>
    <t>011326659</t>
  </si>
  <si>
    <t>Writing and reading in the classroom /</t>
  </si>
  <si>
    <t>Britton, James N.</t>
  </si>
  <si>
    <t>pur1.32754074659057</t>
  </si>
  <si>
    <t>011334603</t>
  </si>
  <si>
    <t>Old English poetical motives derived from the doctrine of sin /</t>
  </si>
  <si>
    <t>Abbetmeyer, Charles Dietrich August Fredrick,</t>
  </si>
  <si>
    <t>umn.31951001549634w</t>
  </si>
  <si>
    <t>011225919</t>
  </si>
  <si>
    <t>Composition for elementary schools;</t>
  </si>
  <si>
    <t>uc1.b4745803</t>
  </si>
  <si>
    <t>011257180</t>
  </si>
  <si>
    <t>A key to the classical pronunciation of Greek, Latin, and scripture proper names : in which the words are accented and divided into syllables exactly as they ought to be pronounced, according to rules drawn from analogy and the best usage ... /</t>
  </si>
  <si>
    <t>wu.89004543997</t>
  </si>
  <si>
    <t>011259860</t>
  </si>
  <si>
    <t>The elements of English verse correlated to music : a manual for teachers /</t>
  </si>
  <si>
    <t>Riley, Alice C. D.</t>
  </si>
  <si>
    <t>wu.89005078837</t>
  </si>
  <si>
    <t>011260426</t>
  </si>
  <si>
    <t>Words in singing : a practical guide to the study of phonetics, and its application to song.</t>
  </si>
  <si>
    <t>Brennan, Charles John,</t>
  </si>
  <si>
    <t>wu.89035130780</t>
  </si>
  <si>
    <t>011261003</t>
  </si>
  <si>
    <t>The Library of oratory, ancient and modern : with critical studies of the world's great orators by eminent essayists /</t>
  </si>
  <si>
    <t>wu.89035130806</t>
  </si>
  <si>
    <t>wu.89035130822</t>
  </si>
  <si>
    <t>wu.89035130848</t>
  </si>
  <si>
    <t>wu.89035130863</t>
  </si>
  <si>
    <t>wu.89035130889</t>
  </si>
  <si>
    <t>wu.89035130905</t>
  </si>
  <si>
    <t>wu.89035130921</t>
  </si>
  <si>
    <t>wu.89035130947</t>
  </si>
  <si>
    <t>wu.89035130962</t>
  </si>
  <si>
    <t>wu.89035131002</t>
  </si>
  <si>
    <t>wu.89035131028</t>
  </si>
  <si>
    <t>wu.89035131044</t>
  </si>
  <si>
    <t>wu.89035131069</t>
  </si>
  <si>
    <t>wu.89014931794</t>
  </si>
  <si>
    <t>011261279</t>
  </si>
  <si>
    <t>The dictionary of English inflected words, with the syllabication of all the words according to a system founded on well-defined principles; and the system of syllabication as applied to poetry and the scansion of verse. Forming Part II of The handy English word book.</t>
  </si>
  <si>
    <t>Stormonth, James,</t>
  </si>
  <si>
    <t>wu.89014931323</t>
  </si>
  <si>
    <t>011261280</t>
  </si>
  <si>
    <t>English dictations for home work.</t>
  </si>
  <si>
    <t>wu.89014921662</t>
  </si>
  <si>
    <t>011261282</t>
  </si>
  <si>
    <t>An orthographie, conteyning the due order and reason, howe to write or paint thimage of mannes voice, most like to the life or nature.</t>
  </si>
  <si>
    <t>wu.89064141716</t>
  </si>
  <si>
    <t>011261289</t>
  </si>
  <si>
    <t>Praktischer Lehrgang zur schnellen und leichten Erlernung der englischen Sprache /</t>
  </si>
  <si>
    <t>wu.89004048153</t>
  </si>
  <si>
    <t>011261290</t>
  </si>
  <si>
    <t>A syllabus in spelling and pronunciation,</t>
  </si>
  <si>
    <t>Broome, Edwin Cornelius,</t>
  </si>
  <si>
    <t>loc.ark:/13960/t14n0109m</t>
  </si>
  <si>
    <t>011213330</t>
  </si>
  <si>
    <t>loc.ark:/13960/t8jd5q87n</t>
  </si>
  <si>
    <t>011213998</t>
  </si>
  <si>
    <t>Watson's manual of calisthenics: a systematic drill-book without apparatus, for schools, families, and gymnasiums.</t>
  </si>
  <si>
    <t>loc.ark:/13960/t8pc3tc5d</t>
  </si>
  <si>
    <t>011214051</t>
  </si>
  <si>
    <t>What is English? Something definite for teachers,</t>
  </si>
  <si>
    <t>loc.ark:/13960/t1gj0ct7m</t>
  </si>
  <si>
    <t>011214339</t>
  </si>
  <si>
    <t>The young idea; an anthology of opinion concerning the spirit and aims of contemporary American literature,</t>
  </si>
  <si>
    <t>loc.ark:/13960/t3zs3k482</t>
  </si>
  <si>
    <t>011214368</t>
  </si>
  <si>
    <t>Zeublin's short and easy method of teaching composition, rendering it short, easy and practical ...</t>
  </si>
  <si>
    <t>Zeublin, D. [from old catalog]</t>
  </si>
  <si>
    <t>loc.ark:/13960/t6xw5bm8r</t>
  </si>
  <si>
    <t>umn.319510015768579</t>
  </si>
  <si>
    <t>011222898</t>
  </si>
  <si>
    <t>Analysis of the English sentence, designed for advanced classes.</t>
  </si>
  <si>
    <t>Welch, Adonijah Strong,</t>
  </si>
  <si>
    <t>umn.319510016217171</t>
  </si>
  <si>
    <t>011223451</t>
  </si>
  <si>
    <t>The English teacher's manual,</t>
  </si>
  <si>
    <t>Pittenger, Lemuel Arthur.</t>
  </si>
  <si>
    <t>umn.31951002463082q</t>
  </si>
  <si>
    <t>011223523</t>
  </si>
  <si>
    <t>The teaching of grammar.</t>
  </si>
  <si>
    <t>Brackenbury, Laura.</t>
  </si>
  <si>
    <t>umn.31951001549677e</t>
  </si>
  <si>
    <t>011223688</t>
  </si>
  <si>
    <t>Funk &amp; Wagnalls dictionary lessons ...</t>
  </si>
  <si>
    <t>umn.31951002402620t</t>
  </si>
  <si>
    <t>011224153</t>
  </si>
  <si>
    <t>A first manual of composition (revised)</t>
  </si>
  <si>
    <t>umn.319510020747972</t>
  </si>
  <si>
    <t>011224398</t>
  </si>
  <si>
    <t>Lessons in business English. Pt. 1-6, lessons 1-24.</t>
  </si>
  <si>
    <t>(pts.1-6)</t>
  </si>
  <si>
    <t>Viets, Howard T.</t>
  </si>
  <si>
    <t>umn.319510023479324</t>
  </si>
  <si>
    <t>011224645</t>
  </si>
  <si>
    <t>Grammar and composition /</t>
  </si>
  <si>
    <t>umn.31951002080026v</t>
  </si>
  <si>
    <t>011225072</t>
  </si>
  <si>
    <t>First lessons in English grammar for classes beginning the study of technical grammar and for thorough reviews.</t>
  </si>
  <si>
    <t>Griffin, A. D.</t>
  </si>
  <si>
    <t>umn.31951001549652u</t>
  </si>
  <si>
    <t>011225182</t>
  </si>
  <si>
    <t>English to-day ...</t>
  </si>
  <si>
    <t>book 3</t>
  </si>
  <si>
    <t>Meek, Charles Simpson,</t>
  </si>
  <si>
    <t>umn.31951001549658i</t>
  </si>
  <si>
    <t>011225265</t>
  </si>
  <si>
    <t>Essentials of English, lower grades,</t>
  </si>
  <si>
    <t>umn.31951001596110f</t>
  </si>
  <si>
    <t>011225360</t>
  </si>
  <si>
    <t>New practice--book in English composition,</t>
  </si>
  <si>
    <t>umn.31951002040956a</t>
  </si>
  <si>
    <t>011225723</t>
  </si>
  <si>
    <t>High school program for the study of Ivanhoe and for the accompanying composition and rhetoric lessons,</t>
  </si>
  <si>
    <t>Harris, Martha Anstice.</t>
  </si>
  <si>
    <t>loc.ark:/13960/t7qn71b0b</t>
  </si>
  <si>
    <t>011206148</t>
  </si>
  <si>
    <t>Horæ lyricæ and Divine songs,</t>
  </si>
  <si>
    <t>loc.ark:/13960/t9378840r</t>
  </si>
  <si>
    <t>011207240</t>
  </si>
  <si>
    <t>Lectures on English poets.</t>
  </si>
  <si>
    <t>loc.ark:/13960/t3806082x</t>
  </si>
  <si>
    <t>011207282</t>
  </si>
  <si>
    <t>Legends and poetry of the Hudson.</t>
  </si>
  <si>
    <t>loc.ark:/13960/t8ff4mt5n</t>
  </si>
  <si>
    <t>011207745</t>
  </si>
  <si>
    <t>Longfellow's Evangeline; ed.</t>
  </si>
  <si>
    <t>loc.ark:/13960/t6pz63z7r</t>
  </si>
  <si>
    <t>011208169</t>
  </si>
  <si>
    <t>Melodies of English verse : selections for memorizing /</t>
  </si>
  <si>
    <t>Morse, Lewis Kennedy,</t>
  </si>
  <si>
    <t>loc.ark:/13960/t22b9w18w</t>
  </si>
  <si>
    <t>011208984</t>
  </si>
  <si>
    <t>Newspaper poets: or, Waifs and their authors</t>
  </si>
  <si>
    <t>Hopkins, Alphonso A.</t>
  </si>
  <si>
    <t>loc.ark:/13960/t4bp10n94</t>
  </si>
  <si>
    <t>011209655</t>
  </si>
  <si>
    <t>loc.ark:/13960/t6d22sb0m</t>
  </si>
  <si>
    <t>011210086</t>
  </si>
  <si>
    <t>Physical culture and voice work for use in public schools,</t>
  </si>
  <si>
    <t>Preece, Louise,</t>
  </si>
  <si>
    <t>loc.ark:/13960/t91844t08</t>
  </si>
  <si>
    <t>011210100</t>
  </si>
  <si>
    <t>Physical and vocal training : for school use and for private instruction /</t>
  </si>
  <si>
    <t>loc.ark:/13960/t4zg7gx99</t>
  </si>
  <si>
    <t>011210467</t>
  </si>
  <si>
    <t>loc.ark:/13960/t56d6qd9v</t>
  </si>
  <si>
    <t>011210468</t>
  </si>
  <si>
    <t>loc.ark:/13960/t5p85650r</t>
  </si>
  <si>
    <t>011211306</t>
  </si>
  <si>
    <t>The relations of Shirley's plays to Elizabethan drama,</t>
  </si>
  <si>
    <t>Forsythe, Robert Stanley,</t>
  </si>
  <si>
    <t>loc.ark:/13960/t8df7nn5n</t>
  </si>
  <si>
    <t>011211321</t>
  </si>
  <si>
    <t>Reliques of ancient English poetry.</t>
  </si>
  <si>
    <t>loc.ark:/13960/t27950k61</t>
  </si>
  <si>
    <t>011212017</t>
  </si>
  <si>
    <t>A scale for the measurement of quality in English composition by young people,</t>
  </si>
  <si>
    <t>loc.ark:/13960/t6f19tn34</t>
  </si>
  <si>
    <t>011212226</t>
  </si>
  <si>
    <t>Seven great American poets,</t>
  </si>
  <si>
    <t>Slaight, Beatrice Hart. [from old catalog]</t>
  </si>
  <si>
    <t>loc.ark:/13960/t3126sm5w</t>
  </si>
  <si>
    <t>011212233</t>
  </si>
  <si>
    <t>loc.ark:/13960/t06x05r97</t>
  </si>
  <si>
    <t>011212530</t>
  </si>
  <si>
    <t>Some thoughts concerning education,</t>
  </si>
  <si>
    <t>loc.ark:/13960/t3nw0cv26</t>
  </si>
  <si>
    <t>011212806</t>
  </si>
  <si>
    <t>Standards in English; a course of study in oral and written composition for elementary schools,</t>
  </si>
  <si>
    <t>loc.ark:/13960/t9z040d77</t>
  </si>
  <si>
    <t>011213029</t>
  </si>
  <si>
    <t>loc.ark:/13960/t1rf6ns76</t>
  </si>
  <si>
    <t>011213151</t>
  </si>
  <si>
    <t>English grammar in familiar lectures : embracing a new systematic order of parsing, a new system of punctuation, exercises in false syntax, and a system of philosophical grammar. To which are added, a compendium, an appendix, and a key to the exercises designed for the use of schools and private learners /</t>
  </si>
  <si>
    <t>pst.000057479699</t>
  </si>
  <si>
    <t>011199735</t>
  </si>
  <si>
    <t>Brown's first lessons in language and grammar /</t>
  </si>
  <si>
    <t>Hall, Milo Baldwin,</t>
  </si>
  <si>
    <t>pst.000057479606</t>
  </si>
  <si>
    <t>011199736</t>
  </si>
  <si>
    <t>Covell's digest of English grammar : A digest of English grammar, synthetical and analytical, classified and methodically arranged. Accompanied by a chart of sentences and adapted to the use of schools.</t>
  </si>
  <si>
    <t>pst.000057479309</t>
  </si>
  <si>
    <t>011199738</t>
  </si>
  <si>
    <t>The formation of Teutonic words in the English language /</t>
  </si>
  <si>
    <t>Gibbs, Josiah Willard,</t>
  </si>
  <si>
    <t>loc.ark:/13960/t9378774m</t>
  </si>
  <si>
    <t>011202060</t>
  </si>
  <si>
    <t>The American teacher's lessons of instruction,</t>
  </si>
  <si>
    <t>Golder, John, [from old catalog]</t>
  </si>
  <si>
    <t>loc.ark:/13960/t13n3214w</t>
  </si>
  <si>
    <t>011202725</t>
  </si>
  <si>
    <t>The bride of the iconoclast. A poem.</t>
  </si>
  <si>
    <t>Blood, Benjamin Paul,</t>
  </si>
  <si>
    <t>loc.ark:/13960/t5n884v54</t>
  </si>
  <si>
    <t>011203054</t>
  </si>
  <si>
    <t>The "chanson d'aventure" in Middle English ...</t>
  </si>
  <si>
    <t>Sandison, Helen Estabrook,</t>
  </si>
  <si>
    <t>loc.ark:/13960/t5w67c56n</t>
  </si>
  <si>
    <t>011203513</t>
  </si>
  <si>
    <t>Conversations on some of the old poets;</t>
  </si>
  <si>
    <t>loc.ark:/13960/t7sn13w15</t>
  </si>
  <si>
    <t>011203695</t>
  </si>
  <si>
    <t>Daily lesson plans in English,</t>
  </si>
  <si>
    <t>Griffin, Caroline Stearns,</t>
  </si>
  <si>
    <t>loc.ark:/13960/t6ww88b5q</t>
  </si>
  <si>
    <t>011203777</t>
  </si>
  <si>
    <t>Definitions; essays in contemporary criticism,</t>
  </si>
  <si>
    <t>loc.ark:/13960/t1xd1c20d</t>
  </si>
  <si>
    <t>011204369</t>
  </si>
  <si>
    <t>English in the public schools,</t>
  </si>
  <si>
    <t>loc.ark:/13960/t0ht3hw35</t>
  </si>
  <si>
    <t>011204370</t>
  </si>
  <si>
    <t>English literature. Elizabethan and Jacobean;</t>
  </si>
  <si>
    <t>loc.ark:/13960/t1fj3bf35</t>
  </si>
  <si>
    <t>011205163</t>
  </si>
  <si>
    <t>Germanic origins.</t>
  </si>
  <si>
    <t>Gummere, Francis B[arton],</t>
  </si>
  <si>
    <t>loc.ark:/13960/t8pc3w580</t>
  </si>
  <si>
    <t>011205302</t>
  </si>
  <si>
    <t>loc.ark:/13960/t0xp7wn6w</t>
  </si>
  <si>
    <t>011205666</t>
  </si>
  <si>
    <t>Henry Wadsworth Longfellow's Evangeline; a tale of Acadie;</t>
  </si>
  <si>
    <t>loc.ark:/13960/t6k080g1h</t>
  </si>
  <si>
    <t>011205725</t>
  </si>
  <si>
    <t>010945015</t>
  </si>
  <si>
    <t>uc1.b4628154</t>
  </si>
  <si>
    <t>011157684</t>
  </si>
  <si>
    <t>Reliques of ancient English poetry, consisting of old heroic ballads, songs, and other pieces of our earlier poets, together with some few of later date.</t>
  </si>
  <si>
    <t>uc1.31158004572698</t>
  </si>
  <si>
    <t>011158985</t>
  </si>
  <si>
    <t>Facial speech reading and articulation teaching /</t>
  </si>
  <si>
    <t>uc1.l0084038165</t>
  </si>
  <si>
    <t>011159136</t>
  </si>
  <si>
    <t>Grammar by the inductive method ...</t>
  </si>
  <si>
    <t>uc1.l0073754574</t>
  </si>
  <si>
    <t>011159267</t>
  </si>
  <si>
    <t>Indianapolis public schools. Illustrative compositions and letters written by pupils of grades 2B to 8A, inclusive. Collected June, 1907.</t>
  </si>
  <si>
    <t>uc1.l0073270613</t>
  </si>
  <si>
    <t>011159350</t>
  </si>
  <si>
    <t>The teaching of spelling ...</t>
  </si>
  <si>
    <t>Longenecker, Gertrude.</t>
  </si>
  <si>
    <t>uc1.31158007904948</t>
  </si>
  <si>
    <t>011159587</t>
  </si>
  <si>
    <t>Sound notation /</t>
  </si>
  <si>
    <t>pst.000018568660</t>
  </si>
  <si>
    <t>011199183</t>
  </si>
  <si>
    <t>The spell-to-write spelling books, 1-4 /</t>
  </si>
  <si>
    <t>Suhrie, Ambrose Leo,</t>
  </si>
  <si>
    <t>pst.000004393931</t>
  </si>
  <si>
    <t>011199479</t>
  </si>
  <si>
    <t>English grammar : The English language in its elements and forms, with a history of its origin and development /</t>
  </si>
  <si>
    <t>Fowler, William Chauncey.</t>
  </si>
  <si>
    <t>hvd.hwp996</t>
  </si>
  <si>
    <t>011199490</t>
  </si>
  <si>
    <t>A dictionary of English etymology /</t>
  </si>
  <si>
    <t>pst.000018582055</t>
  </si>
  <si>
    <t>011199495</t>
  </si>
  <si>
    <t>An analytical, illustrative, and constructive grammar of the English language.</t>
  </si>
  <si>
    <t>pst.000003079126</t>
  </si>
  <si>
    <t>011199508</t>
  </si>
  <si>
    <t>Lessons in business English /</t>
  </si>
  <si>
    <t>Duncan, Paul Garfield,</t>
  </si>
  <si>
    <t>pst.000004929383</t>
  </si>
  <si>
    <t>011199580</t>
  </si>
  <si>
    <t>Elements of Latin pronunciation for the use of students /</t>
  </si>
  <si>
    <t>pst.000057480701</t>
  </si>
  <si>
    <t>011199725</t>
  </si>
  <si>
    <t>English taught inductively /</t>
  </si>
  <si>
    <t>Cabell, Elvira.</t>
  </si>
  <si>
    <t>pst.000057480718</t>
  </si>
  <si>
    <t>pst.000057479811</t>
  </si>
  <si>
    <t>011199731</t>
  </si>
  <si>
    <t>pst.000057479828</t>
  </si>
  <si>
    <t>011199732</t>
  </si>
  <si>
    <t>The practical grammar : containing especially such laws of the English language as are to be observed in avoiding the more common errors; a review of definitions of grammatical terms ... exercises for analysis and parsing; and an appendix of examination lessons /</t>
  </si>
  <si>
    <t>Sprague, Levi L.,</t>
  </si>
  <si>
    <t>pst.000057479705</t>
  </si>
  <si>
    <t>011199734</t>
  </si>
  <si>
    <t>The adventures of Doctor Comicus or The frolicks of fortune. A comic satirical poem for the squeamish &amp; the queer. In twelve cantos,</t>
  </si>
  <si>
    <t>dul1.ark:/13960/t6252gj3z</t>
  </si>
  <si>
    <t>010943919</t>
  </si>
  <si>
    <t>Essays in criticism. Second series.</t>
  </si>
  <si>
    <t>dul1.ark:/13960/t6543k69k</t>
  </si>
  <si>
    <t>010943920</t>
  </si>
  <si>
    <t>dul1.ark:/13960/t6640hf35</t>
  </si>
  <si>
    <t>010944427</t>
  </si>
  <si>
    <t>Our own elementary grammar, intermediate between the primary and high school grammars, and especially adapted to the wants of the common schools.</t>
  </si>
  <si>
    <t>Smythe, Charles W.</t>
  </si>
  <si>
    <t>dul1.ark:/13960/t46q2qm7w</t>
  </si>
  <si>
    <t>010944428</t>
  </si>
  <si>
    <t>Our own primary grammar, for the use of beginners.</t>
  </si>
  <si>
    <t>dul1.ark:/13960/t0zp4ss73</t>
  </si>
  <si>
    <t>010944429</t>
  </si>
  <si>
    <t>Our own school grammar : designed for our schools and academies, as a sequel to the Primary grammar /</t>
  </si>
  <si>
    <t>dul1.ark:/13960/t0ht3fx7q</t>
  </si>
  <si>
    <t>010944431</t>
  </si>
  <si>
    <t>Louisiana English grammar /</t>
  </si>
  <si>
    <t>dul1.ark:/13960/t2989264r</t>
  </si>
  <si>
    <t>hvd.hw2q58</t>
  </si>
  <si>
    <t>dul1.ark:/13960/t12n5wk7w</t>
  </si>
  <si>
    <t>010944432</t>
  </si>
  <si>
    <t>Smith's English grammar, on the productive system.</t>
  </si>
  <si>
    <t>dul1.ark:/13960/t9b57bq47</t>
  </si>
  <si>
    <t>010944708</t>
  </si>
  <si>
    <t>Elements of rhetoric.</t>
  </si>
  <si>
    <t>dul1.ark:/13960/t4zg7f81h</t>
  </si>
  <si>
    <t>010944744</t>
  </si>
  <si>
    <t>An analytic and practical grammar of the English language.</t>
  </si>
  <si>
    <t>dul1.ark:/13960/t6sx72n0w</t>
  </si>
  <si>
    <t>010944745</t>
  </si>
  <si>
    <t>Principles of English grammar / By A. S. Worrell.</t>
  </si>
  <si>
    <t>Worrell, A. S.</t>
  </si>
  <si>
    <t>dul1.ark:/13960/t83j47g42</t>
  </si>
  <si>
    <t>010944748</t>
  </si>
  <si>
    <t>An analytical, illustrative, and constructive grammar of the English language, accompanied by several original diagrams ... also, an extensive glossary of the derivation of the principal scientific terms used in this work, in two parts, for the use of every one who may wish to adopt it.</t>
  </si>
  <si>
    <t>York, Brantley,</t>
  </si>
  <si>
    <t>dul1.ark:/13960/t8cg0hx8d</t>
  </si>
  <si>
    <t>010944749</t>
  </si>
  <si>
    <t>York's English grammar, revised and adapted to Southern schools /</t>
  </si>
  <si>
    <t>dul1.ark:/13960/t80k34w28</t>
  </si>
  <si>
    <t>010944750</t>
  </si>
  <si>
    <t>York's English grammar,</t>
  </si>
  <si>
    <t>dul1.ark:/13960/t4hm60s5r</t>
  </si>
  <si>
    <t>010944757</t>
  </si>
  <si>
    <t>York's English grammar : revised and adapted to Southern schools /</t>
  </si>
  <si>
    <t>dul1.ark:/13960/t3tt5cs8z</t>
  </si>
  <si>
    <t>An outline of vocal physiology and Bell's Visible speech. The scientific basis for teaching correct articulation and pronunciation.</t>
  </si>
  <si>
    <t>Kidder, Charles Winslow,</t>
  </si>
  <si>
    <t>uc1.l0058503814</t>
  </si>
  <si>
    <t>010883218</t>
  </si>
  <si>
    <t>An essay upon the action of an orator, as to his pronunciation &amp; gesture. Useful both for divines and lawyers, and necessary for all young gentlemen, that study how to speak well in publick.</t>
  </si>
  <si>
    <t>Le Faucheur, Michel,</t>
  </si>
  <si>
    <t>uc1.31158003239810</t>
  </si>
  <si>
    <t>010883382</t>
  </si>
  <si>
    <t>The French pronouncing primer.</t>
  </si>
  <si>
    <t>Morel, Charles F.</t>
  </si>
  <si>
    <t>uc1.l0066709585</t>
  </si>
  <si>
    <t>010883578</t>
  </si>
  <si>
    <t>The outlines of the phonology of Manx Gaelic,</t>
  </si>
  <si>
    <t>Rhys, John,</t>
  </si>
  <si>
    <t>uc1.31158001283190</t>
  </si>
  <si>
    <t>010883681</t>
  </si>
  <si>
    <t>The works of William Shakespeare : in thirteen volumes /</t>
  </si>
  <si>
    <t>uc1.31158004650932</t>
  </si>
  <si>
    <t>uc1.31158004854906</t>
  </si>
  <si>
    <t>uc1.31158006589245</t>
  </si>
  <si>
    <t>uc1.31158008699901</t>
  </si>
  <si>
    <t>v.09</t>
  </si>
  <si>
    <t>uc1.31158008804634</t>
  </si>
  <si>
    <t>uc1.31158009025908</t>
  </si>
  <si>
    <t>v.08</t>
  </si>
  <si>
    <t>uc1.31158009783142</t>
  </si>
  <si>
    <t>v.07</t>
  </si>
  <si>
    <t>uc1.l0080501810</t>
  </si>
  <si>
    <t>uc1.31158004622279</t>
  </si>
  <si>
    <t>010883879</t>
  </si>
  <si>
    <t>A rhyming dictionary: answering at the same time the purposes of spelling, pronouncing, and explaining the English language.</t>
  </si>
  <si>
    <t>uc1.l0070585740</t>
  </si>
  <si>
    <t>010883908</t>
  </si>
  <si>
    <t>The place of the mother tongue in national education,</t>
  </si>
  <si>
    <t>uc1.l0087460507</t>
  </si>
  <si>
    <t>010884078</t>
  </si>
  <si>
    <t>A history of English sounds from the earliest period /</t>
  </si>
  <si>
    <t>nc01.ark:/13960/t88g9dk9n</t>
  </si>
  <si>
    <t>010938472</t>
  </si>
  <si>
    <t>A lecture on elocution, particularly with reference to the art of reading : delivered, agreeably to appointment, before the North Carolina Institute of Education, at their annual meeting, June 20th, 1832 /</t>
  </si>
  <si>
    <t>Ellenwood, Henry S.</t>
  </si>
  <si>
    <t>nc01.ark:/13960/t5x64b243</t>
  </si>
  <si>
    <t>010938476</t>
  </si>
  <si>
    <t>dul1.ark:/13960/t05x32t3t</t>
  </si>
  <si>
    <t>010942450</t>
  </si>
  <si>
    <t>First book in composition applying the principles of grammar to the art of composing: also, giving full directions for punctuation; especially designed for the use of southern schools,</t>
  </si>
  <si>
    <t>Branson, L.</t>
  </si>
  <si>
    <t>dul1.ark:/13960/t5j970j9d</t>
  </si>
  <si>
    <t>010943725</t>
  </si>
  <si>
    <t>A carol and other rhymes /</t>
  </si>
  <si>
    <t>Johnston, Edward,</t>
  </si>
  <si>
    <t>uc1.31822038199782</t>
  </si>
  <si>
    <t>010823697</t>
  </si>
  <si>
    <t>The rhythmical reader : being a selection of pieces in prose and verse, presented under a system of notation which exhibits the measure of speech, the quantities of syllables, and the just admeasurement of pauses, designed for the use of schools as well as for the instruction of private individuals who wish to improve themselves in the art of reading and speaking /</t>
  </si>
  <si>
    <t>uc1.31822038199022</t>
  </si>
  <si>
    <t>010824033</t>
  </si>
  <si>
    <t>The tour of Doctor Syntax through London, or, The pleasures and miseries of the metropolis : a poem /</t>
  </si>
  <si>
    <t>uc1.31822038199147</t>
  </si>
  <si>
    <t>010824044</t>
  </si>
  <si>
    <t>Horae lyricae : poems, chiefly of the lyric kind /</t>
  </si>
  <si>
    <t>uc1.31822038203659</t>
  </si>
  <si>
    <t>010824163</t>
  </si>
  <si>
    <t>The beauties of the Anti-Jacobin, or, Weekly examiner : containing every article of permanent utility in that valuable and highly esteemed paper, literary and political, the whole of the excellent poetry, together with explanatory notes, biographical anecdotes, and a prefatory advertisement by the editor</t>
  </si>
  <si>
    <t>uc1.l0059637843</t>
  </si>
  <si>
    <t>010882544</t>
  </si>
  <si>
    <t>How to write correctly; the use of capitals, italics, numerals, and compound words; also rules for syllabication and punctuation,</t>
  </si>
  <si>
    <t>uc1.l0074905860</t>
  </si>
  <si>
    <t>010882614</t>
  </si>
  <si>
    <t>Essays /</t>
  </si>
  <si>
    <t>Brimley, George,</t>
  </si>
  <si>
    <t>uc1.l0101197655</t>
  </si>
  <si>
    <t>010882615</t>
  </si>
  <si>
    <t>On the pronunciation of the ancient languages; practically considered with reference to teaching.</t>
  </si>
  <si>
    <t>Bristed, Charles Astor,</t>
  </si>
  <si>
    <t>uc1.l0069133312</t>
  </si>
  <si>
    <t>010882749</t>
  </si>
  <si>
    <t>The first principles of English composition</t>
  </si>
  <si>
    <t>Cosad, Kate Anor,</t>
  </si>
  <si>
    <t>uc1.31158008543265</t>
  </si>
  <si>
    <t>010883145</t>
  </si>
  <si>
    <t>A dictionary of the English language. Abridged from H.J. Todd's cor. and enl. quarto ed. by Alexander Chalmers.</t>
  </si>
  <si>
    <t>uc1.31158002874443</t>
  </si>
  <si>
    <t>010883169</t>
  </si>
  <si>
    <t>An essay on English orthography, with a consideration of the schemes which have been suggested for its improvement by the adoption of a system of phonetic spelling.</t>
  </si>
  <si>
    <t>Kerr, James.</t>
  </si>
  <si>
    <t>uc1.31158004749270</t>
  </si>
  <si>
    <t>010883181</t>
  </si>
  <si>
    <t>A college program in the communication skills; an assignment syllabus,</t>
  </si>
  <si>
    <t>inu.32000001003567</t>
  </si>
  <si>
    <t>010551133</t>
  </si>
  <si>
    <t>The principles of Greek grammar : comprising the substance of the most approved Greek grammars extant, for the use of schools and colleges.</t>
  </si>
  <si>
    <t>inu.30000092051097</t>
  </si>
  <si>
    <t>010558080</t>
  </si>
  <si>
    <t>The United States speaker : a copious selection of exercises in elocution : consisting of prose, poetry, and dialogue ... : designed for the use of colleges and schools /</t>
  </si>
  <si>
    <t>Lovell, John E.</t>
  </si>
  <si>
    <t>inu.30000092095821</t>
  </si>
  <si>
    <t>010558107</t>
  </si>
  <si>
    <t>inu.30000099965604</t>
  </si>
  <si>
    <t>010558109</t>
  </si>
  <si>
    <t>An essay on elocution; with elucidatory passages from various authors. To which are added remarks on reading prose and verse. With suggestions to instructors of the art.</t>
  </si>
  <si>
    <t>inu.30000099952610</t>
  </si>
  <si>
    <t>010558112</t>
  </si>
  <si>
    <t>The rhetorical reader : consisting of instructions for regulating the voice, with a rhetorical notation illustrating inflection, emphasis and modulation : and a course of rhetorical exercises designed for the use of academies and high schools /</t>
  </si>
  <si>
    <t>inu.30000092095763</t>
  </si>
  <si>
    <t>010558113</t>
  </si>
  <si>
    <t>The principles of eloquence : adapted to the pulpit and the bar /</t>
  </si>
  <si>
    <t>Maury, Jean Siffrein,</t>
  </si>
  <si>
    <t>ien.35556034324996</t>
  </si>
  <si>
    <t>010602675</t>
  </si>
  <si>
    <t>...Bibliographical collections and notes on early English literature made during the years 1893-1903.</t>
  </si>
  <si>
    <t>uc2.ark:/13960/t4nk3jc29</t>
  </si>
  <si>
    <t>uc1.31822009495094</t>
  </si>
  <si>
    <t>010823434</t>
  </si>
  <si>
    <t>The praxis, or, A course of English and Latin exercises : in a series of exemplifications ... /</t>
  </si>
  <si>
    <t>Bright, Henry,</t>
  </si>
  <si>
    <t>uc1.31822038197968</t>
  </si>
  <si>
    <t>010823637</t>
  </si>
  <si>
    <t>A plain, rational essay on English grammar : the main object of which is to point out a plain, rational and permanent standard of pronunciation : to which is given a gamut or key /</t>
  </si>
  <si>
    <t>Mack'intosh, Dunc'an</t>
  </si>
  <si>
    <t>uc1.31822038198073</t>
  </si>
  <si>
    <t>010823646</t>
  </si>
  <si>
    <t>Essays on poetical and prosaic numbers, and elocution.</t>
  </si>
  <si>
    <t>uc1.31822038199550</t>
  </si>
  <si>
    <t>010823677</t>
  </si>
  <si>
    <t>Hobbes's translation of Aristotle's Art of rhetorick</t>
  </si>
  <si>
    <t>uc1.31822038199642</t>
  </si>
  <si>
    <t>010823686</t>
  </si>
  <si>
    <t>Some diversions of a man of letters.</t>
  </si>
  <si>
    <t>uc1.b3386320</t>
  </si>
  <si>
    <t>010097494</t>
  </si>
  <si>
    <t>uc1.b3569187</t>
  </si>
  <si>
    <t>010118842</t>
  </si>
  <si>
    <t>uc1.b3629934</t>
  </si>
  <si>
    <t>010120602</t>
  </si>
  <si>
    <t>uc1.b3630107</t>
  </si>
  <si>
    <t>010120706</t>
  </si>
  <si>
    <t>uc1.b3630112</t>
  </si>
  <si>
    <t>010120709</t>
  </si>
  <si>
    <t>American poetry in the eighteen nineties; a study of American verse, 1890-1899,</t>
  </si>
  <si>
    <t>uc1.b3741660</t>
  </si>
  <si>
    <t>010155326</t>
  </si>
  <si>
    <t>The life of Algernon Charles Swinburne,</t>
  </si>
  <si>
    <t>uc1.b3337717</t>
  </si>
  <si>
    <t>010309602</t>
  </si>
  <si>
    <t>Victorian poets.</t>
  </si>
  <si>
    <t>uc1.b3337753</t>
  </si>
  <si>
    <t>010309615</t>
  </si>
  <si>
    <t>The history of English poetry, from the close of the eleventh to the commencement of the eighteenth century. To which are prefixed, three dissertations: 1. Of the origin of romantic fiction in Europe. 2. On the introduction of learning into England. 3. On the Gesta Romanorum.</t>
  </si>
  <si>
    <t>uc1.b3337754</t>
  </si>
  <si>
    <t>uc1.b3337755</t>
  </si>
  <si>
    <t>uc1.b3337782</t>
  </si>
  <si>
    <t>uc1.b3337767</t>
  </si>
  <si>
    <t>010309620</t>
  </si>
  <si>
    <t>uc1.b3337812</t>
  </si>
  <si>
    <t>010309648</t>
  </si>
  <si>
    <t>Berdan, John Milton.</t>
  </si>
  <si>
    <t>uc1.b3337815</t>
  </si>
  <si>
    <t>010309650</t>
  </si>
  <si>
    <t>From Shakespeare to Pope; an inquiry into the causes and phenomena of the rise of classical poetry in England.</t>
  </si>
  <si>
    <t>uc1.b3337817</t>
  </si>
  <si>
    <t>010309652</t>
  </si>
  <si>
    <t>Seventeenth century studies. A contribution to the history of English poetry,</t>
  </si>
  <si>
    <t>uc1.b3240069</t>
  </si>
  <si>
    <t>010316456</t>
  </si>
  <si>
    <t>The teaching of English, elementary school course /</t>
  </si>
  <si>
    <t>uc1.b3341603</t>
  </si>
  <si>
    <t>010328633</t>
  </si>
  <si>
    <t>A grammar of the English language in a series of letters. Intended for the use of schools and of young persons in general ; but more especially for the use of soldiers, sailors, apprentices, and plough-boys. To which are added six lessons intended to prevent statesmen from using false grammar and from writing in an awkward manner.</t>
  </si>
  <si>
    <t>mdp.39015074840003</t>
  </si>
  <si>
    <t>010540123</t>
  </si>
  <si>
    <t>English composition in elementary schools : a study of content, with a scale.</t>
  </si>
  <si>
    <t>mdp.39015074839963</t>
  </si>
  <si>
    <t>010540443</t>
  </si>
  <si>
    <t>Course of study, state of Oregon : Upper grades and junior high school : Language arts including reading, literature, ninth grade grammar and composition.</t>
  </si>
  <si>
    <t>uc1.b5045111</t>
  </si>
  <si>
    <t>010545162</t>
  </si>
  <si>
    <t>Independent fifth reader : containing a practical treatise on elocution : illustrated with diagrams, select and classified reading and recitations, with copious notes, and complete supplementary index /</t>
  </si>
  <si>
    <t>uc1.$b662902</t>
  </si>
  <si>
    <t>009987438</t>
  </si>
  <si>
    <t>The poems and fragments of Catullus /</t>
  </si>
  <si>
    <t>Catullus, Gaius Valerius.</t>
  </si>
  <si>
    <t>uc1.$b663294</t>
  </si>
  <si>
    <t>009987693</t>
  </si>
  <si>
    <t>uc1.$b663304</t>
  </si>
  <si>
    <t>009987699</t>
  </si>
  <si>
    <t>uc1.$b663307</t>
  </si>
  <si>
    <t>009987701</t>
  </si>
  <si>
    <t>Elements of prose,</t>
  </si>
  <si>
    <t>uc1.$b658902</t>
  </si>
  <si>
    <t>009988279</t>
  </si>
  <si>
    <t>Books of the time of the restoration, being a collection of plays, poems and prose works produced between the years 1660 and 1700,</t>
  </si>
  <si>
    <t>Dobell, Percy J.</t>
  </si>
  <si>
    <t>uc1.$b352039</t>
  </si>
  <si>
    <t>009996986</t>
  </si>
  <si>
    <t>The Elizabethan dramatists as critics.</t>
  </si>
  <si>
    <t>uc1.b3310823</t>
  </si>
  <si>
    <t>010053225</t>
  </si>
  <si>
    <t>uc1.b3310824</t>
  </si>
  <si>
    <t>uc1.b3310825</t>
  </si>
  <si>
    <t>uc1.b3310826</t>
  </si>
  <si>
    <t>uc1.b3310854</t>
  </si>
  <si>
    <t>010053229</t>
  </si>
  <si>
    <t>Reliques of ancient English poetry: consisting of old heroic ballads, songs, and other pieces of our earlier poets; together with some few of later date,</t>
  </si>
  <si>
    <t>uc1.b3310855</t>
  </si>
  <si>
    <t>uc1.b4300285</t>
  </si>
  <si>
    <t>010072816</t>
  </si>
  <si>
    <t>The age of Dryden,</t>
  </si>
  <si>
    <t>uc1.b4300302</t>
  </si>
  <si>
    <t>010072828</t>
  </si>
  <si>
    <t>uc1.b4306437</t>
  </si>
  <si>
    <t>010073062</t>
  </si>
  <si>
    <t>Shakspere's predecessors in the English drama.</t>
  </si>
  <si>
    <t>uc1.b4320021</t>
  </si>
  <si>
    <t>010075813</t>
  </si>
  <si>
    <t>The science of English verse .</t>
  </si>
  <si>
    <t>uc1.b4320028</t>
  </si>
  <si>
    <t>010075817</t>
  </si>
  <si>
    <t>uc1.b4320040</t>
  </si>
  <si>
    <t>010075826</t>
  </si>
  <si>
    <t>uc1.b4320255</t>
  </si>
  <si>
    <t>010075956</t>
  </si>
  <si>
    <t>The history of the English language,</t>
  </si>
  <si>
    <t>uc1.b4320274</t>
  </si>
  <si>
    <t>010075964</t>
  </si>
  <si>
    <t>A glossary; or Collection of words, phrases, names, and allusions to customs, proverbs, etc., which have been thought to require illustration, in the works of English authors,</t>
  </si>
  <si>
    <t>uc1.b4320275</t>
  </si>
  <si>
    <t>uc1.b4320321</t>
  </si>
  <si>
    <t>010075997</t>
  </si>
  <si>
    <t>Composition, oral and written.</t>
  </si>
  <si>
    <t>uc1.b4320419</t>
  </si>
  <si>
    <t>010076054</t>
  </si>
  <si>
    <t>The historical study of the mother tongue; an introduction to philological method.</t>
  </si>
  <si>
    <t>uc1.b4320422</t>
  </si>
  <si>
    <t>010076057</t>
  </si>
  <si>
    <t>The doctrine of correctness in English usage, 1700-1800.</t>
  </si>
  <si>
    <t>uc1.b4320445</t>
  </si>
  <si>
    <t>010076071</t>
  </si>
  <si>
    <t>uc1.b3386186</t>
  </si>
  <si>
    <t>010097417</t>
  </si>
  <si>
    <t>The Scandinavian element in French and Norman; a study of the influence of the Scandinavian languages on French from the tenth century to the present.</t>
  </si>
  <si>
    <t>De Gorog, Ralph Paul,</t>
  </si>
  <si>
    <t>uc1.$b662282</t>
  </si>
  <si>
    <t>009987024</t>
  </si>
  <si>
    <t>uc1.$b662296</t>
  </si>
  <si>
    <t>009987033</t>
  </si>
  <si>
    <t>Hartog, Philip,</t>
  </si>
  <si>
    <t>uc1.$b662307</t>
  </si>
  <si>
    <t>009987043</t>
  </si>
  <si>
    <t>The institutes of English grammar, methodically arranged : with examples for parsing, questions for examination, false syntax for correction, exercises for writing, observations for the advanced student, and a key to the oral exercises : to which are added four appendixes. Designed for the use of schools, academies, and private learners /</t>
  </si>
  <si>
    <t>uc1.$b662309</t>
  </si>
  <si>
    <t>009987044</t>
  </si>
  <si>
    <t>Leiper, Macon Anderson,</t>
  </si>
  <si>
    <t>uc1.$b662433</t>
  </si>
  <si>
    <t>009987120</t>
  </si>
  <si>
    <t>Principle in art; Religio poetae and other essays.</t>
  </si>
  <si>
    <t>uc1.$b662788</t>
  </si>
  <si>
    <t>009987367</t>
  </si>
  <si>
    <t>Oral English, directions and exercises for planning and delivering the common kinds of talks, together with guidance for debating and parliamentary practice,</t>
  </si>
  <si>
    <t>uc1.$b662791</t>
  </si>
  <si>
    <t>009987369</t>
  </si>
  <si>
    <t>The elements of reading and oratory</t>
  </si>
  <si>
    <t>uc1.$b662793</t>
  </si>
  <si>
    <t>009987371</t>
  </si>
  <si>
    <t>The oratorical class-book; with the principles of elocution simplified and illustrated by suitable examples. Intended for the use of public and private seminaries.</t>
  </si>
  <si>
    <t>Hartley, A. M.</t>
  </si>
  <si>
    <t>uc1.$b662800</t>
  </si>
  <si>
    <t>009987377</t>
  </si>
  <si>
    <t>Argumentation and debate.</t>
  </si>
  <si>
    <t>O'Neill, James Milton.</t>
  </si>
  <si>
    <t>uc1.$b662822</t>
  </si>
  <si>
    <t>009987390</t>
  </si>
  <si>
    <t>The Universal standard speaker; a handbook of entertainment for all occassions; including rules for the training of the voice and the use of gesture.</t>
  </si>
  <si>
    <t>Hoyle, Frances P.</t>
  </si>
  <si>
    <t>uc1.$b662825</t>
  </si>
  <si>
    <t>009987391</t>
  </si>
  <si>
    <t>Standard elocutionist. Principles and exercises, (from "Elocutionary manual"); followed by a copius selection of extracts in prose and poetry, classified and adapted for reading and recitation.</t>
  </si>
  <si>
    <t>uc1.$b662830</t>
  </si>
  <si>
    <t>009987395</t>
  </si>
  <si>
    <t>mdp.39076001723167</t>
  </si>
  <si>
    <t>mdp.39076001723175</t>
  </si>
  <si>
    <t>mdp.39076005001842</t>
  </si>
  <si>
    <t>009927429</t>
  </si>
  <si>
    <t>First lessons in composition : in which the principles of the art are developed in connection with the principles of grammar ; embracing full directions on the subject of punctuation; with copious exercises /</t>
  </si>
  <si>
    <t>mdp.39076005073692</t>
  </si>
  <si>
    <t>009927888</t>
  </si>
  <si>
    <t>Words we misspell : ten thousand terms, showing their correct forms and divisions as used in printing and writing, with rules governing the orthography of English words /</t>
  </si>
  <si>
    <t>uc1.$b794827</t>
  </si>
  <si>
    <t>009953120</t>
  </si>
  <si>
    <t>Definitions; first series. Essays in contemporary criticism.</t>
  </si>
  <si>
    <t>uc1.$b683875</t>
  </si>
  <si>
    <t>009977060</t>
  </si>
  <si>
    <t>uc1.$b683876</t>
  </si>
  <si>
    <t>009977061</t>
  </si>
  <si>
    <t>uc1.$b683881</t>
  </si>
  <si>
    <t>009977065</t>
  </si>
  <si>
    <t>uc1.$b683885</t>
  </si>
  <si>
    <t>009977067</t>
  </si>
  <si>
    <t>uc1.$b685775</t>
  </si>
  <si>
    <t>009978088</t>
  </si>
  <si>
    <t>George Meredith, his life and art in anecdote and criticism.</t>
  </si>
  <si>
    <t>uc1.$b685837</t>
  </si>
  <si>
    <t>009978133</t>
  </si>
  <si>
    <t>uc1.$b685838</t>
  </si>
  <si>
    <t>009978134</t>
  </si>
  <si>
    <t>uc1.$b683480</t>
  </si>
  <si>
    <t>009979155</t>
  </si>
  <si>
    <t>uc1.$b683511</t>
  </si>
  <si>
    <t>009979171</t>
  </si>
  <si>
    <t>A dictionary of English literature;</t>
  </si>
  <si>
    <t>uc1.$b683534</t>
  </si>
  <si>
    <t>009979183</t>
  </si>
  <si>
    <t>A manual of English literature, historical and critical: with an appendix on English metres.</t>
  </si>
  <si>
    <t>uc1.$b683684</t>
  </si>
  <si>
    <t>009979282</t>
  </si>
  <si>
    <t>The Oxford book of English verse, 1250-1900 /</t>
  </si>
  <si>
    <t>uc1.$b683825</t>
  </si>
  <si>
    <t>009979361</t>
  </si>
  <si>
    <t>An essay on English poetry;</t>
  </si>
  <si>
    <t>uc1.$b683829</t>
  </si>
  <si>
    <t>009979362</t>
  </si>
  <si>
    <t>uc1.$b683845</t>
  </si>
  <si>
    <t>009979369</t>
  </si>
  <si>
    <t>The future of English poetry,</t>
  </si>
  <si>
    <t>uc1.$b671513</t>
  </si>
  <si>
    <t>009982647</t>
  </si>
  <si>
    <t>Catalogue of the library of Herschel V. Jones.</t>
  </si>
  <si>
    <t>Jones, Herschel V.</t>
  </si>
  <si>
    <t>uc1.$b663308</t>
  </si>
  <si>
    <t>009984285</t>
  </si>
  <si>
    <t>Tiw;</t>
  </si>
  <si>
    <t>uc1.$b663338</t>
  </si>
  <si>
    <t>009984308</t>
  </si>
  <si>
    <t>The new world: college readings in English; with an introduction in thinking and writing, studying and reading,</t>
  </si>
  <si>
    <t>uc1.$b663345</t>
  </si>
  <si>
    <t>009984311</t>
  </si>
  <si>
    <t>uc1.$b663353</t>
  </si>
  <si>
    <t>009984314</t>
  </si>
  <si>
    <t>uc1.$b663360</t>
  </si>
  <si>
    <t>009984321</t>
  </si>
  <si>
    <t>uc1.$b663411</t>
  </si>
  <si>
    <t>009984353</t>
  </si>
  <si>
    <t>uva.x000961997</t>
  </si>
  <si>
    <t>009794160</t>
  </si>
  <si>
    <t>The poems of Oscar Wilde.</t>
  </si>
  <si>
    <t>Wilde, Oscar,</t>
  </si>
  <si>
    <t>uva.x001023880</t>
  </si>
  <si>
    <t>009794330</t>
  </si>
  <si>
    <t>uva.x000197090</t>
  </si>
  <si>
    <t>009794487</t>
  </si>
  <si>
    <t>A guide to English literature : and Essay on Gray,</t>
  </si>
  <si>
    <t>uva.x001164077</t>
  </si>
  <si>
    <t>009795015</t>
  </si>
  <si>
    <t>Outlines of English grammar with continuous selections for practice.</t>
  </si>
  <si>
    <t>Mathews, Harriet.</t>
  </si>
  <si>
    <t>uva.x001164048</t>
  </si>
  <si>
    <t>009795753</t>
  </si>
  <si>
    <t>An English school grammar : with very copious exercises, and a systematic view of the formation and derivation of works, comprising Anglo-Saxon, Latin, and Greek lists, which explain the etymology of above seven thousand English words /</t>
  </si>
  <si>
    <t>uva.x000680730</t>
  </si>
  <si>
    <t>009796093</t>
  </si>
  <si>
    <t>Critical reflections on poetry,</t>
  </si>
  <si>
    <t>uva.x000736523</t>
  </si>
  <si>
    <t>uva.x001867136</t>
  </si>
  <si>
    <t>uva.x001071568</t>
  </si>
  <si>
    <t>009796182</t>
  </si>
  <si>
    <t>uva.x001751720</t>
  </si>
  <si>
    <t>009796397</t>
  </si>
  <si>
    <t>A school history of England,</t>
  </si>
  <si>
    <t>uva.x001164065</t>
  </si>
  <si>
    <t>009796842</t>
  </si>
  <si>
    <t>uva.x001911921</t>
  </si>
  <si>
    <t>009797156</t>
  </si>
  <si>
    <t>The restored pronunciation of Greek and Latin; with tables and practical illustrations,</t>
  </si>
  <si>
    <t>uva.x000926414</t>
  </si>
  <si>
    <t>009797192</t>
  </si>
  <si>
    <t>pst.000027621172</t>
  </si>
  <si>
    <t>009809501</t>
  </si>
  <si>
    <t>The springs of Helicon : a study in the progress of English poetry from Chaucer to Milton /</t>
  </si>
  <si>
    <t>yale.39002004932761</t>
  </si>
  <si>
    <t>009833752</t>
  </si>
  <si>
    <t>yale.39002005422606</t>
  </si>
  <si>
    <t>yale.39002005422614</t>
  </si>
  <si>
    <t>mdp.39076006122662</t>
  </si>
  <si>
    <t>009912964</t>
  </si>
  <si>
    <t>mdp.39076006139195</t>
  </si>
  <si>
    <t>009913089</t>
  </si>
  <si>
    <t>mdp.39076006142587</t>
  </si>
  <si>
    <t>009913126</t>
  </si>
  <si>
    <t>mdp.39076006143007</t>
  </si>
  <si>
    <t>009913130</t>
  </si>
  <si>
    <t>mdp.39076006153998</t>
  </si>
  <si>
    <t>009913233</t>
  </si>
  <si>
    <t>The Elizabethan malady; a study of melancholia in English literature from 1580 to 1642 ..</t>
  </si>
  <si>
    <t>Babb, Lawrence.</t>
  </si>
  <si>
    <t>mdp.39076006753524</t>
  </si>
  <si>
    <t>009916877</t>
  </si>
  <si>
    <t>Secretary's desk guide to punctuation and spelling, word division and hyphenation.</t>
  </si>
  <si>
    <t>Miller, Besse May.</t>
  </si>
  <si>
    <t>mdp.39076006828268</t>
  </si>
  <si>
    <t>009917503</t>
  </si>
  <si>
    <t>Convention and revolt in poetry.</t>
  </si>
  <si>
    <t>mdp.39076000803796</t>
  </si>
  <si>
    <t>009920070</t>
  </si>
  <si>
    <t>The primary language of poetry in the 1740's and 1840's /</t>
  </si>
  <si>
    <t>Miles, Josephine,</t>
  </si>
  <si>
    <t>mdp.39076001723159</t>
  </si>
  <si>
    <t>009923735</t>
  </si>
  <si>
    <t>Elements of the art of rhetoric : adapted for use in colleges and academies, and also, for private study /</t>
  </si>
  <si>
    <t>uva.x001164197</t>
  </si>
  <si>
    <t>009792239</t>
  </si>
  <si>
    <t>Lectures on rhetoric. Abridged. With questions.</t>
  </si>
  <si>
    <t>uva.x001153751</t>
  </si>
  <si>
    <t>009792573</t>
  </si>
  <si>
    <t>The history of the English language ...</t>
  </si>
  <si>
    <t>uva.x001153293</t>
  </si>
  <si>
    <t>009792822</t>
  </si>
  <si>
    <t>Elements of French pronunciation and diction /</t>
  </si>
  <si>
    <t>Dumville, Benjamin,</t>
  </si>
  <si>
    <t>uva.x001164281</t>
  </si>
  <si>
    <t>009792956</t>
  </si>
  <si>
    <t>The readable dictionary; or, Topical and synonymic lexicon ... classified by subjects, and arranged according to their affinities of meaning; with accompanying etymologies, definitions, and illustrations. To which are added, I. Lists of foreign terms and phrases ... II. A table of the common abbreviations. III. An alphabetical list of Latin and Greek roots, with derivatives ...</t>
  </si>
  <si>
    <t>Williams, John,</t>
  </si>
  <si>
    <t>uva.x001233530</t>
  </si>
  <si>
    <t>009792965</t>
  </si>
  <si>
    <t>Lectures on the literature of the age of Elizabeth ; and Characters of Shakespear's [sic.] plays /</t>
  </si>
  <si>
    <t>uva.x001233910</t>
  </si>
  <si>
    <t>009793063</t>
  </si>
  <si>
    <t>Victorian poets; rev., and extended, by a supplementary chapter, to the fiftieth year of the period under review,</t>
  </si>
  <si>
    <t>uva.x000280792</t>
  </si>
  <si>
    <t>009793153</t>
  </si>
  <si>
    <t>The Elizabethan lyric : a study /</t>
  </si>
  <si>
    <t>uva.x030696382</t>
  </si>
  <si>
    <t>009793221</t>
  </si>
  <si>
    <t>Rhymes and meters, a practical manual for versifiers</t>
  </si>
  <si>
    <t>Winslow, Horatio,</t>
  </si>
  <si>
    <t>uva.x030556810</t>
  </si>
  <si>
    <t>009793243</t>
  </si>
  <si>
    <t>Victorian poets; revised and extended by a supplementary chapter to the fiftieth year of the period under review.</t>
  </si>
  <si>
    <t>uva.x000197103</t>
  </si>
  <si>
    <t>009793499</t>
  </si>
  <si>
    <t>Essays in criticism : second series /</t>
  </si>
  <si>
    <t>uva.x000501189</t>
  </si>
  <si>
    <t>009793682</t>
  </si>
  <si>
    <t>Analytic elocution; an analysis of the powers of the voice, for the purpose of expression in speaking.</t>
  </si>
  <si>
    <t>Zachos, J. C.</t>
  </si>
  <si>
    <t>uva.x000196870</t>
  </si>
  <si>
    <t>009793780</t>
  </si>
  <si>
    <t>Essays in criticism /</t>
  </si>
  <si>
    <t>uva.x000197113</t>
  </si>
  <si>
    <t>009793800</t>
  </si>
  <si>
    <t>uva.x001000005</t>
  </si>
  <si>
    <t>009794053</t>
  </si>
  <si>
    <t>Aristotle's treatise on rhetoric /</t>
  </si>
  <si>
    <t>uva.x001190929</t>
  </si>
  <si>
    <t>009794102</t>
  </si>
  <si>
    <t>Essays on the study of poetry and a guide to English literature /</t>
  </si>
  <si>
    <t>Stebbins, Charles Maurice,</t>
  </si>
  <si>
    <t>uva.x001153773</t>
  </si>
  <si>
    <t>009788973</t>
  </si>
  <si>
    <t>A graded course in English. English grammar and composition,</t>
  </si>
  <si>
    <t>Dunton, Larkin,</t>
  </si>
  <si>
    <t>uva.x000417784</t>
  </si>
  <si>
    <t>009789009</t>
  </si>
  <si>
    <t>uva.x001164232</t>
  </si>
  <si>
    <t>009789012</t>
  </si>
  <si>
    <t>uva.x000837406</t>
  </si>
  <si>
    <t>009789026</t>
  </si>
  <si>
    <t>uva.x000617862</t>
  </si>
  <si>
    <t>009789031</t>
  </si>
  <si>
    <t>v.1 1908</t>
  </si>
  <si>
    <t>Howland, George C.</t>
  </si>
  <si>
    <t>uva.x001164228</t>
  </si>
  <si>
    <t>009789131</t>
  </si>
  <si>
    <t>uva.x001985725</t>
  </si>
  <si>
    <t>009789463</t>
  </si>
  <si>
    <t>Sacred books of the East, with critical and biographical sketches</t>
  </si>
  <si>
    <t>uva.x001985727</t>
  </si>
  <si>
    <t>uva.x006065936</t>
  </si>
  <si>
    <t>009789522</t>
  </si>
  <si>
    <t>Certayne notes of instruction in English verse, 1575. The steele glas : commenced April 1562, finished April 1576, April 1, 1576. The complaynt of Philomene : commenced April 1562, continued in April 1575, finished 3 April 1576, April 1576 /</t>
  </si>
  <si>
    <t>no.11, 1895</t>
  </si>
  <si>
    <t>uva.x004508954</t>
  </si>
  <si>
    <t>009789823</t>
  </si>
  <si>
    <t>A grammar of rhetoric and polite literature : comprehending the principles of language and style, and the elements of taste and criticism. For the use of schools, or private instruction /</t>
  </si>
  <si>
    <t>uva.x000466737</t>
  </si>
  <si>
    <t>009789917</t>
  </si>
  <si>
    <t>The institutes of English grammar, methodically arranged; with examples for parsing, questions for examination, false syntax for correction, exercises for writing, observations for the advanced student, and a key to the oral exercises: to which are added, four appendixes. Designed for the use of schools, academies, and private learners.</t>
  </si>
  <si>
    <t>uva.x001164161</t>
  </si>
  <si>
    <t>009789969</t>
  </si>
  <si>
    <t>Ten thousand words: how to pronounce them; compared with Century, Standard, International and "Old Webster",</t>
  </si>
  <si>
    <t>uva.x004782579</t>
  </si>
  <si>
    <t>009790084</t>
  </si>
  <si>
    <t>The rhymester: or, The rules of rhyme. A guide to English versification. With a dictionary of rhymes, an examination of classical measures, and comments upon burlesque, comic verse and song-writing.</t>
  </si>
  <si>
    <t>uva.x001164075</t>
  </si>
  <si>
    <t>009790192</t>
  </si>
  <si>
    <t>Our language. First book,</t>
  </si>
  <si>
    <t>McMurry, Lida B.</t>
  </si>
  <si>
    <t>uva.x000376468</t>
  </si>
  <si>
    <t>009791381</t>
  </si>
  <si>
    <t>The psychology and pedagogy of reading : with a review of the history of reading and writing and of methods, texts, and hygiene in reading /</t>
  </si>
  <si>
    <t>uva.x002264430</t>
  </si>
  <si>
    <t>009785656</t>
  </si>
  <si>
    <t>A grammar of the English language : for the use of schools and academies, with copious parsing exercises /</t>
  </si>
  <si>
    <t>uva.x002399471</t>
  </si>
  <si>
    <t>009786980</t>
  </si>
  <si>
    <t>Elocutionist's annual number comprising new and popular readings, recitations, declamations, dialogues, tableaux etc., etc.</t>
  </si>
  <si>
    <t>no.7-9</t>
  </si>
  <si>
    <t>uva.x002399473</t>
  </si>
  <si>
    <t>no.10 1882</t>
  </si>
  <si>
    <t>uva.x030730277</t>
  </si>
  <si>
    <t>no.11 1883</t>
  </si>
  <si>
    <t>uva.x030730278</t>
  </si>
  <si>
    <t>no.12 1884</t>
  </si>
  <si>
    <t>uva.x030730279</t>
  </si>
  <si>
    <t>no.13 1885</t>
  </si>
  <si>
    <t>uva.x030730280</t>
  </si>
  <si>
    <t>no.14 1886</t>
  </si>
  <si>
    <t>uva.x030730281</t>
  </si>
  <si>
    <t>no.15 1887</t>
  </si>
  <si>
    <t>uva.x030730282</t>
  </si>
  <si>
    <t>no.16 1888</t>
  </si>
  <si>
    <t>hvd.32044081106114</t>
  </si>
  <si>
    <t>009787995</t>
  </si>
  <si>
    <t>Manipulus vocabulorum. A dictionary of English and Latin words, arranged in the alphabetical order of the last syllables,</t>
  </si>
  <si>
    <t>uva.x004965564</t>
  </si>
  <si>
    <t>no.95</t>
  </si>
  <si>
    <t>uva.x000177598</t>
  </si>
  <si>
    <t>009788177</t>
  </si>
  <si>
    <t>On early English pronunciation, with especial reference to Shakespeare and Chaucer ; containing an investigation of the correspondence of writing with speech in England from the Anglosaxon period to the present day, preceded by a systematic notation of all spoken sounds by means of the ordinary printing types, including a rearrangement of F.J. Child's memoirs on the language of Chaucer and Gower, and reprints of the rare tracts by Salesburv on English, 1547, and Welch, 1567, and by Barclay on French, 1521 /</t>
  </si>
  <si>
    <t>uva.x000182417</t>
  </si>
  <si>
    <t>uva.x004390965</t>
  </si>
  <si>
    <t>no.25</t>
  </si>
  <si>
    <t>uva.x030578336</t>
  </si>
  <si>
    <t>no.56</t>
  </si>
  <si>
    <t>uva.x030578337</t>
  </si>
  <si>
    <t>no.23</t>
  </si>
  <si>
    <t>uva.x030578338</t>
  </si>
  <si>
    <t>uva.x000506199</t>
  </si>
  <si>
    <t>009788400</t>
  </si>
  <si>
    <t>The royal English grammar, containing what is necessary to the knowledge of the English tongue laid down in a plain and familiar way for the use of young gentlemen and ladys [sic] /</t>
  </si>
  <si>
    <t>uva.x001164076</t>
  </si>
  <si>
    <t>009788910</t>
  </si>
  <si>
    <t>Lessons in the speaking and writing of English</t>
  </si>
  <si>
    <t>uva.x030731984</t>
  </si>
  <si>
    <t>uva.x001164031</t>
  </si>
  <si>
    <t>009788924</t>
  </si>
  <si>
    <t>Chart of the Spanish alphagam ... /</t>
  </si>
  <si>
    <t>Pierce, Robert M.</t>
  </si>
  <si>
    <t>uva.x000235618</t>
  </si>
  <si>
    <t>009779957</t>
  </si>
  <si>
    <t>uva.x000392508</t>
  </si>
  <si>
    <t>009780014</t>
  </si>
  <si>
    <t>Key to the exercises adapted to Murray's English grammar : calculated to enable private learners to become their own instructers, in grammar and composition /</t>
  </si>
  <si>
    <t>uva.x006136511</t>
  </si>
  <si>
    <t>009780202</t>
  </si>
  <si>
    <t>uva.x004507021</t>
  </si>
  <si>
    <t>009780220</t>
  </si>
  <si>
    <t>An English grammar for the use of junior classes /</t>
  </si>
  <si>
    <t>Davies, H. W.</t>
  </si>
  <si>
    <t>uva.x002138934</t>
  </si>
  <si>
    <t>009780227</t>
  </si>
  <si>
    <t>English exercises ... : with which the corresponding notes, rules, and observations in Murray's grammar are incorporated /</t>
  </si>
  <si>
    <t>uva.x000672074</t>
  </si>
  <si>
    <t>009780287</t>
  </si>
  <si>
    <t>Lives of the English poets: Addison, Savage [and] Swift /</t>
  </si>
  <si>
    <t>uva.x030751029</t>
  </si>
  <si>
    <t>009780313</t>
  </si>
  <si>
    <t>uva.x006115023</t>
  </si>
  <si>
    <t>009780337</t>
  </si>
  <si>
    <t>The tour of Doctor Syntax, in search of the picturesque : a poem.</t>
  </si>
  <si>
    <t>uva.x030804016</t>
  </si>
  <si>
    <t>009780458</t>
  </si>
  <si>
    <t>An essay on elocution : designed for the use of schools and private learners.</t>
  </si>
  <si>
    <t>uva.x030804020</t>
  </si>
  <si>
    <t>009780459</t>
  </si>
  <si>
    <t>Practice of speech, and successful selections /</t>
  </si>
  <si>
    <t>King, Byron Wesley,</t>
  </si>
  <si>
    <t>uva.x030804015</t>
  </si>
  <si>
    <t>009780474</t>
  </si>
  <si>
    <t>uva.x030804021</t>
  </si>
  <si>
    <t>009780477</t>
  </si>
  <si>
    <t>A manual of elocution founded upon the philosophy of the human voice.</t>
  </si>
  <si>
    <t>uva.x000104249</t>
  </si>
  <si>
    <t>009780481</t>
  </si>
  <si>
    <t>uva.x000470469</t>
  </si>
  <si>
    <t>009781059</t>
  </si>
  <si>
    <t>Latin pronunciation. An inquiry into the proper sound of the Latin language during the classical period.</t>
  </si>
  <si>
    <t>Blair, Walter,</t>
  </si>
  <si>
    <t>uva.x030805734</t>
  </si>
  <si>
    <t>009782494</t>
  </si>
  <si>
    <t>uva.x030804475</t>
  </si>
  <si>
    <t>009782550</t>
  </si>
  <si>
    <t>A compendious history of English literature, and of the English language : from the Norman conquest. With numerous specimens /</t>
  </si>
  <si>
    <t>uva.x030804476</t>
  </si>
  <si>
    <t>uva.x000498898</t>
  </si>
  <si>
    <t>009782649</t>
  </si>
  <si>
    <t>Culture and anarchy : an essay in political and social criticism.</t>
  </si>
  <si>
    <t>uva.x030396229</t>
  </si>
  <si>
    <t>009784663</t>
  </si>
  <si>
    <t>The Treasury of knowledge, and library of reference.</t>
  </si>
  <si>
    <t>uva.x000028870</t>
  </si>
  <si>
    <t>009785597</t>
  </si>
  <si>
    <t>The history of English literature: with an outline of the origin and growth of the English language:</t>
  </si>
  <si>
    <t>uva.x000422522</t>
  </si>
  <si>
    <t>009775134</t>
  </si>
  <si>
    <t>uva.x030804486</t>
  </si>
  <si>
    <t>009775173</t>
  </si>
  <si>
    <t>uva.x030804487</t>
  </si>
  <si>
    <t>uva.x001496243</t>
  </si>
  <si>
    <t>009775189</t>
  </si>
  <si>
    <t>uva.x000197105</t>
  </si>
  <si>
    <t>009775350</t>
  </si>
  <si>
    <t>Essays in criticism;</t>
  </si>
  <si>
    <t>uva.x000192508</t>
  </si>
  <si>
    <t>009775426</t>
  </si>
  <si>
    <t>Serbski pesme:</t>
  </si>
  <si>
    <t>Lytton, Edward Robert Bulwer Lytton,</t>
  </si>
  <si>
    <t>uva.x000372854</t>
  </si>
  <si>
    <t>009775714</t>
  </si>
  <si>
    <t>uva.x002403719</t>
  </si>
  <si>
    <t>009775728</t>
  </si>
  <si>
    <t>The reliques of Father Prout, late P. P. of Watergrasshill, in the county of Cork, Ireland.</t>
  </si>
  <si>
    <t>uva.x000417034</t>
  </si>
  <si>
    <t>009776054</t>
  </si>
  <si>
    <t>Literature and art.</t>
  </si>
  <si>
    <t>loc.ark:/13960/t55d9qd29</t>
  </si>
  <si>
    <t>009776114</t>
  </si>
  <si>
    <t>uva.x001164058</t>
  </si>
  <si>
    <t>009776379</t>
  </si>
  <si>
    <t>Common school grammar. An introduction to the analytical and practical grammar. With practical lessons and exercises in composition.</t>
  </si>
  <si>
    <t>uva.x000310763</t>
  </si>
  <si>
    <t>009776841</t>
  </si>
  <si>
    <t>Culture and anarchy; an essay in political and social criticism,</t>
  </si>
  <si>
    <t>uva.x030750705</t>
  </si>
  <si>
    <t>009778114</t>
  </si>
  <si>
    <t>Practical cosmophonography; a system of writing and printing all the principal languages, with their exact pronunciation,</t>
  </si>
  <si>
    <t>uva.x000856443</t>
  </si>
  <si>
    <t>009778416</t>
  </si>
  <si>
    <t>v.1 pt..1-3</t>
  </si>
  <si>
    <t>uva.x030396230</t>
  </si>
  <si>
    <t>009778417</t>
  </si>
  <si>
    <t>The Treasury of knowledge and library of reference ...</t>
  </si>
  <si>
    <t>uva.x030396231</t>
  </si>
  <si>
    <t>uva.x002263470</t>
  </si>
  <si>
    <t>009778504</t>
  </si>
  <si>
    <t>Minimum college requirements in English : for study for the years 1914-1919 : with introduction, notes and suggestions for study.</t>
  </si>
  <si>
    <t>uva.x004534639</t>
  </si>
  <si>
    <t>009778731</t>
  </si>
  <si>
    <t>Gymnastics of the voice; a system of correct breathing in singing and speaking, based upon physiological laws. A self-instructor in the training and use of the singing and speaking voice.</t>
  </si>
  <si>
    <t>uva.x000756244</t>
  </si>
  <si>
    <t>009779140</t>
  </si>
  <si>
    <t>Dr. Blair's Lectures on rhetoric.</t>
  </si>
  <si>
    <t>uva.x004385559</t>
  </si>
  <si>
    <t>009779879</t>
  </si>
  <si>
    <t>How should I pronounce? or, The principles of the art of correct pronunciation : a manual for schools, colleges, and private use /</t>
  </si>
  <si>
    <t>uva.x001597692</t>
  </si>
  <si>
    <t>009779907</t>
  </si>
  <si>
    <t>uva.x001082948</t>
  </si>
  <si>
    <t>009774669</t>
  </si>
  <si>
    <t>uva.x001086555</t>
  </si>
  <si>
    <t>009774670</t>
  </si>
  <si>
    <t>Everday rhetoric;</t>
  </si>
  <si>
    <t>Dodd, Loring Holmes,</t>
  </si>
  <si>
    <t>uva.x030732042</t>
  </si>
  <si>
    <t>009774708</t>
  </si>
  <si>
    <t>Aids to English composition,</t>
  </si>
  <si>
    <t>uva.x030732040</t>
  </si>
  <si>
    <t>009774709</t>
  </si>
  <si>
    <t>Progressive exercises in English composition.</t>
  </si>
  <si>
    <t>hvd.32044097079123</t>
  </si>
  <si>
    <t>009774710</t>
  </si>
  <si>
    <t>uva.x030732039</t>
  </si>
  <si>
    <t>uva.x002267202</t>
  </si>
  <si>
    <t>009774711</t>
  </si>
  <si>
    <t>uva.x000895361</t>
  </si>
  <si>
    <t>009774747</t>
  </si>
  <si>
    <t>uva.x000612159</t>
  </si>
  <si>
    <t>009774804</t>
  </si>
  <si>
    <t>uva.x000234851</t>
  </si>
  <si>
    <t>009774824</t>
  </si>
  <si>
    <t>An abridgment of Elements of criticism.</t>
  </si>
  <si>
    <t>uva.x030803943</t>
  </si>
  <si>
    <t>009774900</t>
  </si>
  <si>
    <t>"Elocutionary manual."</t>
  </si>
  <si>
    <t>uva.x004828051</t>
  </si>
  <si>
    <t>009774901</t>
  </si>
  <si>
    <t>hvd.hwsk5b</t>
  </si>
  <si>
    <t>009774902</t>
  </si>
  <si>
    <t>Elocution : the sources and elements of its power.</t>
  </si>
  <si>
    <t>uva.x000303560</t>
  </si>
  <si>
    <t>009775033</t>
  </si>
  <si>
    <t>A manual for the study of the human voice; exercises and practices for the speaking and singing voice,</t>
  </si>
  <si>
    <t>uva.x030804002</t>
  </si>
  <si>
    <t>009775034</t>
  </si>
  <si>
    <t>Orthophony,</t>
  </si>
  <si>
    <t>uva.x030801405</t>
  </si>
  <si>
    <t>009775037</t>
  </si>
  <si>
    <t>Shoemaker's best selections for readings and recitations ...</t>
  </si>
  <si>
    <t>no.15</t>
  </si>
  <si>
    <t>uva.x030801406</t>
  </si>
  <si>
    <t>uva.x001164207</t>
  </si>
  <si>
    <t>009775103</t>
  </si>
  <si>
    <t>A practical system of rhetoric, or, The principles and rules of style : inferred from examples of writing : to which is added a historical dissertation on English style /</t>
  </si>
  <si>
    <t>uva.x000334981</t>
  </si>
  <si>
    <t>009775104</t>
  </si>
  <si>
    <t>A practical system of rhetoric, or, The principles and rules of style : inferred from examples of writing : to which is added a historical dissertation of English style /</t>
  </si>
  <si>
    <t>uva.x030751028</t>
  </si>
  <si>
    <t>009775114</t>
  </si>
  <si>
    <t>English poetry: its principles and progress,</t>
  </si>
  <si>
    <t>uva.x030751030</t>
  </si>
  <si>
    <t>009775115</t>
  </si>
  <si>
    <t>The philosophy of English poetry.</t>
  </si>
  <si>
    <t>McAnally, D. R.</t>
  </si>
  <si>
    <t>uva.x002111617</t>
  </si>
  <si>
    <t>009775117</t>
  </si>
  <si>
    <t>A manual of English literature, historical and critical.</t>
  </si>
  <si>
    <t>uva.x030804488</t>
  </si>
  <si>
    <t>009775118</t>
  </si>
  <si>
    <t>A manual of English literature, historical and critical: with an appendix of English metres.</t>
  </si>
  <si>
    <t>uva.x000440498</t>
  </si>
  <si>
    <t>009775120</t>
  </si>
  <si>
    <t>uva.x030809513</t>
  </si>
  <si>
    <t>009775121</t>
  </si>
  <si>
    <t>uva.x002579420</t>
  </si>
  <si>
    <t>009775126</t>
  </si>
  <si>
    <t>The rhetorical reader : consisting of instructions for regulating the voice : with a rhetorical notation, illustrating inflection, emphasis, and modulation : and a course of rhetorical exericses designed for the use of academies and high schools /</t>
  </si>
  <si>
    <t>hvd.hn1fks</t>
  </si>
  <si>
    <t>009736551</t>
  </si>
  <si>
    <t>The rhetorical reader : consisting of instructions for regulating the voice, with a rhetorical notation, illustrating inflection, emphasis and modulation, and a course of rhetorical exercises ... /</t>
  </si>
  <si>
    <t>hvd.hn1dlr</t>
  </si>
  <si>
    <t>009737248</t>
  </si>
  <si>
    <t>The gradual reader, first step, or, Exercises in articulation : designed to develop and strengthen the organs of speech, and to facilitate the correct utterance of the elementary sounds and their combinations : published without the reading lessons, at the request of teachers : for the use of pupils in the higher classes /</t>
  </si>
  <si>
    <t>hvd.hn23he</t>
  </si>
  <si>
    <t>009737249</t>
  </si>
  <si>
    <t>The gradual reader, first step, or Exercises in articulation : designed to develop and strengthen the organs of speech ... with simple reading lessons for pupils in the younger classes /</t>
  </si>
  <si>
    <t>hvd.hn5bic</t>
  </si>
  <si>
    <t>009737254</t>
  </si>
  <si>
    <t>uva.x002140556</t>
  </si>
  <si>
    <t>009774614</t>
  </si>
  <si>
    <t>Easy lessons in pronouncing and speaking French:</t>
  </si>
  <si>
    <t>Pinney, Norman,</t>
  </si>
  <si>
    <t>uva.x001848718</t>
  </si>
  <si>
    <t>009774644</t>
  </si>
  <si>
    <t>Live language lessons;</t>
  </si>
  <si>
    <t>uva.x000378509</t>
  </si>
  <si>
    <t>009774645</t>
  </si>
  <si>
    <t>Holmes, George Frederick,</t>
  </si>
  <si>
    <t>uva.x001817907</t>
  </si>
  <si>
    <t>009774646</t>
  </si>
  <si>
    <t>Essentials of English ...</t>
  </si>
  <si>
    <t>uva.x001272596</t>
  </si>
  <si>
    <t>009774647</t>
  </si>
  <si>
    <t>Essentials of English,</t>
  </si>
  <si>
    <t>uva.x004604486</t>
  </si>
  <si>
    <t>009774648</t>
  </si>
  <si>
    <t>The modern course in English /</t>
  </si>
  <si>
    <t>Sanford, Steadman Vincent,</t>
  </si>
  <si>
    <t>uva.x001179955</t>
  </si>
  <si>
    <t>009774663</t>
  </si>
  <si>
    <t>uva.x004730779</t>
  </si>
  <si>
    <t>009774664</t>
  </si>
  <si>
    <t>Dr. Blair's Lectures on rhetoric. Abridged.</t>
  </si>
  <si>
    <t>uva.x001478078</t>
  </si>
  <si>
    <t>009774665</t>
  </si>
  <si>
    <t>Clark, J. Scott</t>
  </si>
  <si>
    <t>uva.x001863048</t>
  </si>
  <si>
    <t>009774666</t>
  </si>
  <si>
    <t>The art of discourse: a system of rhetoric adapted for use in colleges and academies,</t>
  </si>
  <si>
    <t>uva.x004758047</t>
  </si>
  <si>
    <t>009774667</t>
  </si>
  <si>
    <t>A manual of composition and rhetoric:</t>
  </si>
  <si>
    <t>uva.x000599280</t>
  </si>
  <si>
    <t>009774668</t>
  </si>
  <si>
    <t>English exercises, orthographical and grammatical : in two parts, being a selection of choice pieces in prose and verse ...</t>
  </si>
  <si>
    <t>Hornsey, John.</t>
  </si>
  <si>
    <t>hvd.hn1djc</t>
  </si>
  <si>
    <t>009735218</t>
  </si>
  <si>
    <t>A grammar of rhetoric, and polite literature : comprehending the principles of language and style ... with rules, for the study of composition and eloquence : illustrated by appropriate examples, selected chiefly from the British classics ...</t>
  </si>
  <si>
    <t>hvd.hn1rpn</t>
  </si>
  <si>
    <t>009735377</t>
  </si>
  <si>
    <t>English grammar in familiar lectures : accompanied by a compendium; embracing a new systematick order of parsing, a new system of punctuation, exercises in false syntax, and a system of philosophical grammar in notes: to which are added an appendix, and a key to the exercises: designed for the use of schools and private learners /</t>
  </si>
  <si>
    <t>hvd.hn5wd2</t>
  </si>
  <si>
    <t>009735476</t>
  </si>
  <si>
    <t>A grammar for children, with emblematic illustrations.</t>
  </si>
  <si>
    <t>hvd.hn3cnn</t>
  </si>
  <si>
    <t>009735646</t>
  </si>
  <si>
    <t>Miniature edition of Johnson's dictionary of the English language, with a variety of useful tables and lists.</t>
  </si>
  <si>
    <t>hvd.32044085136372</t>
  </si>
  <si>
    <t>009735743</t>
  </si>
  <si>
    <t>Longinus on the sublime, in writing /</t>
  </si>
  <si>
    <t>hvd.hnmhb8</t>
  </si>
  <si>
    <t>009736088</t>
  </si>
  <si>
    <t>Mnemonics : or, The new science of artificial memory; explained in its application to the study of numbers, the sciences, and to useful occupations of life, whereby the natural memory is greatly assisted and strenghtened ...</t>
  </si>
  <si>
    <t>hvd.hn24lk</t>
  </si>
  <si>
    <t>009736130</t>
  </si>
  <si>
    <t>The English reader; or, Pieces in prose and poetry selected from the best writers, designed to assist young persons to read with propriety and effect, to improve their language and sentiments and to inculcate some of the most important principles of piety and virtue, with a few preliminary observations on the principles of good reading /</t>
  </si>
  <si>
    <t>hvd.hn1fk2</t>
  </si>
  <si>
    <t>009736548</t>
  </si>
  <si>
    <t>Progressive exercises in rhetorical reading : particularly designed to familiarize the younger classes of readers with the pauses and other marks in general use, and to introduce them to the practice of modulation and inflection of the voice /</t>
  </si>
  <si>
    <t>hvd.hwkz68</t>
  </si>
  <si>
    <t>009732008</t>
  </si>
  <si>
    <t>The comic English grammar; a new and facetious introduction to the English tongue /</t>
  </si>
  <si>
    <t>hvd.hwpae8</t>
  </si>
  <si>
    <t>009732053</t>
  </si>
  <si>
    <t>Reliques of ancient English poetry: consisting of old heroic ballads, songs, and other pieces of our earlier poets, together with some few of later date.</t>
  </si>
  <si>
    <t>hvd.hwpae9</t>
  </si>
  <si>
    <t>009732054</t>
  </si>
  <si>
    <t>Reliques of ancient English poetry : consisting of old heroic ballads, songs, and other pieces of our earlier poets; together with some few of later date /</t>
  </si>
  <si>
    <t>hvd.hwpaea</t>
  </si>
  <si>
    <t>hvd.hwpaeb</t>
  </si>
  <si>
    <t>hvd.hx523c</t>
  </si>
  <si>
    <t>009732106</t>
  </si>
  <si>
    <t>hvd.32044102845864</t>
  </si>
  <si>
    <t>009732232</t>
  </si>
  <si>
    <t>Elements of rhetoric : comprising the substance of the article in the Encyclopædia Metropolitana with additions, &amp;c. /</t>
  </si>
  <si>
    <t>hvd.32044102845914</t>
  </si>
  <si>
    <t>009732233</t>
  </si>
  <si>
    <t>Elements of rhetoric. Comprising the substance of the article in the Encyclopædia Metropolitana with additions, &amp;c.</t>
  </si>
  <si>
    <t>hvd.32044102845922</t>
  </si>
  <si>
    <t>009732234</t>
  </si>
  <si>
    <t>Elements of rhetoric : comprising the substance of the article in the Encyclopaedia Metropolitana /</t>
  </si>
  <si>
    <t>hvd.hwnqbk</t>
  </si>
  <si>
    <t>009732373</t>
  </si>
  <si>
    <t>Exercises in elocution, exemplifying the rules and principles of the art of reading.</t>
  </si>
  <si>
    <t>hvd.hwnqc9</t>
  </si>
  <si>
    <t>009732385</t>
  </si>
  <si>
    <t>Russell's American elocutionist. The American elocutionist; comprising 'Lessons in enunciation,' 'Exercises in elocution,' and 'Rudiments of gesture' ...</t>
  </si>
  <si>
    <t>hvd.hx5gb9</t>
  </si>
  <si>
    <t>009733145</t>
  </si>
  <si>
    <t>hvd.hn1q87</t>
  </si>
  <si>
    <t>009733711</t>
  </si>
  <si>
    <t>hvd.hn1ce6</t>
  </si>
  <si>
    <t>009734409</t>
  </si>
  <si>
    <t>Practical grammar : a grammar of the English language, on an improved plan : in which the principles of the science are clearly and briefly stated, and their application in practice is made familiar by copious and appropriate exercises/</t>
  </si>
  <si>
    <t>Farnum, Caleb,</t>
  </si>
  <si>
    <t>hvd.hwskl1</t>
  </si>
  <si>
    <t>009734501</t>
  </si>
  <si>
    <t>Elocution; or, Mental and vocal philosophy: involving the principles of reading and speaking; and designed for the development and cultivation of both body and mind ... illustrated by two or three hundred choice anecdotes; three thousand oratorical and poetical readings; five thousand proverbs, maxims and laconics, and several hundred elegant engravings.</t>
  </si>
  <si>
    <t>hvd.hwhint</t>
  </si>
  <si>
    <t>hvd.32044019805324</t>
  </si>
  <si>
    <t>009730377</t>
  </si>
  <si>
    <t>Specimens of the table talk of Samuel Taylor Coleridge.</t>
  </si>
  <si>
    <t>hvd.hwnqgk</t>
  </si>
  <si>
    <t>009730424</t>
  </si>
  <si>
    <t>hvd.hwkb4q</t>
  </si>
  <si>
    <t>009730970</t>
  </si>
  <si>
    <t>hvd.32044028949212</t>
  </si>
  <si>
    <t>009730979</t>
  </si>
  <si>
    <t>A lecture on the best mode of preparing and using spelling-books /</t>
  </si>
  <si>
    <t>Mann, Horace,</t>
  </si>
  <si>
    <t>hvd.hwhinr</t>
  </si>
  <si>
    <t>009731078</t>
  </si>
  <si>
    <t>hvd.32044058170481</t>
  </si>
  <si>
    <t>009731098</t>
  </si>
  <si>
    <t>The Shakespeare Society papers.</t>
  </si>
  <si>
    <t>hvd.32044089259147</t>
  </si>
  <si>
    <t>hvd.32044089259154</t>
  </si>
  <si>
    <t>hvd.32044102845856</t>
  </si>
  <si>
    <t>009731111</t>
  </si>
  <si>
    <t>hvd.hwknsm</t>
  </si>
  <si>
    <t>009731213</t>
  </si>
  <si>
    <t>An essay on the archaeology of our popular phrases, and nursery rhymes /</t>
  </si>
  <si>
    <t>hvd.hx5djv</t>
  </si>
  <si>
    <t>hvd.hwnqg4</t>
  </si>
  <si>
    <t>009731229</t>
  </si>
  <si>
    <t>An essay on elocution : designed for the use of schools and private learners / by Samuel Kirkham.</t>
  </si>
  <si>
    <t>hvd.32044097079891</t>
  </si>
  <si>
    <t>009731288</t>
  </si>
  <si>
    <t>Third lessons in reading and grammar : for the use of schools : chiefly from the works of Miss Edgeworth /</t>
  </si>
  <si>
    <t>Colburn, Warren,</t>
  </si>
  <si>
    <t>hvd.32044097078802</t>
  </si>
  <si>
    <t>009731565</t>
  </si>
  <si>
    <t>The Reader's manual : designed for the use of common schools in the United States /</t>
  </si>
  <si>
    <t>hvd.hx5g8k</t>
  </si>
  <si>
    <t>009731693</t>
  </si>
  <si>
    <t>Todd's Johnson's dictionary of the English language in miniature. To which is added a copious vocabulary of Greek, Latin, and scriptural proper names: divided into syllables, and accentuated for pronunciation.</t>
  </si>
  <si>
    <t>hvd.32044097075634</t>
  </si>
  <si>
    <t>009731759</t>
  </si>
  <si>
    <t>Murray's system of English grammar : improved, and adapted to the present mode of instruction in this branch of science /</t>
  </si>
  <si>
    <t>hvd.32044102845849</t>
  </si>
  <si>
    <t>009731794</t>
  </si>
  <si>
    <t>hvd.hn1edn</t>
  </si>
  <si>
    <t>hvd.hn1idq</t>
  </si>
  <si>
    <t>009731859</t>
  </si>
  <si>
    <t>hvd.hwad6h</t>
  </si>
  <si>
    <t>hvd.hwad6y</t>
  </si>
  <si>
    <t>hvd.hwad6z</t>
  </si>
  <si>
    <t>hvd.hwad71</t>
  </si>
  <si>
    <t>hvd.hwad72</t>
  </si>
  <si>
    <t>v.13</t>
  </si>
  <si>
    <t>hvd.hwad73</t>
  </si>
  <si>
    <t>v.14</t>
  </si>
  <si>
    <t>hvd.hwad74</t>
  </si>
  <si>
    <t>v.15</t>
  </si>
  <si>
    <t>hvd.hwad75</t>
  </si>
  <si>
    <t>v.16</t>
  </si>
  <si>
    <t>hvd.hwad76</t>
  </si>
  <si>
    <t>hvd.hwad77</t>
  </si>
  <si>
    <t>hvd.hwad7q</t>
  </si>
  <si>
    <t>hvd.hwad7r</t>
  </si>
  <si>
    <t>v.23</t>
  </si>
  <si>
    <t>hvd.hwad7s</t>
  </si>
  <si>
    <t>v.24</t>
  </si>
  <si>
    <t>hvd.hwad7t</t>
  </si>
  <si>
    <t>v.25</t>
  </si>
  <si>
    <t>hvd.hwad7u</t>
  </si>
  <si>
    <t>v.26</t>
  </si>
  <si>
    <t>hvd.hwad7v</t>
  </si>
  <si>
    <t>v.27</t>
  </si>
  <si>
    <t>hvd.hwad8d</t>
  </si>
  <si>
    <t>v.28</t>
  </si>
  <si>
    <t>hvd.hnnuf6</t>
  </si>
  <si>
    <t>009728607</t>
  </si>
  <si>
    <t>Memoirs of Edward Alleyn; including some new particulars respecting Shakespeare, Ben Jonson, Massinger, Marston, Dekker, &amp;c,</t>
  </si>
  <si>
    <t>hvd.32044010003440</t>
  </si>
  <si>
    <t>009728610</t>
  </si>
  <si>
    <t>The Alleyn papers. A collection of original documents illustrative of the life and times of Edward Alleyn, and of the early English stage and drama.</t>
  </si>
  <si>
    <t>hvd.ah69fe</t>
  </si>
  <si>
    <t>009728728</t>
  </si>
  <si>
    <t>hvd.32044089057764</t>
  </si>
  <si>
    <t>009728834</t>
  </si>
  <si>
    <t>Reliques of ancient English poetry; consisting of old heroic ballads, songs, and other pieces, of our earlier poets, together with some few of later date, and a copious glossary.</t>
  </si>
  <si>
    <t>hvd.hw37ni</t>
  </si>
  <si>
    <t>hvd.32044102845898</t>
  </si>
  <si>
    <t>009729298</t>
  </si>
  <si>
    <t>hvd.32044097075659</t>
  </si>
  <si>
    <t>009729637</t>
  </si>
  <si>
    <t>Progressive exercises in English grammar, part II : containing the principles of the synthesis or construction of the English language /</t>
  </si>
  <si>
    <t>hvd.32044038404257</t>
  </si>
  <si>
    <t>009729689</t>
  </si>
  <si>
    <t>Lectures on eloquence and style /</t>
  </si>
  <si>
    <t>hvd.hwsk6f</t>
  </si>
  <si>
    <t>hvd.hn1evq</t>
  </si>
  <si>
    <t>009729835</t>
  </si>
  <si>
    <t>Analytical vocabulary, or, Analytical system of teaching orthography : in which the spelling, meaning, and construction of 80,000 words are taught from 8,000 roots /</t>
  </si>
  <si>
    <t>Parsons, J. U.</t>
  </si>
  <si>
    <t>hvd.hwhiua</t>
  </si>
  <si>
    <t>009729915</t>
  </si>
  <si>
    <t>An introduction to the grammar of elocution : designed for the use of schools /</t>
  </si>
  <si>
    <t>hvd.hwhitm</t>
  </si>
  <si>
    <t>009730199</t>
  </si>
  <si>
    <t>A practical manual of elocution : embracing voice and gesture : designed for schools, academies and colleges, as well as for private learners /</t>
  </si>
  <si>
    <t>hvd.hwhitn</t>
  </si>
  <si>
    <t>hvd.32044015366610</t>
  </si>
  <si>
    <t>009730202</t>
  </si>
  <si>
    <t>Introduction to the English reader; or, A selection of pieces, in prose and poetry, calculated to improve the younger classes of learners in reading, and to imbue their minds with the love of virture. To which are added, rules and observations for assisting children to read with propriety.</t>
  </si>
  <si>
    <t>hvd.hn5wj8</t>
  </si>
  <si>
    <t>009725655</t>
  </si>
  <si>
    <t>The English reader; or, Pieces in prose and verses; selected from the best writers,</t>
  </si>
  <si>
    <t>hvd.hn1ev5</t>
  </si>
  <si>
    <t>009725662</t>
  </si>
  <si>
    <t>hvd.32044081368235</t>
  </si>
  <si>
    <t>009726924</t>
  </si>
  <si>
    <t>Rhyme the leading principle of Latin versification,or A few plain arguments and examples illustrating our ignorance of the poetry of the Romans.</t>
  </si>
  <si>
    <t>hvd.hn5wzt</t>
  </si>
  <si>
    <t>009727162</t>
  </si>
  <si>
    <t>A critical pronouncing dictionary, and expositor of the English language : in which not only the meaning of every word is explained, and the sound of every syllable distinctly shown, but, where words are subject to different pronunciations, the reasons for each are duly considered, and the best pronunciation is selected</t>
  </si>
  <si>
    <t>hvd.hn6f2b</t>
  </si>
  <si>
    <t>009727163</t>
  </si>
  <si>
    <t>A critical pronouncing dictionary, and expositor of the English language ... To which are prefixed principles of English pronunciation ... Likewise, rules to be observed by the natives of Scotland, Ireland and London, for avoiding their respective peculiarities ... To which is annexed A key to the classical pronunciation of Greek, Latin, and Scripture proper names, &amp;c.</t>
  </si>
  <si>
    <t>hvd.hn1qbp</t>
  </si>
  <si>
    <t>009727165</t>
  </si>
  <si>
    <t>The art of reading, or, Rules for the attainment of a just and correct enunciation of written language : mostly selected from Walker's Elements of elocution, and adapted to the use of schools.</t>
  </si>
  <si>
    <t>hvd.32044102788544</t>
  </si>
  <si>
    <t>009727979</t>
  </si>
  <si>
    <t>Rhetoric, or, The principles of elocution and rhetorical composition /</t>
  </si>
  <si>
    <t>Willard, Samuel,</t>
  </si>
  <si>
    <t>hvd.ah65vx</t>
  </si>
  <si>
    <t>009728357</t>
  </si>
  <si>
    <t>A grammar of the English language ... /</t>
  </si>
  <si>
    <t>hvd.hwad6a</t>
  </si>
  <si>
    <t>009728592</t>
  </si>
  <si>
    <t>Prose works.</t>
  </si>
  <si>
    <t>Scott, Walter,</t>
  </si>
  <si>
    <t>hvd.hwad6b</t>
  </si>
  <si>
    <t>hvd.hwad6c</t>
  </si>
  <si>
    <t>hvd.hwad6d</t>
  </si>
  <si>
    <t>hvd.hwad6e</t>
  </si>
  <si>
    <t>hvd.hwad6f</t>
  </si>
  <si>
    <t>A key to the classical pronunciation of Greek, Latin, and scripture proper names : in which the words are accented and divided into syllables exactly as they ought to be pronounced, according to rules drawn from analogy and the best usuage to which are added terminational vocabularies of Hebrew, Greek and Latin proper names, in which the words are arranged according to their final syllables, and classed according to their accents; by which the general analogy of pronunciation may be seen at one view, and the accentuation of each word more easily remembered. Concluding with observations on the Greek and Latin accents and quantity; with some probable conjectures on the method of freeing them from obscurity and confusion in which they are involved, both by the ancients and moderns /</t>
  </si>
  <si>
    <t>hvd.hw22un</t>
  </si>
  <si>
    <t>009724091</t>
  </si>
  <si>
    <t>A practical grammar of the English language, in which the principles established by Lindley Murray, are inculcated, and his theory of the moods clearly illustrated by diagrams, representing the number of the tenses in each mood--their signs--and the manner in which they are formed.</t>
  </si>
  <si>
    <t>hvd.hn5wc5</t>
  </si>
  <si>
    <t>009724196</t>
  </si>
  <si>
    <t>English grammar in lectures : designed to render its principles easily adapted to the mind of the young learner, and its study entertaining /</t>
  </si>
  <si>
    <t>Hamlin, L. F.</t>
  </si>
  <si>
    <t>hvd.hn5wz5</t>
  </si>
  <si>
    <t>009724410</t>
  </si>
  <si>
    <t>Elements of English grammar : with progressive exercises in parsing /</t>
  </si>
  <si>
    <t>hvd.ml14ed</t>
  </si>
  <si>
    <t>009725125</t>
  </si>
  <si>
    <t>The music of nature; or, An attempt to prove that what is passionate and pleasing in the art of singing, speaking, and performing upon musical instruments, is derived from the sounds of the animated world. With curious and interesting illustrations.</t>
  </si>
  <si>
    <t>hvd.hn5wxw</t>
  </si>
  <si>
    <t>009725652</t>
  </si>
  <si>
    <t>English exercises adapted to Murray's English grammar. Designed for the benefit of private learners as well as for the use of schools.</t>
  </si>
  <si>
    <t>hvd.hn1dl6</t>
  </si>
  <si>
    <t>009725654</t>
  </si>
  <si>
    <t>Lessons in enunciation : comprising a course of elementary exercises and a statement of common errors in articulation, with the rules of correct usage in pronouncing ; to which is added an appendix, containing rules and exercises on the mode of enunciation required for public reading and speaking /</t>
  </si>
  <si>
    <t>hvd.hwsk6d</t>
  </si>
  <si>
    <t>009721608</t>
  </si>
  <si>
    <t>Lessons in enunciation, comprising a statement of common errors in articulation, and the rules of correct usage in pronouncing ...</t>
  </si>
  <si>
    <t>hvd.hnjimv</t>
  </si>
  <si>
    <t>009721780</t>
  </si>
  <si>
    <t>Historical and critical remarks upon the modern hexametrists and upon Mr. Southey's Vision of judgment.</t>
  </si>
  <si>
    <t>Tillbrook, Samuel.</t>
  </si>
  <si>
    <t>hvd.hwp77i</t>
  </si>
  <si>
    <t>009721986</t>
  </si>
  <si>
    <t>Philip van Artevelde; a dramatic romance.</t>
  </si>
  <si>
    <t>hvd.hwp788</t>
  </si>
  <si>
    <t>hvd.32044074355850</t>
  </si>
  <si>
    <t>009722048</t>
  </si>
  <si>
    <t>A key to the classical pronunciation of Greek, Latin, and Scripture proper names ... critical notes ...</t>
  </si>
  <si>
    <t>hvd.hwpa6m</t>
  </si>
  <si>
    <t>009722050</t>
  </si>
  <si>
    <t>A rhyming dictionary, answering at the same time the purposes of spelling and pronouncing the English language ...</t>
  </si>
  <si>
    <t>hvd.32044100036904</t>
  </si>
  <si>
    <t>009722052</t>
  </si>
  <si>
    <t>Walker's critical pronouncing dictionary, and expositor of the English language ; abridged for the use of schools ; to which is annexed, an abridgment of Walker's key to the pronunciation of Greek, Latin, and scripture proper names.</t>
  </si>
  <si>
    <t>hvd.32044014077572</t>
  </si>
  <si>
    <t>009722055</t>
  </si>
  <si>
    <t>A selection of one hundred of Perrin's fables : accompanied with a key, containing the text, a literal and a free translation arranged in such a manner as to point out the difference between the French and the English idiom : also a figured pronunciation of the French, according to the best French works extant on the subject : the whole preceded by a short treatise on the sounds of the French language, compared with those of the English /</t>
  </si>
  <si>
    <t>hvd.32044097075592</t>
  </si>
  <si>
    <t>009720701</t>
  </si>
  <si>
    <t>Smith's new grammar. English grammar, on the productive system: a method of instruction recently adopted in Germany and Switzerland. Designed for schools and academies.</t>
  </si>
  <si>
    <t>hvd.hwpaef</t>
  </si>
  <si>
    <t>009720782</t>
  </si>
  <si>
    <t>Reliques of ancient English poetry : consisting of old heroic ballads, songs, and other pieces : together with some few of later date.</t>
  </si>
  <si>
    <t>hvd.hwpaeg</t>
  </si>
  <si>
    <t>hvd.hwpaeh</t>
  </si>
  <si>
    <t>hvd.hwpaei</t>
  </si>
  <si>
    <t>hvd.32044038405387</t>
  </si>
  <si>
    <t>009720832</t>
  </si>
  <si>
    <t>hvd.32044102845799</t>
  </si>
  <si>
    <t>hvd.hwnqcq</t>
  </si>
  <si>
    <t>009720842</t>
  </si>
  <si>
    <t>hvd.32044102850955</t>
  </si>
  <si>
    <t>009720912</t>
  </si>
  <si>
    <t>hvd.32044097075485</t>
  </si>
  <si>
    <t>009720937</t>
  </si>
  <si>
    <t>An introduction to English grammar, on an analytical plan : adapted to the use of students in colleges and the higher classes in schools and academies /</t>
  </si>
  <si>
    <t>Webber, Samuel,</t>
  </si>
  <si>
    <t>hvd.hx5gbg</t>
  </si>
  <si>
    <t>009720958</t>
  </si>
  <si>
    <t>Todd's Johnson's dictionary of the English language in miniature : to which is added, a copious vocabulary of Greek, Latin, and scriptural proper names : divided into syllables and accentuated for pronunciation /</t>
  </si>
  <si>
    <t>hvd.32044102875200</t>
  </si>
  <si>
    <t>009720968</t>
  </si>
  <si>
    <t>hvd.32044097075550</t>
  </si>
  <si>
    <t>009721076</t>
  </si>
  <si>
    <t>The rhetorical reader; consisting of instructions for regulating the voice, with a rhetorical notation, illustrating inflection, emphasis, and modulation; and a course of rhetorical exercises ...</t>
  </si>
  <si>
    <t>hvd.hwnqbz</t>
  </si>
  <si>
    <t>009721122</t>
  </si>
  <si>
    <t>Rudiments of gesture, comprising illustrations of common faults in attitude and action.</t>
  </si>
  <si>
    <t>hvd.32044038405411</t>
  </si>
  <si>
    <t>009721131</t>
  </si>
  <si>
    <t>The lives of the English poets;</t>
  </si>
  <si>
    <t>hvd.hwkfeh</t>
  </si>
  <si>
    <t>009719646</t>
  </si>
  <si>
    <t>The Lives of the most eminent English poets with critical observations on their works /</t>
  </si>
  <si>
    <t>hvd.hwkff7</t>
  </si>
  <si>
    <t>ien.35556006732523</t>
  </si>
  <si>
    <t>hvd.32044097058416</t>
  </si>
  <si>
    <t>009719760</t>
  </si>
  <si>
    <t>Philosophic grammar of the English language : in connection with the laws of matter and of thought ... designed for private students, foreigners, and the higher classes in schools /</t>
  </si>
  <si>
    <t>hvd.32044097075519</t>
  </si>
  <si>
    <t>009719803</t>
  </si>
  <si>
    <t>A grammar of the English language, in a series of letters. Intended for the use of schools and of young persons in general: but more especially for the use of soldiers, sailors, apprentices, and plough-boys.</t>
  </si>
  <si>
    <t>hvd.32044102845823</t>
  </si>
  <si>
    <t>009720182</t>
  </si>
  <si>
    <t>Elements of rhetoric : exhibiting a methodical arrangement of all the important ideas of the ancient and modern rhetorical writers : designed for the use of colleges, academies, and schools /</t>
  </si>
  <si>
    <t>Getty, John A.</t>
  </si>
  <si>
    <t>hvd.32044097057491</t>
  </si>
  <si>
    <t>009720328</t>
  </si>
  <si>
    <t>hvd.32044097075410</t>
  </si>
  <si>
    <t>009720329</t>
  </si>
  <si>
    <t>An abridgment of Murray's English grammar. Containing also punctuation, the notes under rules in syntax, and lessons in parsing...</t>
  </si>
  <si>
    <t>hvd.32044097056840</t>
  </si>
  <si>
    <t>009720330</t>
  </si>
  <si>
    <t>Abridgment of English grammar: comprehending the principles and rules of the language, illustrated by appropriate exercises. Designed for the younger classes of learners.</t>
  </si>
  <si>
    <t>hvd.hx6hbz</t>
  </si>
  <si>
    <t>009720336</t>
  </si>
  <si>
    <t>Johnson's dictionary of the English language in miniature : to which are added, an alphabetical account of the heathen deities, and a copious chronological table of remarkable events, discoveries and inventions in Europe /</t>
  </si>
  <si>
    <t>hvd.32044097057525</t>
  </si>
  <si>
    <t>009720392</t>
  </si>
  <si>
    <t>hvd.32044097058523</t>
  </si>
  <si>
    <t>009720501</t>
  </si>
  <si>
    <t>Exercises in grammar : prepared for the use of the Hartford Female Seminary.</t>
  </si>
  <si>
    <t>hvd.32044102850880</t>
  </si>
  <si>
    <t>009720550</t>
  </si>
  <si>
    <t>A new translation of Aristotle's Rhetoric; with an introduction and appendix, explaining its relation to his exact philosophy, and vindicating that philosophy, by proofs that all departures from it have been deviations into error.</t>
  </si>
  <si>
    <t>hvd.32044085096584</t>
  </si>
  <si>
    <t>hvd.hwjlqw</t>
  </si>
  <si>
    <t>009716844</t>
  </si>
  <si>
    <t>Analysis of vocal inflections, as used in reading &amp; speaking : designed to render the principles of Walker's elements more intelligible /</t>
  </si>
  <si>
    <t>hvd.32044097075451</t>
  </si>
  <si>
    <t>009717733</t>
  </si>
  <si>
    <t>Murray's English grammar : revised, simplified, and adapted to the inductive and explanatory mode of instruction /</t>
  </si>
  <si>
    <t>hvd.hwjlqy</t>
  </si>
  <si>
    <t>009718029</t>
  </si>
  <si>
    <t>A sequel to the Diversions of Purley : containing an essay on English verbs, with remarks on Mr. Tooke's work, and on some terms employed to denote soul or spirit /</t>
  </si>
  <si>
    <t>Barclay, John,</t>
  </si>
  <si>
    <t>hvd.hwhiq8</t>
  </si>
  <si>
    <t>009718125</t>
  </si>
  <si>
    <t>hvd.hn66qy</t>
  </si>
  <si>
    <t>009718304</t>
  </si>
  <si>
    <t>hvd.hwhik5</t>
  </si>
  <si>
    <t>hvd.32044086599156</t>
  </si>
  <si>
    <t>009718463</t>
  </si>
  <si>
    <t>A new treatise on French pronunciation, or, a series of rules : by which every person acquainted with the English language, may readily ascertain the French pronunciation of all words, even those which do not belong to the French language / B.F. Bugard.</t>
  </si>
  <si>
    <t>Bugard, Bertrand Francis.</t>
  </si>
  <si>
    <t>hvd.32044102850997</t>
  </si>
  <si>
    <t>hvd.32044097075444</t>
  </si>
  <si>
    <t>009719082</t>
  </si>
  <si>
    <t>A grammar of the English language, in a series of letters : intended for the use of schools and of young persons in general, but more especially for the use of soldiers, sailors, apprentices and plough boys /</t>
  </si>
  <si>
    <t>hvd.32044102845815</t>
  </si>
  <si>
    <t>009719591</t>
  </si>
  <si>
    <t>Dr. Blair's lectures on rhetoric, abridged. With questions.</t>
  </si>
  <si>
    <t>hvd.hn1dl1</t>
  </si>
  <si>
    <t>009719594</t>
  </si>
  <si>
    <t>An abridgment of Lectures on rhetoric.</t>
  </si>
  <si>
    <t>hvd.hxjgc9</t>
  </si>
  <si>
    <t>009719628</t>
  </si>
  <si>
    <t>A dictionary of the English language:</t>
  </si>
  <si>
    <t>hvd.hx5g8i</t>
  </si>
  <si>
    <t>009719630</t>
  </si>
  <si>
    <t>Johnson's dictionary of the English language. With Walker's pronunciation of all the difficult or doubtful words and marks to shew where to double the consonant in the participle.</t>
  </si>
  <si>
    <t>hvd.hwkff5</t>
  </si>
  <si>
    <t>009719638</t>
  </si>
  <si>
    <t>Sheridan's and Henderson's practical method of reading and reciting English poetry : elucidated by a variety of examples taken from some of our most popular poets, and the manner pointed out in which they were read or recited by the above gentlemen; intended for the improvement of youth, and as a necessary introduction to Dr. Enfield's speaker.</t>
  </si>
  <si>
    <t>hvd.hxjgch</t>
  </si>
  <si>
    <t>009709201</t>
  </si>
  <si>
    <t>A discourse delivered in the Theatre at Oxford, in the Senate-house at Cambridge, and at Spring-garden in London /</t>
  </si>
  <si>
    <t>hvd.32044086912813</t>
  </si>
  <si>
    <t>009709403</t>
  </si>
  <si>
    <t>Observations introductory to a work on English etymology.</t>
  </si>
  <si>
    <t>Thomson, John,</t>
  </si>
  <si>
    <t>hvd.hxq4fb</t>
  </si>
  <si>
    <t>009709964</t>
  </si>
  <si>
    <t>Essays: on the nature and immutability of truth, in opposition to sophistry and scepticism; on poetry and musick, as they affect the mind; on laughter, and ludicrous composition; on the utility of classical learning.</t>
  </si>
  <si>
    <t>hvd.hn38jl</t>
  </si>
  <si>
    <t>009711478</t>
  </si>
  <si>
    <t>Grammar simplified, or, An ocular analysis of the English language [microform].</t>
  </si>
  <si>
    <t>Greenleaf, J.</t>
  </si>
  <si>
    <t>hvd.hn1ky1</t>
  </si>
  <si>
    <t>009711520</t>
  </si>
  <si>
    <t>Memoria technica, or, A new method of artificial memory, : applied to and exemplified in chronlogy history geography astronomy, also Jewish, Grecian and Roman coins, weights, measures, &amp;c. With tables proper to the respective sciences and memorial lines adapted to each table. /</t>
  </si>
  <si>
    <t>hvd.hxjhxp</t>
  </si>
  <si>
    <t>009712174</t>
  </si>
  <si>
    <t>An analytical inquiry into the principles of taste /</t>
  </si>
  <si>
    <t>hvd.hn5ih4</t>
  </si>
  <si>
    <t>009715028</t>
  </si>
  <si>
    <t>A critical pronouncing dictionary, and expositor of the English language. To which are prefixed, principles of English pronunciation ...</t>
  </si>
  <si>
    <t>hvd.hw22iv</t>
  </si>
  <si>
    <t>009715029</t>
  </si>
  <si>
    <t>A critical pronouncing dictionary : and expositor of the English language ... to which are prefixed, principles of English pronunciation ... /</t>
  </si>
  <si>
    <t>hvd.hwp1hq</t>
  </si>
  <si>
    <t>009716615</t>
  </si>
  <si>
    <t>The defence of poesy,</t>
  </si>
  <si>
    <t>hvd.32044077947968</t>
  </si>
  <si>
    <t>009716716</t>
  </si>
  <si>
    <t>English exercises, adapted to Murray's English grammar : consisting of exercises in parsing, instances of false orthography, violations of the rules of syntax, defects in punctuation, and violations of the rules respecting perspicuous and accurate writing : designed for the benefit of private learners, as well as for the use of schools /</t>
  </si>
  <si>
    <t>hvd.32044097056717</t>
  </si>
  <si>
    <t>009708585</t>
  </si>
  <si>
    <t>An abridgement of Murray's grammar ; to which is added a set of lessons, containing examples, explanations, rules, and questions, suited to the several parts of speech and forms of the English language /</t>
  </si>
  <si>
    <t>hvd.32044097056709</t>
  </si>
  <si>
    <t>009708586</t>
  </si>
  <si>
    <t>hvd.hwsiep</t>
  </si>
  <si>
    <t>009708590</t>
  </si>
  <si>
    <t>Dictionary of the English language, in miniature. To which are added an alphabetical account of the heathen deities, and a chronological table of remarkable events, discoveries, and inventions.</t>
  </si>
  <si>
    <t>hvd.32044097056642</t>
  </si>
  <si>
    <t>009708847</t>
  </si>
  <si>
    <t>The art of reading : containing a number of useful rules exemplified by a variety of selected and original pieces, narrative, didactic, argumentative, poetical, descriptive, pathetic, humourous, and entertaining, together with dialogues, speeches, orations, addresses, and harangues : calculated to improve the scholar in reading and speaking with propriety and elegance, and to impress the minds of youth with sentiments of virtue and religion : designed for the use of schools and families /</t>
  </si>
  <si>
    <t>Staniford, Daniel,</t>
  </si>
  <si>
    <t>hvd.32044097056527</t>
  </si>
  <si>
    <t>009708970</t>
  </si>
  <si>
    <t>The elements of English grammar : methodically arranged for the assistance of young persons who study the English language grammatically ; to which is added a concise treatise of rhetoric designed particularly for the use of ladies' boarding schools ... /</t>
  </si>
  <si>
    <t>Ussher, G. Neville</t>
  </si>
  <si>
    <t>hvd.hn2ghn</t>
  </si>
  <si>
    <t>009709197</t>
  </si>
  <si>
    <t>English grammar : adapted to the different classes of learners : with an appendix containing rules and observations for assisting the more advanced students to write with perspicuity and accuracy ... /</t>
  </si>
  <si>
    <t>hvd.32044038404091</t>
  </si>
  <si>
    <t>hvd.32044038404109</t>
  </si>
  <si>
    <t>hvd.hxjgci</t>
  </si>
  <si>
    <t>009707381</t>
  </si>
  <si>
    <t>hvd.hxjgcj</t>
  </si>
  <si>
    <t>hvd.hxjgck</t>
  </si>
  <si>
    <t>hvd.32044102787207</t>
  </si>
  <si>
    <t>009707423</t>
  </si>
  <si>
    <t>The new preceptor, or, Young lady's &amp; gentleman's true instructor in the rudiments of the English tongue ... /</t>
  </si>
  <si>
    <t>Kay, R.</t>
  </si>
  <si>
    <t>hvd.32044102787215</t>
  </si>
  <si>
    <t>hvd.hwjlql</t>
  </si>
  <si>
    <t>009707495</t>
  </si>
  <si>
    <t>The original rhythmical grammar of the English language : or, the art of reading and speaking, on the principles of the music of speech.</t>
  </si>
  <si>
    <t>hvd.hnjin7</t>
  </si>
  <si>
    <t>009707566</t>
  </si>
  <si>
    <t>Key to practical English prosody and versification.</t>
  </si>
  <si>
    <t>hvd.hxg8hz</t>
  </si>
  <si>
    <t>009707567</t>
  </si>
  <si>
    <t>Practical English prosody and versification; or, Descriptions of the different species of English verse, with exercises in scanning and versification ... calculated to produce correctness of ear and taste in reading and writing poetry ...</t>
  </si>
  <si>
    <t>hvd.hn5zcb</t>
  </si>
  <si>
    <t>009708041</t>
  </si>
  <si>
    <t>hvd.32044102845880</t>
  </si>
  <si>
    <t>009708156</t>
  </si>
  <si>
    <t>An abridgement of Lectures on rhetoric /</t>
  </si>
  <si>
    <t>hvd.hxkch7</t>
  </si>
  <si>
    <t>009708188</t>
  </si>
  <si>
    <t>A dictionary of the English language : in which the words are deduced from their originals, explained in their different meanings, and authorized by the names of the writers in whose works they are found /</t>
  </si>
  <si>
    <t>hvd.hxkcgf</t>
  </si>
  <si>
    <t>009708190</t>
  </si>
  <si>
    <t>hvd.hxkcgr</t>
  </si>
  <si>
    <t>009708194</t>
  </si>
  <si>
    <t>A dictionary of the English language : in which the words are deduced from the originals, explained in their different meanings, and authored by the names of the writers in whose works they are found.</t>
  </si>
  <si>
    <t>hvd.hxjf7c</t>
  </si>
  <si>
    <t>009708320</t>
  </si>
  <si>
    <t>Denkwürdigkeiten aus dem Leben und den Schriften der neuesten brittischen Dichter,</t>
  </si>
  <si>
    <t>Bd.2</t>
  </si>
  <si>
    <t>Kosegarten, Ludwig Gotthard,</t>
  </si>
  <si>
    <t>hvd.hxjf7d</t>
  </si>
  <si>
    <t>Bd.1</t>
  </si>
  <si>
    <t>hvd.32044097056733</t>
  </si>
  <si>
    <t>009708580</t>
  </si>
  <si>
    <t>An instructive elocution: designed especially for teachers and private learners.</t>
  </si>
  <si>
    <t>Fertich, W. H.,</t>
  </si>
  <si>
    <t>inu.30000099952560</t>
  </si>
  <si>
    <t>009685929</t>
  </si>
  <si>
    <t>Essentials of elocution and oratory /</t>
  </si>
  <si>
    <t>Pinkley, Virgil A.</t>
  </si>
  <si>
    <t>uc1.b3999938</t>
  </si>
  <si>
    <t>009692486</t>
  </si>
  <si>
    <t>wu.89099896706</t>
  </si>
  <si>
    <t>009698235</t>
  </si>
  <si>
    <t>The principles of English grammar /</t>
  </si>
  <si>
    <t>wu.89099897324</t>
  </si>
  <si>
    <t>009698245</t>
  </si>
  <si>
    <t>Intellectual and practical grammar, in a series of inductive questions, connected with exercises in composition.</t>
  </si>
  <si>
    <t>wu.89099894214</t>
  </si>
  <si>
    <t>009699232</t>
  </si>
  <si>
    <t>nnc2.ark:/13960/t54f2jp07</t>
  </si>
  <si>
    <t>009703949</t>
  </si>
  <si>
    <t>The mechanism of speech : lectures delivered before the American Association to Promote the Teaching of Speech to the Deaf, to which is appended a paper Vowel theories, read before the National Academy of Arts and Sciences /</t>
  </si>
  <si>
    <t>nnc2.ark:/13960/t08w43850</t>
  </si>
  <si>
    <t>009704489</t>
  </si>
  <si>
    <t>Science of voice production and voice preservation, for use of speakers and singers.</t>
  </si>
  <si>
    <t>Holmes, Gordon.</t>
  </si>
  <si>
    <t>nnc2.ark:/13960/t4wh3bq38</t>
  </si>
  <si>
    <t>009704506</t>
  </si>
  <si>
    <t>Singers' throat troubles; their cause and cure; course of lectures delivered at the Grand Conservatory of Music, during the season 1883-84.</t>
  </si>
  <si>
    <t>Ward, Whitfield.</t>
  </si>
  <si>
    <t>nnc2.ark:/13960/t39z9tx5x</t>
  </si>
  <si>
    <t>009704995</t>
  </si>
  <si>
    <t>The voice in singing,</t>
  </si>
  <si>
    <t>Seiler, Emma,</t>
  </si>
  <si>
    <t>hvd.32044054765623</t>
  </si>
  <si>
    <t>009706109</t>
  </si>
  <si>
    <t>Horæ lyricæ : poems, chiefly of the lyric kind in three books : Sacred, I. to devotion and piety, II. to virtue, honour and friendship, III. to the memory of the dead /</t>
  </si>
  <si>
    <t>hvd.hxkcgn</t>
  </si>
  <si>
    <t>009706179</t>
  </si>
  <si>
    <t>A dictionary of the English language: in which the words are deduced from their originals, explained in their different meanings, and authorized by the names of the writers in whose works they are found.</t>
  </si>
  <si>
    <t>hvd.hxg8hy</t>
  </si>
  <si>
    <t>009706434</t>
  </si>
  <si>
    <t>The elements of English metre, both in prose and verse, illustrated under a variety of examples, by the analogous proportions of annexed lines, and by other occasional marks ...</t>
  </si>
  <si>
    <t>hvd.32044038404083</t>
  </si>
  <si>
    <t>009707133</t>
  </si>
  <si>
    <t>A critical pronouncing dictionary, and expositor of the English language ... : to which are prefixed, principles of English pronunciation ... : the whole interspersed with observations, etymological, critical, and grammatical /</t>
  </si>
  <si>
    <t>ucm.5325068688</t>
  </si>
  <si>
    <t>009653934</t>
  </si>
  <si>
    <t>ucm.5325079312</t>
  </si>
  <si>
    <t>009654489</t>
  </si>
  <si>
    <t>The last fruit off an old tree /</t>
  </si>
  <si>
    <t>uc2.ark:/13960/t6j106h99</t>
  </si>
  <si>
    <t>009657349</t>
  </si>
  <si>
    <t>Popular manual of vocal physiology and visible speech,</t>
  </si>
  <si>
    <t>uc1.b4023243</t>
  </si>
  <si>
    <t>009657418</t>
  </si>
  <si>
    <t>On the relations between spoken and written language, with special reference to English /</t>
  </si>
  <si>
    <t>uc1.b4021834</t>
  </si>
  <si>
    <t>009658290</t>
  </si>
  <si>
    <t>Outlines of etymology.</t>
  </si>
  <si>
    <t>uc2.ark:/13960/t18k7g01b</t>
  </si>
  <si>
    <t>uc1.b4022071</t>
  </si>
  <si>
    <t>009658369</t>
  </si>
  <si>
    <t>Some questions of phonetic theory</t>
  </si>
  <si>
    <t>v.1:5</t>
  </si>
  <si>
    <t>Perrett, Wilfrid,</t>
  </si>
  <si>
    <t>uc1.b4018779</t>
  </si>
  <si>
    <t>009658539</t>
  </si>
  <si>
    <t>The universal language. An argument for a reformed orthography, as a means of aiding the universal diffusion of the English language.</t>
  </si>
  <si>
    <t>White, William,</t>
  </si>
  <si>
    <t>uc2.ark:/13960/t8qc05p48</t>
  </si>
  <si>
    <t>uc1.b4020157</t>
  </si>
  <si>
    <t>009658775</t>
  </si>
  <si>
    <t>Translations from the Manchu, with the original texts, prefaced by an essay on the language.</t>
  </si>
  <si>
    <t>Meadows, Thomas Taylor.</t>
  </si>
  <si>
    <t>uc2.ark:/13960/t2r49sc7s</t>
  </si>
  <si>
    <t>uc1.b4016793</t>
  </si>
  <si>
    <t>009659031</t>
  </si>
  <si>
    <t>The etymologic cipher alphabet of one hundred and twenty letters, with a new arithmetic system,</t>
  </si>
  <si>
    <t>Kluh, John M.</t>
  </si>
  <si>
    <t>uc2.ark:/13960/t2r49sc3v</t>
  </si>
  <si>
    <t>hvd.32044038402723</t>
  </si>
  <si>
    <t>009659290</t>
  </si>
  <si>
    <t>History of the Greek alphabet</t>
  </si>
  <si>
    <t>Sophocles, E. A.</t>
  </si>
  <si>
    <t>hvd.hn2cfe</t>
  </si>
  <si>
    <t>uc2.ark:/13960/t5q81g30z</t>
  </si>
  <si>
    <t>uc1.b4013499</t>
  </si>
  <si>
    <t>009667896</t>
  </si>
  <si>
    <t>The analysis of sentences explained and systematised : after the plan of Becker's German grammar /</t>
  </si>
  <si>
    <t>uc2.ark:/13960/t84j0nh86</t>
  </si>
  <si>
    <t>njp.32101080065772</t>
  </si>
  <si>
    <t>009675774</t>
  </si>
  <si>
    <t>njp.32101080065780</t>
  </si>
  <si>
    <t>inu.30000104324383</t>
  </si>
  <si>
    <t>009685623</t>
  </si>
  <si>
    <t>Book-song : an anthology of poems of books and bookmen from modern authors,</t>
  </si>
  <si>
    <t>inu.30000099965620</t>
  </si>
  <si>
    <t>009685927</t>
  </si>
  <si>
    <t>009604486</t>
  </si>
  <si>
    <t>Law, Robert Adger,</t>
  </si>
  <si>
    <t>loc.ark:/13960/t8hd8hn7x</t>
  </si>
  <si>
    <t>009604692</t>
  </si>
  <si>
    <t>A history of England /</t>
  </si>
  <si>
    <t>Fletcher, C. R. L.</t>
  </si>
  <si>
    <t>loc.ark:/13960/t8x92t33z</t>
  </si>
  <si>
    <t>009605658</t>
  </si>
  <si>
    <t>A manual of English prose literature, biographical and critical, designed mainly to show characterisics of style,</t>
  </si>
  <si>
    <t>loc.ark:/13960/t2q53df8c</t>
  </si>
  <si>
    <t>009605672</t>
  </si>
  <si>
    <t>Modern methods of teaching; language, reading, spelling,</t>
  </si>
  <si>
    <t>Patzer, Conrad E. [from old catalog]</t>
  </si>
  <si>
    <t>loc.ark:/13960/t6058559v</t>
  </si>
  <si>
    <t>009606933</t>
  </si>
  <si>
    <t>loc.ark:/13960/t1zc8nw8z</t>
  </si>
  <si>
    <t>009607207</t>
  </si>
  <si>
    <t>loc.ark:/13960/t8z89t70x</t>
  </si>
  <si>
    <t>009607610</t>
  </si>
  <si>
    <t>Evangeline. A legitimate spectacular drama in five acts, arranged and adapted for the stage,</t>
  </si>
  <si>
    <t>Traver, Robert N.</t>
  </si>
  <si>
    <t>loc.ark:/13960/t7pn9pt8s</t>
  </si>
  <si>
    <t>009607728</t>
  </si>
  <si>
    <t>loc.ark:/13960/t8kd2dm44</t>
  </si>
  <si>
    <t>009607910</t>
  </si>
  <si>
    <t>loc.ark:/13960/t2b85qp2q</t>
  </si>
  <si>
    <t>009608157</t>
  </si>
  <si>
    <t>Manual to accompany lessons in language and grammar,</t>
  </si>
  <si>
    <t>Tarbell, Horace S[umner]</t>
  </si>
  <si>
    <t>loc.ark:/13960/t23b6jj56</t>
  </si>
  <si>
    <t>009609231</t>
  </si>
  <si>
    <t>Pictures in language work,</t>
  </si>
  <si>
    <t>Weaver, E. W. [from old catalog]</t>
  </si>
  <si>
    <t>loc.ark:/13960/t9v12js1j</t>
  </si>
  <si>
    <t>009609497</t>
  </si>
  <si>
    <t>loc.ark:/13960/t9r21df7b</t>
  </si>
  <si>
    <t>009609763</t>
  </si>
  <si>
    <t>Story-land ; outlines for the child life composition pictures,</t>
  </si>
  <si>
    <t>Seachrest, Effie. [from old catalog]</t>
  </si>
  <si>
    <t>loc.ark:/13960/t20c5gc2q</t>
  </si>
  <si>
    <t>009609884</t>
  </si>
  <si>
    <t>loc.ark:/13960/t7jq1gk8k</t>
  </si>
  <si>
    <t>009610656</t>
  </si>
  <si>
    <t>England in rhyme:</t>
  </si>
  <si>
    <t>uc1.b4040424</t>
  </si>
  <si>
    <t>009623166</t>
  </si>
  <si>
    <t>Outline of a theory of linguistic change,</t>
  </si>
  <si>
    <t>Deferrari, Harry A.</t>
  </si>
  <si>
    <t>uc1.b4040433</t>
  </si>
  <si>
    <t>009623171</t>
  </si>
  <si>
    <t>M. Fabi Quintiliani Institutionis oratoriae liber decimus.</t>
  </si>
  <si>
    <t>uc2.ark:/13960/t3nv9mk70</t>
  </si>
  <si>
    <t>009645196</t>
  </si>
  <si>
    <t>The restored pronunciation of Greek and Latin /</t>
  </si>
  <si>
    <t>uc1.b4029347</t>
  </si>
  <si>
    <t>009645269</t>
  </si>
  <si>
    <t>Elements of rhetoric : comprising an analysis of the laws of moral evidence and of persuasion : with rules for argumentative composition and elocution /</t>
  </si>
  <si>
    <t>uc2.ark:/13960/t9959px8f</t>
  </si>
  <si>
    <t>ucm.5318747345</t>
  </si>
  <si>
    <t>009651714</t>
  </si>
  <si>
    <t>Specimens of the table talk of the late Samuel Taylor Coleridge ...</t>
  </si>
  <si>
    <t>loc.ark:/13960/t03x8rf6w</t>
  </si>
  <si>
    <t>009593233</t>
  </si>
  <si>
    <t>The primary gift of 275 letter cards in print and script.</t>
  </si>
  <si>
    <t>Starr, Ellen D. [from old catalog]</t>
  </si>
  <si>
    <t>loc.ark:/13960/t63493w6z</t>
  </si>
  <si>
    <t>loc.ark:/13960/t22b9gz05</t>
  </si>
  <si>
    <t>009593476</t>
  </si>
  <si>
    <t>Correlation of vocational and liberal education through English,</t>
  </si>
  <si>
    <t>loc.ark:/13960/t1pg24s8p</t>
  </si>
  <si>
    <t>009594005</t>
  </si>
  <si>
    <t>Supplementing the Hillegas scale; a description of the derivation and use of the Nassau County supplement to the Hillegas composition scale,</t>
  </si>
  <si>
    <t>Trabue, Marion Rex,</t>
  </si>
  <si>
    <t>loc.ark:/13960/t6vx15d1t</t>
  </si>
  <si>
    <t>009594749</t>
  </si>
  <si>
    <t>English composition as a social problem,</t>
  </si>
  <si>
    <t>loc.ark:/13960/t0sq9d378</t>
  </si>
  <si>
    <t>009594990</t>
  </si>
  <si>
    <t>Spenser's poem,</t>
  </si>
  <si>
    <t>loc.ark:/13960/t3gx4tr12</t>
  </si>
  <si>
    <t>009595396</t>
  </si>
  <si>
    <t>Old English ballads, selected and ed.</t>
  </si>
  <si>
    <t>loc.ark:/13960/t24b3q00v</t>
  </si>
  <si>
    <t>009596105</t>
  </si>
  <si>
    <t>Course of study in phonics ...</t>
  </si>
  <si>
    <t>Johnstone, Corinne H. [from old catalog]</t>
  </si>
  <si>
    <t>loc.ark:/13960/t0jt08550</t>
  </si>
  <si>
    <t>009596511</t>
  </si>
  <si>
    <t>loc.ark:/13960/t1fj37n7j</t>
  </si>
  <si>
    <t>009597426</t>
  </si>
  <si>
    <t>Pages from an old volume of life: a collection of essays, 1857-1881,</t>
  </si>
  <si>
    <t>loc.ark:/13960/t5s75w068</t>
  </si>
  <si>
    <t>009598662</t>
  </si>
  <si>
    <t>Method in grammar and language.</t>
  </si>
  <si>
    <t>Neet, George Wallace. [from old catalog]</t>
  </si>
  <si>
    <t>loc.ark:/13960/t0sq9bg6w</t>
  </si>
  <si>
    <t>009598781</t>
  </si>
  <si>
    <t>Phonics</t>
  </si>
  <si>
    <t>Stichter, Katherine. [from old catalog]</t>
  </si>
  <si>
    <t>loc.ark:/13960/t98638c3n</t>
  </si>
  <si>
    <t>009599029</t>
  </si>
  <si>
    <t>English language (course A).</t>
  </si>
  <si>
    <t>loc.ark:/13960/t3fx7tz9f</t>
  </si>
  <si>
    <t>009599274</t>
  </si>
  <si>
    <t>loc.ark:/13960/t1xd1gj98</t>
  </si>
  <si>
    <t>009599692</t>
  </si>
  <si>
    <t>loc.ark:/13960/t6qz2sf4n</t>
  </si>
  <si>
    <t>009600510</t>
  </si>
  <si>
    <t>An inquiry into the moral character of Lord Byron ...</t>
  </si>
  <si>
    <t>Simmons, J. W.</t>
  </si>
  <si>
    <t>loc.ark:/13960/t92810m9f</t>
  </si>
  <si>
    <t>009601537</t>
  </si>
  <si>
    <t>The temper of the seventeenth century in English literature;</t>
  </si>
  <si>
    <t>loc.ark:/13960/t5db8m49z</t>
  </si>
  <si>
    <t>009602328</t>
  </si>
  <si>
    <t>John Webster and the Elizabethan drama.</t>
  </si>
  <si>
    <t>loc.ark:/13960/t71v6856c</t>
  </si>
  <si>
    <t>009604138</t>
  </si>
  <si>
    <t>A complete manual.</t>
  </si>
  <si>
    <t>Pollard, Rebecca S.,</t>
  </si>
  <si>
    <t>loc.ark:/13960/t6xw55h6c</t>
  </si>
  <si>
    <t>009584156</t>
  </si>
  <si>
    <t>The history of England in rhyme.</t>
  </si>
  <si>
    <t>Adams, Robert Chamblet,</t>
  </si>
  <si>
    <t>loc.ark:/13960/t73v01t0f</t>
  </si>
  <si>
    <t>009584284</t>
  </si>
  <si>
    <t>The school-room guide,</t>
  </si>
  <si>
    <t>De Graff, E[smond] V[edder] [from old catalog]</t>
  </si>
  <si>
    <t>loc.ark:/13960/t8rb7nh6d</t>
  </si>
  <si>
    <t>009584984</t>
  </si>
  <si>
    <t>loc.ark:/13960/t62524c04</t>
  </si>
  <si>
    <t>009585374</t>
  </si>
  <si>
    <t>Scales for measuring special types of English composition,</t>
  </si>
  <si>
    <t>Lewis, Ervin Eugene,</t>
  </si>
  <si>
    <t>loc.ark:/13960/t4th9674g</t>
  </si>
  <si>
    <t>009585578</t>
  </si>
  <si>
    <t>History of the Kings and queens of England, in verse ...</t>
  </si>
  <si>
    <t>Smithson, William T. [from old catalog]</t>
  </si>
  <si>
    <t>loc.ark:/13960/t65436v1p</t>
  </si>
  <si>
    <t>009586290</t>
  </si>
  <si>
    <t>Correlated lessons in language and occupation work,</t>
  </si>
  <si>
    <t>Dyer, Ruth O. [from old catalog]</t>
  </si>
  <si>
    <t>loc.ark:/13960/t8df7985k</t>
  </si>
  <si>
    <t>009586656</t>
  </si>
  <si>
    <t>The bothie of Toper-na-fuosich.</t>
  </si>
  <si>
    <t>loc.ark:/13960/t2v41bn9v</t>
  </si>
  <si>
    <t>009586835</t>
  </si>
  <si>
    <t>Essays in criticism,</t>
  </si>
  <si>
    <t>loc.ark:/13960/t4qj81138</t>
  </si>
  <si>
    <t>009587339</t>
  </si>
  <si>
    <t>Pope's Essay on man, and Essay on criticism;</t>
  </si>
  <si>
    <t>loc.ark:/13960/t8nc6gc91</t>
  </si>
  <si>
    <t>009587520</t>
  </si>
  <si>
    <t>loc.ark:/13960/t7gq7gv7b</t>
  </si>
  <si>
    <t>009588421</t>
  </si>
  <si>
    <t>Evangeline, and its author; a teacher's study,</t>
  </si>
  <si>
    <t>loc.ark:/13960/t9x06m70h</t>
  </si>
  <si>
    <t>009588577</t>
  </si>
  <si>
    <t>A study of a feature of sixteenth century conventionalism as it reveals itself in Holinshed's Chronicle ...</t>
  </si>
  <si>
    <t>Fiske, Christabel Forsyth. [from old catalog]</t>
  </si>
  <si>
    <t>loc.ark:/13960/t0pr8bw2c</t>
  </si>
  <si>
    <t>009589721</t>
  </si>
  <si>
    <t>loc.ark:/13960/t7qn6mx2k</t>
  </si>
  <si>
    <t>009589805</t>
  </si>
  <si>
    <t>Manual of suggestions for teachers using the Manly-Bailey Lessons in the speaking and writing of English.</t>
  </si>
  <si>
    <t>loc.ark:/13960/t3jw8zr4z</t>
  </si>
  <si>
    <t>009589846</t>
  </si>
  <si>
    <t>Imagination and fancy;</t>
  </si>
  <si>
    <t>loc.ark:/13960/t0ht37886</t>
  </si>
  <si>
    <t>009590882</t>
  </si>
  <si>
    <t>The principles and progress of English poetry, with representative masterpieces and notes,</t>
  </si>
  <si>
    <t>loc.ark:/13960/t0pr87w62</t>
  </si>
  <si>
    <t>009590974</t>
  </si>
  <si>
    <t>Hints for language lessons and plans for grammar lessons. A handbook for teachers.</t>
  </si>
  <si>
    <t>MacCabe, John A. [from old catalog]</t>
  </si>
  <si>
    <t>loc.ark:/13960/t3st84p34</t>
  </si>
  <si>
    <t>009592607</t>
  </si>
  <si>
    <t>Tales fom Scottish history in prose and verse. Selected from the works of standard authors.</t>
  </si>
  <si>
    <t>Rolfe, W. J.</t>
  </si>
  <si>
    <t>loc.ark:/13960/t9q24d07b</t>
  </si>
  <si>
    <t>009571783</t>
  </si>
  <si>
    <t>English in the high school,</t>
  </si>
  <si>
    <t>Reed, Albert Granberry,</t>
  </si>
  <si>
    <t>loc.ark:/13960/t39z9mn89</t>
  </si>
  <si>
    <t>009572079</t>
  </si>
  <si>
    <t>The conduct of composition work in grammar schools,</t>
  </si>
  <si>
    <t>Clapp, Henry Lincoln.</t>
  </si>
  <si>
    <t>loc.ark:/13960/t39z9s71m</t>
  </si>
  <si>
    <t>009572117</t>
  </si>
  <si>
    <t>Course of study in English language and literature for junior and senior high schools,</t>
  </si>
  <si>
    <t>loc.ark:/13960/t40s0bs46</t>
  </si>
  <si>
    <t>009574184</t>
  </si>
  <si>
    <t>loc.ark:/13960/t7pn9vc24</t>
  </si>
  <si>
    <t>009574695</t>
  </si>
  <si>
    <t>loc.ark:/13960/t4sj22b0m</t>
  </si>
  <si>
    <t>009575270</t>
  </si>
  <si>
    <t>loc.ark:/13960/t75t4537v</t>
  </si>
  <si>
    <t>009575985</t>
  </si>
  <si>
    <t>Evangeline, a tale of Acadie /</t>
  </si>
  <si>
    <t>loc.ark:/13960/t9d51cw09</t>
  </si>
  <si>
    <t>009577126</t>
  </si>
  <si>
    <t>Twenty years of school and college English,</t>
  </si>
  <si>
    <t>loc.ark:/13960/t3jw8tt3q</t>
  </si>
  <si>
    <t>009577188</t>
  </si>
  <si>
    <t>Methods of instruction: how to teach reading, pronunciation, and spelling.</t>
  </si>
  <si>
    <t>loc.ark:/13960/t8z89px45</t>
  </si>
  <si>
    <t>009577503</t>
  </si>
  <si>
    <t>English in the grades; suggestions for teachers,</t>
  </si>
  <si>
    <t>Blaisdell, Thomas C.</t>
  </si>
  <si>
    <t>loc.ark:/13960/t6543b991</t>
  </si>
  <si>
    <t>009577663</t>
  </si>
  <si>
    <t>Community English, a book of undertakings for boys and girls,</t>
  </si>
  <si>
    <t>Flagg, Mildred (Buchanan)</t>
  </si>
  <si>
    <t>loc.ark:/13960/t06w9vp67</t>
  </si>
  <si>
    <t>009578451</t>
  </si>
  <si>
    <t>The poetical works of Oliver Goldsmith, M.B. With an account of his life and writings.</t>
  </si>
  <si>
    <t>loc.ark:/13960/t9z03km7k</t>
  </si>
  <si>
    <t>009578485</t>
  </si>
  <si>
    <t>Why is it that Scotland, England, Ireland, Greece, Rome, Palestine, Arabia, and young America have all had first-rate poets, while many other countries never had any?</t>
  </si>
  <si>
    <t>loc.ark:/13960/t9s18hp0z</t>
  </si>
  <si>
    <t>009578570</t>
  </si>
  <si>
    <t>A metrical history of the life and times of Napoleon Bonaparte;</t>
  </si>
  <si>
    <t>Hillis, William J., [from old catalog]</t>
  </si>
  <si>
    <t>loc.ark:/13960/t1qf96q9q</t>
  </si>
  <si>
    <t>009579014</t>
  </si>
  <si>
    <t>A simplified course of study in grammar,</t>
  </si>
  <si>
    <t>Burk, Frederic Lister,</t>
  </si>
  <si>
    <t>loc.ark:/13960/t2m62929q</t>
  </si>
  <si>
    <t>009581639</t>
  </si>
  <si>
    <t>Evangeline, a tale of Acadie,</t>
  </si>
  <si>
    <t>loc.ark:/13960/t96696f4v</t>
  </si>
  <si>
    <t>009583758</t>
  </si>
  <si>
    <t>loc.ark:/13960/t9m33b60v</t>
  </si>
  <si>
    <t>009561360</t>
  </si>
  <si>
    <t>A suggested course in English for high schools.</t>
  </si>
  <si>
    <t>[Scribner, Woodbury John],</t>
  </si>
  <si>
    <t>loc.ark:/13960/t5t72zv4h</t>
  </si>
  <si>
    <t>009562302</t>
  </si>
  <si>
    <t>How to pronounce the names in Shakespeare; the pronunication of the names in the dramatis personae of each of Shakespeare's plays,</t>
  </si>
  <si>
    <t>Irvine, Theodora Ursula. [from old catalog]</t>
  </si>
  <si>
    <t>loc.ark:/13960/t77s8gm54</t>
  </si>
  <si>
    <t>009564109</t>
  </si>
  <si>
    <t>A review of Mr. Longfellow's Evangeline ...</t>
  </si>
  <si>
    <t>Peck, George W.</t>
  </si>
  <si>
    <t>loc.ark:/13960/t4cn7mc2v</t>
  </si>
  <si>
    <t>009564179</t>
  </si>
  <si>
    <t>The correlation of vocational and liberal education through English language and literature,</t>
  </si>
  <si>
    <t>Hooton, Mary Belle. [from old catalog]</t>
  </si>
  <si>
    <t>loc.ark:/13960/t50g45t48</t>
  </si>
  <si>
    <t>009565468</t>
  </si>
  <si>
    <t>Campbell, Eva Marie. [from old catalog]</t>
  </si>
  <si>
    <t>loc.ark:/13960/t73v0233w</t>
  </si>
  <si>
    <t>009565895</t>
  </si>
  <si>
    <t>Notes for teachers of English composition (to be used in connection with "Elements of rhetoric and English composition," first high school course) ...</t>
  </si>
  <si>
    <t>loc.ark:/13960/t89g68r9d</t>
  </si>
  <si>
    <t>009566016</t>
  </si>
  <si>
    <t>A complete manual. Pollard's synthetic method of reading and spelling.</t>
  </si>
  <si>
    <t>Pollard, R. S.</t>
  </si>
  <si>
    <t>loc.ark:/13960/t1pg2bn5x</t>
  </si>
  <si>
    <t>009567056</t>
  </si>
  <si>
    <t>Wieland's translation of Shakespeare,</t>
  </si>
  <si>
    <t>Meisnest, Frederick William. [from old catalog]</t>
  </si>
  <si>
    <t>loc.ark:/13960/t6h13n801</t>
  </si>
  <si>
    <t>009567126</t>
  </si>
  <si>
    <t>Chapters on the aims and practice of teaching;</t>
  </si>
  <si>
    <t>loc.ark:/13960/t14m9qs8s</t>
  </si>
  <si>
    <t>009567872</t>
  </si>
  <si>
    <t>loc.ark:/13960/t2n596r0q</t>
  </si>
  <si>
    <t>009568211</t>
  </si>
  <si>
    <t>loc.ark:/13960/t7pn9x37s</t>
  </si>
  <si>
    <t>009569060</t>
  </si>
  <si>
    <t>Dictation exercises to accompany Atwood's language tablets ...</t>
  </si>
  <si>
    <t>[Atwood, George Edward]</t>
  </si>
  <si>
    <t>loc.ark:/13960/t0qr5b97b</t>
  </si>
  <si>
    <t>009569960</t>
  </si>
  <si>
    <t>loc.ark:/13960/t1mg83b26</t>
  </si>
  <si>
    <t>009570084</t>
  </si>
  <si>
    <t>To what end do high schools teach English?</t>
  </si>
  <si>
    <t>Thurber, Samuel. [from old catalog]</t>
  </si>
  <si>
    <t>loc.ark:/13960/t5j96rp4h</t>
  </si>
  <si>
    <t>009570347</t>
  </si>
  <si>
    <t>The spirit of the American revolution as revealed in the poetry of the period; a study of American patriotic verse from 1760 to 1783,</t>
  </si>
  <si>
    <t>loc.ark:/13960/t5w671405</t>
  </si>
  <si>
    <t>009571558</t>
  </si>
  <si>
    <t>Sweetness and light : (reprinted from "Culture and anarchy"); and an essay on style /</t>
  </si>
  <si>
    <t>pst.000029878499</t>
  </si>
  <si>
    <t>009441707</t>
  </si>
  <si>
    <t>uc1.$b383259</t>
  </si>
  <si>
    <t>009454006</t>
  </si>
  <si>
    <t>Advice to poets /</t>
  </si>
  <si>
    <t>Seymour, George Steele,</t>
  </si>
  <si>
    <t>njp.32101036892121</t>
  </si>
  <si>
    <t>009471209</t>
  </si>
  <si>
    <t>The authors : A poem /</t>
  </si>
  <si>
    <t>Hayes, Daniel,</t>
  </si>
  <si>
    <t>njp.32101037601646</t>
  </si>
  <si>
    <t>009472161</t>
  </si>
  <si>
    <t>A dictionary of the English language, both with regard to sound and meaning ... To which is prefixed a prosodial grammar.</t>
  </si>
  <si>
    <t>njp.32101037601901</t>
  </si>
  <si>
    <t>009472165</t>
  </si>
  <si>
    <t>A critical pronouncing dictionary, and expositor of the English language... To which are prefixed, principles of English pronunciation... /</t>
  </si>
  <si>
    <t>njp.32101037601661</t>
  </si>
  <si>
    <t>009472374</t>
  </si>
  <si>
    <t>Johnson's dictionary of the English language, in miniature : to which are added an alphabetical account of the heathen deities, and a copious chronological table of remarkable events, discoveries and inventions in Europe /</t>
  </si>
  <si>
    <t>uc1.b4358435</t>
  </si>
  <si>
    <t>009508672</t>
  </si>
  <si>
    <t>The miscellaneous works of Thomas Arnold ...</t>
  </si>
  <si>
    <t>inu.30000120497189</t>
  </si>
  <si>
    <t>009529538</t>
  </si>
  <si>
    <t>The grammar of English grammars, with an introduction, historical and critical; the whole methodically arranged and amply illustrated ... and a key to the oral exercises; to which are added four appendixes, pertaining separately to the four parts of grammar.</t>
  </si>
  <si>
    <t>uc1.$b349092</t>
  </si>
  <si>
    <t>009554946</t>
  </si>
  <si>
    <t>Elementary lessons in historical English grammar containing accidence and word-formation.</t>
  </si>
  <si>
    <t>loc.ark:/13960/t0vq3ph98</t>
  </si>
  <si>
    <t>009558001</t>
  </si>
  <si>
    <t>Teachers' manual for Hoenshel's two-book course in grammar /</t>
  </si>
  <si>
    <t>loc.ark:/13960/t1vd7dr6b</t>
  </si>
  <si>
    <t>009558196</t>
  </si>
  <si>
    <t>loc.ark:/13960/t4rj4z67d</t>
  </si>
  <si>
    <t>009559194</t>
  </si>
  <si>
    <t>Aldine language method, part three : a manual for teachers using the third language book /</t>
  </si>
  <si>
    <t>loc.ark:/13960/t6834db0x</t>
  </si>
  <si>
    <t>009559316</t>
  </si>
  <si>
    <t>English childhood;</t>
  </si>
  <si>
    <t>loc.ark:/13960/t50g4885t</t>
  </si>
  <si>
    <t>009560083</t>
  </si>
  <si>
    <t>Introductions to notable poems,</t>
  </si>
  <si>
    <t>loc.ark:/13960/t2794z85q</t>
  </si>
  <si>
    <t>009561090</t>
  </si>
  <si>
    <t>The story of Evangeline</t>
  </si>
  <si>
    <t>loc.ark:/13960/t7xk8sj72</t>
  </si>
  <si>
    <t>A key to the classical pronunciation of Greek, Latin and Scripture proper names : in which the words are accented and divided into syllables exactly as they ought to be pronounced, according to rules drawn from analogy and the best usage : to which are added, terminational vocabularies of Hebrew, Greek and Latiln proper names, in which the words are arranged according to their final syllables, and classed according to their accents : by which the general analogy of pronunciation may be seen at one view, and the accentuation of each word more earily remembered : concluding with observations on the Greek and Latin accent and quantity : with some probable conjectures on the method of freeing them from the obscurity and confusion in which they are involved, both by the ancients and moderns ... /</t>
  </si>
  <si>
    <t>njp.32101064296880</t>
  </si>
  <si>
    <t>009408310</t>
  </si>
  <si>
    <t>Dictionary of the English language.</t>
  </si>
  <si>
    <t>njp.32101064724683</t>
  </si>
  <si>
    <t>009409013</t>
  </si>
  <si>
    <t>Quaint rhymes for the battlefield /</t>
  </si>
  <si>
    <t>Studd, Charles Thomas</t>
  </si>
  <si>
    <t>njp.32101065409920</t>
  </si>
  <si>
    <t>009409945</t>
  </si>
  <si>
    <t>A manual of the Romaic, or Modern Greek, pronunciation with its application to ancient Greek,</t>
  </si>
  <si>
    <t>Scomp, H. A.</t>
  </si>
  <si>
    <t>uc2.ark:/13960/t9n300x85</t>
  </si>
  <si>
    <t>njp.32101065410316</t>
  </si>
  <si>
    <t>009409974</t>
  </si>
  <si>
    <t>The accidence; or, First rudiments of the Latin tongue, for the useof youth.</t>
  </si>
  <si>
    <t>Lily, William,</t>
  </si>
  <si>
    <t>pst.000061786783</t>
  </si>
  <si>
    <t>009429262</t>
  </si>
  <si>
    <t>A grammar of the English language in a series of letters : intended for the use of schools and of young persons in general; but more especially for the use of soldiers, sailors, apprentices, and plough-boys. To which are added six lessons, intended to prevent statesmen from using false grammar and from writing in an awkward manner.</t>
  </si>
  <si>
    <t>pst.000006362881</t>
  </si>
  <si>
    <t>009430443</t>
  </si>
  <si>
    <t>Myths of the robin rebreast in early English poetry : A paper read before the Anthropological society of Washington, December 18, 1888 /</t>
  </si>
  <si>
    <t>Fletcher, Robert,</t>
  </si>
  <si>
    <t>pst.000006729035</t>
  </si>
  <si>
    <t>009438775</t>
  </si>
  <si>
    <t>Mythology for versification : or, a brief sketch of the fables of the ancients, prepared to be rendered into Latin verse... /</t>
  </si>
  <si>
    <t>Hodgson, Francis</t>
  </si>
  <si>
    <t>ucm.5319393286</t>
  </si>
  <si>
    <t>009351229</t>
  </si>
  <si>
    <t>English grammar : adapted to the different classes of learners : with an appendix containing rules and observations for assisting the more advanced students to write with perspicuity and accuracy /</t>
  </si>
  <si>
    <t>uc1.$b393850</t>
  </si>
  <si>
    <t>009385939</t>
  </si>
  <si>
    <t>Primer of sounds, a manual for teachers,</t>
  </si>
  <si>
    <t>Baker, Pauline.</t>
  </si>
  <si>
    <t>wu.89090360363</t>
  </si>
  <si>
    <t>009392140</t>
  </si>
  <si>
    <t>The institutes of English grammar : methodically arranged; with examples for parsing, questions for examination, false syntax for correction, exercises for writing, observations for the advanced student, and a key to the oral exercises : to which are added, four appendixes : designed for the use of schools, academies, and private learners /</t>
  </si>
  <si>
    <t>wu.89090360322</t>
  </si>
  <si>
    <t>009392141</t>
  </si>
  <si>
    <t>wu.89099795882</t>
  </si>
  <si>
    <t>009392143</t>
  </si>
  <si>
    <t>National and international ideals in the English poets,: a lecture delivered in the John Rylands library on 4th January, 1916.</t>
  </si>
  <si>
    <t>wu.89101411189</t>
  </si>
  <si>
    <t>009392218</t>
  </si>
  <si>
    <t>Studies in the Elizabethan drama.</t>
  </si>
  <si>
    <t>njp.32101065672345</t>
  </si>
  <si>
    <t>009404506</t>
  </si>
  <si>
    <t>The physiology of vocal fatigue; synopsis of a lecture given before the New York singing teachers' association on November 14th, 1922 ...</t>
  </si>
  <si>
    <t>Warren, Frederic.</t>
  </si>
  <si>
    <t>njp.32101064223413</t>
  </si>
  <si>
    <t>009407707</t>
  </si>
  <si>
    <t>A comparative estimate of modern English poets.</t>
  </si>
  <si>
    <t>Devey, Joseph.</t>
  </si>
  <si>
    <t>uc2.ark:/13960/t4th8fn1x</t>
  </si>
  <si>
    <t>009260600</t>
  </si>
  <si>
    <t>uc2.ark:/13960/t9862fg45</t>
  </si>
  <si>
    <t>009260710</t>
  </si>
  <si>
    <t>uc2.ark:/13960/t79s1q03z</t>
  </si>
  <si>
    <t>009260712</t>
  </si>
  <si>
    <t>Elementary phonetics : English, French, German ; their theory and practical application in the classroom /</t>
  </si>
  <si>
    <t>Scholle, Wilhelm.</t>
  </si>
  <si>
    <t>uc1.$b338047</t>
  </si>
  <si>
    <t>009260896</t>
  </si>
  <si>
    <t>The vulgarities of speech corrected: with elegant expressions for provincial and vulgar English, Scots, and Irish; for the use of those who are unacquainted with grammar.</t>
  </si>
  <si>
    <t>uc2.ark:/13960/t05x28c52</t>
  </si>
  <si>
    <t>uc1.$b393573</t>
  </si>
  <si>
    <t>009261228</t>
  </si>
  <si>
    <t>Reading aloud and literary appreciation,</t>
  </si>
  <si>
    <t>O'Grady, Hardress.</t>
  </si>
  <si>
    <t>uc2.ark:/13960/t7rn33p9s</t>
  </si>
  <si>
    <t>uc2.ark:/13960/t24b3651c</t>
  </si>
  <si>
    <t>009261240</t>
  </si>
  <si>
    <t>uc2.ark:/13960/t44q7wv8v</t>
  </si>
  <si>
    <t>009261395</t>
  </si>
  <si>
    <t>uc2.ark:/13960/t4cn7281d</t>
  </si>
  <si>
    <t>009261415</t>
  </si>
  <si>
    <t>The Latin hexameter : hints for sixth forms /</t>
  </si>
  <si>
    <t>Winbolt, Samuel Edward,</t>
  </si>
  <si>
    <t>uc2.ark:/13960/t7dr2sw99</t>
  </si>
  <si>
    <t>009262303</t>
  </si>
  <si>
    <t>uc1.$b365356</t>
  </si>
  <si>
    <t>009262483</t>
  </si>
  <si>
    <t>Introduction to An analytical dictionary of the English language ...</t>
  </si>
  <si>
    <t>uc2.ark:/13960/t3513z261</t>
  </si>
  <si>
    <t>ucm.5326809207</t>
  </si>
  <si>
    <t>009310086</t>
  </si>
  <si>
    <t>A dictionary of the English language : in which the words are deduced from their originals, and illustrated in their different significations by examples from the best writers, to which are prefixed, a history of the language, and an English grammar /</t>
  </si>
  <si>
    <t>ucm.5319391249</t>
  </si>
  <si>
    <t>009351129</t>
  </si>
  <si>
    <t>Johnson's dictionary of the English language, in miniature : to which are added an alphabetical account of the heathen deities, a list of the cities, boroughs and market towns in England and Wales...</t>
  </si>
  <si>
    <t>ucm.5319390682</t>
  </si>
  <si>
    <t>009351142</t>
  </si>
  <si>
    <t>Key to the Exercises adapted to Murray's English grammar : calculated to enable private learners to become their own instructers in grammar and composition /</t>
  </si>
  <si>
    <t>ucm.5319393230</t>
  </si>
  <si>
    <t>009351213</t>
  </si>
  <si>
    <t>009128801</t>
  </si>
  <si>
    <t>A to Z phonics; a teaching guide to the use of A to Z phonics charts.</t>
  </si>
  <si>
    <t>Cooke, Dorothy E.</t>
  </si>
  <si>
    <t>coo.31924090113832</t>
  </si>
  <si>
    <t>009139871</t>
  </si>
  <si>
    <t>NAEP 1998 writing report card for the nation and the states /</t>
  </si>
  <si>
    <t>coo.31924014562536</t>
  </si>
  <si>
    <t>009174903</t>
  </si>
  <si>
    <t>Orthography; word analysis, phonics-spelling, dictionary study. Grades seven and eight.</t>
  </si>
  <si>
    <t>Cavins, Elmer Warren,</t>
  </si>
  <si>
    <t>wu.89099896441</t>
  </si>
  <si>
    <t>009184319</t>
  </si>
  <si>
    <t>The institutes of English grammar, methodically arranged : with examples for parsing, questions for examination, false syntax for correction, exercises for writing, observations for the advanced student, and a key to the oral exercises : to which are added four appendixes, designed for the use of schools, academies, and private learners /</t>
  </si>
  <si>
    <t>wu.89099221848</t>
  </si>
  <si>
    <t>009184691</t>
  </si>
  <si>
    <t>Roundabout papers: the four Georges; The English humourists /</t>
  </si>
  <si>
    <t>mdp.39015070568780</t>
  </si>
  <si>
    <t>009185312</t>
  </si>
  <si>
    <t>A supplement to Granger's index (1919-1928).</t>
  </si>
  <si>
    <t>njp.32101065672055</t>
  </si>
  <si>
    <t>009246613</t>
  </si>
  <si>
    <t>The mechanism of the human voice.</t>
  </si>
  <si>
    <t>Behnke, Emil,</t>
  </si>
  <si>
    <t>njp.32101065677609</t>
  </si>
  <si>
    <t>009246617</t>
  </si>
  <si>
    <t>The tenor voice and its training ...</t>
  </si>
  <si>
    <t>Palmer, Edward Davidson.</t>
  </si>
  <si>
    <t>njp.32101065862151</t>
  </si>
  <si>
    <t>009247267</t>
  </si>
  <si>
    <t>Mahony, Francis,</t>
  </si>
  <si>
    <t>uc2.ark:/13960/t2z31r14x</t>
  </si>
  <si>
    <t>009259260</t>
  </si>
  <si>
    <t>History of English : a sketch of the origin and development of the English language : with examples down to the present day /</t>
  </si>
  <si>
    <t>uc1.$b360504</t>
  </si>
  <si>
    <t>009259648</t>
  </si>
  <si>
    <t>The grammar, history and derivation of the English language, with chapters on parsing, analysis of sentences, and prosody.</t>
  </si>
  <si>
    <t>Daniel, Evan,</t>
  </si>
  <si>
    <t>uc2.ark:/13960/t4qj7c498</t>
  </si>
  <si>
    <t>uc2.ark:/13960/t5q81810k</t>
  </si>
  <si>
    <t>009259790</t>
  </si>
  <si>
    <r>
      <t>Kuvalayo&amp;nanda Ko&amp;riko&amp;s : or, the memorial verses of Appaya Do&amp;±kshita's Kuvalayo&amp;nanda = Kuvalayo&amp;nanda-Ko&amp;rikah</t>
    </r>
    <r>
      <rPr>
        <sz val="10"/>
        <rFont val="ヒラギノ角ゴ ProN W6"/>
        <charset val="128"/>
      </rPr>
      <t>_x0010__x0001_</t>
    </r>
    <r>
      <rPr>
        <sz val="10"/>
        <rFont val="Verdana"/>
      </rPr>
      <t xml:space="preserve"> /</t>
    </r>
  </si>
  <si>
    <t>Apyaya Do&amp;±kshita.</t>
  </si>
  <si>
    <t>uc2.ark:/13960/t8w95426h</t>
  </si>
  <si>
    <t>009260089</t>
  </si>
  <si>
    <t>009033494</t>
  </si>
  <si>
    <t>Essays philosophical and moral, historical and literary.</t>
  </si>
  <si>
    <t>Belsham, William,</t>
  </si>
  <si>
    <t>njp.32101076530987</t>
  </si>
  <si>
    <t>njp.32101080457227</t>
  </si>
  <si>
    <t>009039133</t>
  </si>
  <si>
    <t>A key to the classical pronunciation of Greek, Latin, and Scripture proper names : in which the words are accented and divided into syllables : to which are added terminational vocabularies of Hebrew, Greek, and Latin proper names : concluding with observations on the Greek and Latin accent and quantity / by John Walker.</t>
  </si>
  <si>
    <t>njp.32101080458316</t>
  </si>
  <si>
    <t>009039152</t>
  </si>
  <si>
    <t>A dictionary of hymnology, setting forth the origin and history of Christian hymns of all ages and nations, with special reference to those contained in the hymn books of English-speaking countries, and now in common use, together with biographical and critical notices of their authors and translators, and historical articles on national and denominational hymnody, breviaries, missals, primers, psalters, sequences.</t>
  </si>
  <si>
    <t>njp.32101018099000</t>
  </si>
  <si>
    <t>009043065</t>
  </si>
  <si>
    <t>njp.32101019680287</t>
  </si>
  <si>
    <t>009043075</t>
  </si>
  <si>
    <t>Art of speech, in two volumes; I. Studies in poetry and prose ...</t>
  </si>
  <si>
    <t>Townsend, L. T.</t>
  </si>
  <si>
    <t>coo.31924012986885</t>
  </si>
  <si>
    <t>009067582</t>
  </si>
  <si>
    <t>coo.31924014450443</t>
  </si>
  <si>
    <t>009070265</t>
  </si>
  <si>
    <t>coo.31924012985028</t>
  </si>
  <si>
    <t>009074799</t>
  </si>
  <si>
    <t>Reading made easy; a textbook for teaching reading by phonetics</t>
  </si>
  <si>
    <t>Hinman, Dorothy.</t>
  </si>
  <si>
    <t>coo.31924013055656</t>
  </si>
  <si>
    <t>009075089</t>
  </si>
  <si>
    <t>Evaluating instruction in English in the elementary schools of New York ...</t>
  </si>
  <si>
    <t>Smith, Dora V.</t>
  </si>
  <si>
    <t>coo.31924013384726</t>
  </si>
  <si>
    <t>009075439</t>
  </si>
  <si>
    <t>How Johnny can read; a time-tested method of functional phonics.</t>
  </si>
  <si>
    <t>Becker, Paula A.</t>
  </si>
  <si>
    <t>coo.31924014450724</t>
  </si>
  <si>
    <t>009081839</t>
  </si>
  <si>
    <t>The elements of style /</t>
  </si>
  <si>
    <t>coo.31924014450666</t>
  </si>
  <si>
    <t>009089879</t>
  </si>
  <si>
    <t>Handbook for theme analysis,</t>
  </si>
  <si>
    <t>coo.31924014550440</t>
  </si>
  <si>
    <t>009128776</t>
  </si>
  <si>
    <t>Evolution of expression.</t>
  </si>
  <si>
    <t>coo.31924052153313</t>
  </si>
  <si>
    <t>coo.31924014562643</t>
  </si>
  <si>
    <t>009128800</t>
  </si>
  <si>
    <t>Techniques for teaching phonics and other word skills.</t>
  </si>
  <si>
    <t>Botel, Morton.</t>
  </si>
  <si>
    <t>coo.31924014562668</t>
  </si>
  <si>
    <t>Aristotle's treatise on rhetoric, literally translated; with Hobbes' analysis, examination questions and an appendix containing the Greek definitions. Also, The poetic of Aristotle, literally translated, with a selection of notes, an analysis, and questions.</t>
  </si>
  <si>
    <t>njp.32101074942564</t>
  </si>
  <si>
    <t>009025871</t>
  </si>
  <si>
    <t>Aristotle's treatise on rhetoric,</t>
  </si>
  <si>
    <t>njp.32101074942879</t>
  </si>
  <si>
    <t>009025898</t>
  </si>
  <si>
    <t>Aristotle's theory of poetry and fine art,</t>
  </si>
  <si>
    <t>njp.32101075686210</t>
  </si>
  <si>
    <t>009026758</t>
  </si>
  <si>
    <t>Introduction to the literature of Europe in the fifteenth, sixteenth, and seventeenth centuries in two volumes.</t>
  </si>
  <si>
    <t>njp.32101075686228</t>
  </si>
  <si>
    <t>njp.32101076045572</t>
  </si>
  <si>
    <t>009027310</t>
  </si>
  <si>
    <t>The English pronunciation of the lower classes in New York and vicinity /</t>
  </si>
  <si>
    <t>Babbitt, Eugene Howard,</t>
  </si>
  <si>
    <t>njp.32101076045713</t>
  </si>
  <si>
    <t>009027314</t>
  </si>
  <si>
    <t>Doctor Syntax's three tours : in search of the picturesque, consolation, and a wife /</t>
  </si>
  <si>
    <t>njp.32101076393303</t>
  </si>
  <si>
    <t>009030714</t>
  </si>
  <si>
    <t>An essay on the different nature of accent and quantity : with their use and application in the English, Latin, and Greek languages : containing remarks on the metre of the English, on the origin and aeolism of the Roman, on the general history of the Greek, with an account of its ancient tones, and a defence of their accentual marks. To which is subjoined the Greek elegiac poem of M. Musurus addressed to Leo X, with a Latin version and notes.</t>
  </si>
  <si>
    <t>njp.32101076516499</t>
  </si>
  <si>
    <t>009033037</t>
  </si>
  <si>
    <t>Reasonable elocution : a text-book for schools, colleges, clergymen, lawyers, actors, etc. /</t>
  </si>
  <si>
    <t>njp.32101076516507</t>
  </si>
  <si>
    <t>009033038</t>
  </si>
  <si>
    <t>Outline of elocution and comprehensive manual of principles.</t>
  </si>
  <si>
    <t>Dale, G. Walter.</t>
  </si>
  <si>
    <t>njp.32101076525920</t>
  </si>
  <si>
    <t>009033248</t>
  </si>
  <si>
    <t>A critical dissertation upon Homer's Iliad : where, upon occasion of this poem, a new system of the art of poetry is attempted, founded upon the principles of reason, and the examples of the most illustrious poets, both ancient and modern /</t>
  </si>
  <si>
    <t>Terrasson, Jean,</t>
  </si>
  <si>
    <t>njp.32101076525938</t>
  </si>
  <si>
    <t>njp.32101076530979</t>
  </si>
  <si>
    <t>Exotics: or, English words derived from Latin roots. Ten lectures.</t>
  </si>
  <si>
    <t>njp.32101074757137</t>
  </si>
  <si>
    <t>009024069</t>
  </si>
  <si>
    <t>Exercises on etymology : for use in schools, and for private instruction /</t>
  </si>
  <si>
    <t>Graham, William,</t>
  </si>
  <si>
    <t>njp.32101074757152</t>
  </si>
  <si>
    <t>009024071</t>
  </si>
  <si>
    <t>Critical pronouncing dictionary, and expositor of the English language, abridged ... containing a table of the simple and dipthongal vowels referred to by the figures over the letters in this dictionary,</t>
  </si>
  <si>
    <t>njp.32101074758424</t>
  </si>
  <si>
    <t>009024079</t>
  </si>
  <si>
    <t>The history of English literature; with an outline of the origin and growth of the English language: illustrated by extracts,</t>
  </si>
  <si>
    <t>njp.32101074758457</t>
  </si>
  <si>
    <t>009024081</t>
  </si>
  <si>
    <t>A short history of English literature /</t>
  </si>
  <si>
    <t>njp.32101074758606</t>
  </si>
  <si>
    <t>009024090</t>
  </si>
  <si>
    <t>American meditative lyrics,</t>
  </si>
  <si>
    <t>njp.32101074758861</t>
  </si>
  <si>
    <t>009024102</t>
  </si>
  <si>
    <t>Flames of faith,</t>
  </si>
  <si>
    <t>loc.ark:/13960/t8tb1zv5g</t>
  </si>
  <si>
    <t>009024104</t>
  </si>
  <si>
    <t>The younger American poets,</t>
  </si>
  <si>
    <t>Rittenhouse, Jessie B.</t>
  </si>
  <si>
    <t>njp.32101074759026</t>
  </si>
  <si>
    <t>009024112</t>
  </si>
  <si>
    <t>The influence of Seneca on Elizabethan tragedy, an essay,</t>
  </si>
  <si>
    <t>Cunliffe, John William,</t>
  </si>
  <si>
    <t>uc2.ark:/13960/t4mk6gm3x</t>
  </si>
  <si>
    <t>njp.32101074759349</t>
  </si>
  <si>
    <t>009024129</t>
  </si>
  <si>
    <t>Elizabethan drama and its mad folk; the Harness prize essay for 1913,</t>
  </si>
  <si>
    <t>njp.32101074759893</t>
  </si>
  <si>
    <t>009024149</t>
  </si>
  <si>
    <t>Poetic romancers after 1850,</t>
  </si>
  <si>
    <t>Elton, Oliver,</t>
  </si>
  <si>
    <t>njp.32101074759943</t>
  </si>
  <si>
    <t>009024151</t>
  </si>
  <si>
    <t>Theology in the English poets; Cowper, Coleridge, Wordsworth &amp; Burns,</t>
  </si>
  <si>
    <t>njp.32101074870708</t>
  </si>
  <si>
    <t>009025004</t>
  </si>
  <si>
    <t>Primer and language lessons in English and Cree.</t>
  </si>
  <si>
    <t>Glass, E. B.</t>
  </si>
  <si>
    <t>njp.32101074875848</t>
  </si>
  <si>
    <t>009025145</t>
  </si>
  <si>
    <t>njp.32101074876259</t>
  </si>
  <si>
    <t>009025161</t>
  </si>
  <si>
    <t>Culture and anarchy : an essay in political and social criticism ; and Selections /</t>
  </si>
  <si>
    <t>njp.32101074942556</t>
  </si>
  <si>
    <t>009025870</t>
  </si>
  <si>
    <t>The scholar's companion, or, A guide to the orthography, pronunciation and derivation of the English language : arranged on the basis of the 15th London ed. of Butter's Etymological spelling-book and expositor /</t>
  </si>
  <si>
    <t>njp.32101074743392</t>
  </si>
  <si>
    <t>009023884</t>
  </si>
  <si>
    <t>The scholar's companion : containing exercises in the orthography, derivation, and classification of English words : with an introduction and a copious index /</t>
  </si>
  <si>
    <t>njp.32101074743418</t>
  </si>
  <si>
    <t>009023886</t>
  </si>
  <si>
    <t>An introduction to English grammar, on universal principles ...</t>
  </si>
  <si>
    <t>Doherty, Hugh.</t>
  </si>
  <si>
    <t>njp.32101074743434</t>
  </si>
  <si>
    <t>009023888</t>
  </si>
  <si>
    <t>High school exercises in grammar,</t>
  </si>
  <si>
    <t>njp.32101074743491</t>
  </si>
  <si>
    <t>009023893</t>
  </si>
  <si>
    <t>English grammar, for the use of schools.</t>
  </si>
  <si>
    <t>McChesney, John I.</t>
  </si>
  <si>
    <t>njp.32101074756428</t>
  </si>
  <si>
    <t>009024032</t>
  </si>
  <si>
    <t>Longmans' school composition.</t>
  </si>
  <si>
    <t>njp.32101074756501</t>
  </si>
  <si>
    <t>009024039</t>
  </si>
  <si>
    <t>A parser and analyzer for beginners, with diagrams and suggestive pictures.</t>
  </si>
  <si>
    <t>njp.32101074756691</t>
  </si>
  <si>
    <t>009024045</t>
  </si>
  <si>
    <t>Graduated exercises in articulation ...</t>
  </si>
  <si>
    <t>njp.32101074756725</t>
  </si>
  <si>
    <t>009024047</t>
  </si>
  <si>
    <t>A manual of elementary phonetics /</t>
  </si>
  <si>
    <t>Burt, A. W.</t>
  </si>
  <si>
    <t>njp.32101074756766</t>
  </si>
  <si>
    <t>009024049</t>
  </si>
  <si>
    <t>First lessons in English,</t>
  </si>
  <si>
    <t>njp.32101074756774</t>
  </si>
  <si>
    <t>009024050</t>
  </si>
  <si>
    <t>The romance of words.</t>
  </si>
  <si>
    <t>njp.32101074756790</t>
  </si>
  <si>
    <t>009024051</t>
  </si>
  <si>
    <t>Longmans' briefer grammar,</t>
  </si>
  <si>
    <t>njp.32101074756816</t>
  </si>
  <si>
    <t>009024052</t>
  </si>
  <si>
    <t>njp.32101074757202</t>
  </si>
  <si>
    <t>njp.32101074756840</t>
  </si>
  <si>
    <t>009024054</t>
  </si>
  <si>
    <t>njp.32101074756873</t>
  </si>
  <si>
    <t>009024057</t>
  </si>
  <si>
    <t>njp.32101074756881</t>
  </si>
  <si>
    <t>009024058</t>
  </si>
  <si>
    <t>On the study of words. Lectures addressed originally to the pupils at the Diocesan Training-School, Winchester. From the latest rev. English ed. With an exhaustive analysis, additional words for illustration, and questions for examination,</t>
  </si>
  <si>
    <t>njp.32101074756899</t>
  </si>
  <si>
    <t>009024059</t>
  </si>
  <si>
    <t>An analysis of the derivative words in the English language; or, A key to their precise analytic definitions, by prefixes and suffixes,</t>
  </si>
  <si>
    <t>njp.32101074756915</t>
  </si>
  <si>
    <t>009024061</t>
  </si>
  <si>
    <t>hvd.hnl9dx</t>
  </si>
  <si>
    <t>009015654</t>
  </si>
  <si>
    <t>An index of such English books printed before the year MDC : as are now in the Library of Trinity College, Cambridge : to which is added a list of the plays of Shakespeare, printed before 1623, in the Capell collection /</t>
  </si>
  <si>
    <t>njp.32101073430736</t>
  </si>
  <si>
    <t>009015655</t>
  </si>
  <si>
    <t>Catalogue of a collection of early printed and other books bequeathed to the library by John Couch Adams...</t>
  </si>
  <si>
    <t>njp.32101073439182</t>
  </si>
  <si>
    <t>009015849</t>
  </si>
  <si>
    <t>Lectures on the English language,</t>
  </si>
  <si>
    <t>njp.32101074712157</t>
  </si>
  <si>
    <t>009023583</t>
  </si>
  <si>
    <t>English literature &amp; printing from the XVth to XVIIIth century /</t>
  </si>
  <si>
    <t>njp.32101074743244</t>
  </si>
  <si>
    <t>009023872</t>
  </si>
  <si>
    <t>On the origin, development, peculiarities and destiny of the English language ...</t>
  </si>
  <si>
    <t>Müller, Robert,</t>
  </si>
  <si>
    <t>njp.32101074743269</t>
  </si>
  <si>
    <t>009023874</t>
  </si>
  <si>
    <t>English, past and present. Eight lectures.</t>
  </si>
  <si>
    <t>njp.32101074743301</t>
  </si>
  <si>
    <t>009023876</t>
  </si>
  <si>
    <t>The elements of the English language /</t>
  </si>
  <si>
    <t>Adams, Ernest.</t>
  </si>
  <si>
    <t>njp.32101074743319</t>
  </si>
  <si>
    <t>009023877</t>
  </si>
  <si>
    <t>The elements of the English language,</t>
  </si>
  <si>
    <t>njp.32101074743327</t>
  </si>
  <si>
    <t>009023878</t>
  </si>
  <si>
    <t>Series of easy lessons in English grammar ...</t>
  </si>
  <si>
    <t>Baker, G. A.</t>
  </si>
  <si>
    <t>njp.32101074743350</t>
  </si>
  <si>
    <t>009023880</t>
  </si>
  <si>
    <t>An appeal from the absurdities and contradictions which prevade, and deform the old theory of English grammar, to the true constructive principles of the English language /</t>
  </si>
  <si>
    <t>njp.32101074743368</t>
  </si>
  <si>
    <t>009023881</t>
  </si>
  <si>
    <t>The principles of English grammar; comprising the substance of the most approved English grammars extant, with copious exercises in parsing and syntax; and an appendix of various and useful matter. For the use of schools.</t>
  </si>
  <si>
    <t>njp.32101074743376</t>
  </si>
  <si>
    <t>009023882</t>
  </si>
  <si>
    <t>The principles of English grammar : comprising the substance of the most approved English grammars extant, with copious exercises in parsing and syntax for the use of academies and common schools /</t>
  </si>
  <si>
    <t>njp.32101074743384</t>
  </si>
  <si>
    <t>009023883</t>
  </si>
  <si>
    <t>009010188</t>
  </si>
  <si>
    <t>njp.32101072898388</t>
  </si>
  <si>
    <t>009010189</t>
  </si>
  <si>
    <t>An essay on the archaiology of popular English phrases and nursery rhymes /</t>
  </si>
  <si>
    <t>njp.32101072898404</t>
  </si>
  <si>
    <t>009010191</t>
  </si>
  <si>
    <t>Composition and rhetoric by practice : with exercises adapted for use in high schools and colleges /</t>
  </si>
  <si>
    <t>Williams, William.</t>
  </si>
  <si>
    <t>njp.32101072898438</t>
  </si>
  <si>
    <t>009010193</t>
  </si>
  <si>
    <t>Short themes; a freshman manual for the first semester,</t>
  </si>
  <si>
    <t>njp.32101072898453</t>
  </si>
  <si>
    <t>009010194</t>
  </si>
  <si>
    <t>njp.32101072898461</t>
  </si>
  <si>
    <t>009010195</t>
  </si>
  <si>
    <t>njp.32101072898479</t>
  </si>
  <si>
    <t>009010196</t>
  </si>
  <si>
    <t>Inductive lessons in rhetoric.</t>
  </si>
  <si>
    <t>Lewis, Frances W.</t>
  </si>
  <si>
    <t>njp.32101072898495</t>
  </si>
  <si>
    <t>009010198</t>
  </si>
  <si>
    <t>njp.32101072898560</t>
  </si>
  <si>
    <t>009010199</t>
  </si>
  <si>
    <t>The relations of philosophy and poetry in the nineteenth century,</t>
  </si>
  <si>
    <t>njp.32101072898651</t>
  </si>
  <si>
    <t>009010202</t>
  </si>
  <si>
    <t>Victorian poets; revised, and extended,</t>
  </si>
  <si>
    <t>njp.32101072898677</t>
  </si>
  <si>
    <t>009010203</t>
  </si>
  <si>
    <t>njp.32101073025932</t>
  </si>
  <si>
    <t>009011439</t>
  </si>
  <si>
    <t>Grammar of the Latin language.</t>
  </si>
  <si>
    <t>Schmitz, Leonhard,</t>
  </si>
  <si>
    <t>njp.32101073245571</t>
  </si>
  <si>
    <t>009012262</t>
  </si>
  <si>
    <t>Synopsis of lectures on belles lettres and logic, read in the University of St. Andrews.</t>
  </si>
  <si>
    <t>njp.32101073250001</t>
  </si>
  <si>
    <t>009012413</t>
  </si>
  <si>
    <t>Monsieur Bossu's Treatise of the epick poem: : containing many curious reflexions, very useful and necessary for the right understanding and judging of the excellencies of Homer and Virgil. /</t>
  </si>
  <si>
    <t>Le Bossu, René,</t>
  </si>
  <si>
    <t>njp.32101073360057</t>
  </si>
  <si>
    <t>009014223</t>
  </si>
  <si>
    <t>The reticule and pocket companion, or, Miniature lexicon of the English language /</t>
  </si>
  <si>
    <t>njp.32101073360073</t>
  </si>
  <si>
    <t>009014225</t>
  </si>
  <si>
    <t>English literature primers.</t>
  </si>
  <si>
    <t>njp.32101073360081</t>
  </si>
  <si>
    <t>njp.32101073393819</t>
  </si>
  <si>
    <t>009014874</t>
  </si>
  <si>
    <t>Specimens of the early English poets : to which is prefixed an historical sketch of the rise and progress of the English poetry and language, in three volumes /</t>
  </si>
  <si>
    <t>njp.32101073393827</t>
  </si>
  <si>
    <t>njp.32101073393835</t>
  </si>
  <si>
    <t>njp.32101073393850</t>
  </si>
  <si>
    <t>009014875</t>
  </si>
  <si>
    <t>Songs and masques, with Observations in the art of English poesy, ed. by A.H. Bullen.</t>
  </si>
  <si>
    <t>Campion, Thomas,</t>
  </si>
  <si>
    <t>English, science, and engineering; a collection of expository essays for students of science and engineering,</t>
  </si>
  <si>
    <t>Eason, Joshua Lawrence,</t>
  </si>
  <si>
    <t>njp.32101072897612</t>
  </si>
  <si>
    <t>009010141</t>
  </si>
  <si>
    <t>Dictionary of derivations; or, An introduction to etymology on a new plan.</t>
  </si>
  <si>
    <t>njp.32101072897786</t>
  </si>
  <si>
    <t>009010150</t>
  </si>
  <si>
    <t>English composition and rhetoric : a manual /</t>
  </si>
  <si>
    <t>njp.32101072898107</t>
  </si>
  <si>
    <t>009010168</t>
  </si>
  <si>
    <t>Manual of English rhetoric.</t>
  </si>
  <si>
    <t>Hepburn, A. D.</t>
  </si>
  <si>
    <t>njp.32101072898115</t>
  </si>
  <si>
    <t>009010169</t>
  </si>
  <si>
    <t>njp.32101072898123</t>
  </si>
  <si>
    <t>009010170</t>
  </si>
  <si>
    <t>A manual of English composition, with copious illustrations and practical exercises ...</t>
  </si>
  <si>
    <t>Hall, Theophilus D.</t>
  </si>
  <si>
    <t>njp.32101072898131</t>
  </si>
  <si>
    <t>009010171</t>
  </si>
  <si>
    <t>Lessons in language : an introduction to the study of English grammar : part I /</t>
  </si>
  <si>
    <t>njp.32101072898149</t>
  </si>
  <si>
    <t>009010172</t>
  </si>
  <si>
    <t>The practical elements of rhetoric : with illustrative examples /</t>
  </si>
  <si>
    <t>hvd.hn3ifk</t>
  </si>
  <si>
    <t>009010174</t>
  </si>
  <si>
    <t>The art of discourse : a system of rhetoric adapted for use in colleges and academies, and also for private study /</t>
  </si>
  <si>
    <t>njp.32101072898172</t>
  </si>
  <si>
    <t>njp.32101072898180</t>
  </si>
  <si>
    <t>009010175</t>
  </si>
  <si>
    <t>Elements of the art of rhetoric : adapted for the use in colleges and academies /</t>
  </si>
  <si>
    <t>njp.32101072898198</t>
  </si>
  <si>
    <t>009010176</t>
  </si>
  <si>
    <t>njp.32101072898206</t>
  </si>
  <si>
    <t>009010177</t>
  </si>
  <si>
    <t>Abridgment of Lectures on rhetoric /</t>
  </si>
  <si>
    <t>njp.32101072898214</t>
  </si>
  <si>
    <t>009010178</t>
  </si>
  <si>
    <t>njp.32101072898222</t>
  </si>
  <si>
    <t>009010179</t>
  </si>
  <si>
    <t>The rules of rhyme : a guide to English versification : with a compendious dictionary of rhymes, an examination of classical measures, and comments upon burlesque, comic verse, and song-writing /</t>
  </si>
  <si>
    <t>njp.32101072898289</t>
  </si>
  <si>
    <t>009010182</t>
  </si>
  <si>
    <t>A treatise on English versification.</t>
  </si>
  <si>
    <t>Crowe, William,</t>
  </si>
  <si>
    <t>njp.32101072898305</t>
  </si>
  <si>
    <t>009010183</t>
  </si>
  <si>
    <t>Writing and reading of verse.</t>
  </si>
  <si>
    <t>Andrews, C. E.</t>
  </si>
  <si>
    <t>njp.32101072898313</t>
  </si>
  <si>
    <t>009010184</t>
  </si>
  <si>
    <t>Rhythm in prose illustrated from authors of the nineteenth century,</t>
  </si>
  <si>
    <t>Savage, Olive M.</t>
  </si>
  <si>
    <t>njp.32101072898321</t>
  </si>
  <si>
    <t>009010185</t>
  </si>
  <si>
    <t>njp.32101072898362</t>
  </si>
  <si>
    <t>wu.89099906703</t>
  </si>
  <si>
    <t>008993404</t>
  </si>
  <si>
    <t>The Horace Mann Book of English,/</t>
  </si>
  <si>
    <t>Smith, Milton Myers.</t>
  </si>
  <si>
    <t>wu.89099906711</t>
  </si>
  <si>
    <t>008993405</t>
  </si>
  <si>
    <t>Expository descriptions: a textbook for courses in technical writing,</t>
  </si>
  <si>
    <t>Solberg, Victor.</t>
  </si>
  <si>
    <t>wu.89099900581</t>
  </si>
  <si>
    <t>008993880</t>
  </si>
  <si>
    <t>The reciter's treasury of verse, serious and humorous,</t>
  </si>
  <si>
    <t>Pertwee, Ernest,</t>
  </si>
  <si>
    <t>wu.89099900573</t>
  </si>
  <si>
    <t>008993889</t>
  </si>
  <si>
    <t>Sanders' young ladies' reader : embracing a comprehensive course of instruction in the principles of rhetorical reading : with a choice collection of exercises in reading, both in prose and poetry : for the use of the higher female seminaries, as also, the higher classes in female schools generally /</t>
  </si>
  <si>
    <t>wu.89099900151</t>
  </si>
  <si>
    <t>008993913</t>
  </si>
  <si>
    <t>How to write: a handbook based on the English Bible,</t>
  </si>
  <si>
    <t>wu.89099796419</t>
  </si>
  <si>
    <t>008993954</t>
  </si>
  <si>
    <t>The growth of religious ideals as illustrated by the great English poets /</t>
  </si>
  <si>
    <t>Rosedale, H. G.</t>
  </si>
  <si>
    <t>wu.89099799157</t>
  </si>
  <si>
    <t>008993963</t>
  </si>
  <si>
    <t>Thoughts on the poets/</t>
  </si>
  <si>
    <t>wu.89099796104</t>
  </si>
  <si>
    <t>008993966</t>
  </si>
  <si>
    <t>wu.89099798530</t>
  </si>
  <si>
    <t>008994003</t>
  </si>
  <si>
    <t>The literature of the age of Elizabeth /</t>
  </si>
  <si>
    <t>wu.89099797383</t>
  </si>
  <si>
    <t>008994019</t>
  </si>
  <si>
    <t>The soul of modern poetry /</t>
  </si>
  <si>
    <t>Strachan, R. H.</t>
  </si>
  <si>
    <t>wu.89099750093</t>
  </si>
  <si>
    <t>008994022</t>
  </si>
  <si>
    <t>wu.89099897837</t>
  </si>
  <si>
    <t>008994043</t>
  </si>
  <si>
    <t>English poetry,: its principles and progress, with representative masterpieces from 1390 to 1917 and with notes,</t>
  </si>
  <si>
    <t>wu.89099897688</t>
  </si>
  <si>
    <t>008994051</t>
  </si>
  <si>
    <t>The genesis of British war poetry /</t>
  </si>
  <si>
    <t>Murphy, William S.</t>
  </si>
  <si>
    <t>wu.89098526627</t>
  </si>
  <si>
    <t>008994269</t>
  </si>
  <si>
    <t>Pocket library of English literature.</t>
  </si>
  <si>
    <t>wu.89069583706</t>
  </si>
  <si>
    <t>008996068</t>
  </si>
  <si>
    <t>The tour of Doctor Syntax in search of the picturesque, a poem.</t>
  </si>
  <si>
    <t>wu.89090394735</t>
  </si>
  <si>
    <t>008998625</t>
  </si>
  <si>
    <t>An English grammar: comprehending the principles and rules of the language, illustrated by appropriate exercises, and a key to the exercises.</t>
  </si>
  <si>
    <t>wu.89090394768</t>
  </si>
  <si>
    <t>njp.32101072857608</t>
  </si>
  <si>
    <t>009009470</t>
  </si>
  <si>
    <t>wu.89099408395</t>
  </si>
  <si>
    <t>008993299</t>
  </si>
  <si>
    <t>Lectures on the teaching of composition.</t>
  </si>
  <si>
    <t>Campagnac, Ernest Trafford,</t>
  </si>
  <si>
    <t>wu.89099408429</t>
  </si>
  <si>
    <t>008993301</t>
  </si>
  <si>
    <t>Syllabus for reading, writing, and criticism B : syllabus for the second year of a three-year course given in the first, second, and third years of the four-year curriculum in the College The University of Chicago. /</t>
  </si>
  <si>
    <t>Campbell, Gladys.</t>
  </si>
  <si>
    <t>wu.89099902017</t>
  </si>
  <si>
    <t>008993313</t>
  </si>
  <si>
    <t>Lessons in vocal expression: Course I. Principles of thinking in the modulation of the voice,</t>
  </si>
  <si>
    <t>wu.89089195317</t>
  </si>
  <si>
    <t>008993338</t>
  </si>
  <si>
    <t>The tone system in public speaking and reading : a discussion of the sources of effectiveness in oral expression and in the teaching of oral expression, with illustrations and suggestions /</t>
  </si>
  <si>
    <t>wu.89099408577</t>
  </si>
  <si>
    <t>008993354</t>
  </si>
  <si>
    <t>Writing through reading,: a suggestive method of writing English, with directions and exercises,</t>
  </si>
  <si>
    <t>wu.89099408791</t>
  </si>
  <si>
    <t>008993361</t>
  </si>
  <si>
    <t>Plain English; examples of everyday writing,</t>
  </si>
  <si>
    <t>Hodnett, Edward.</t>
  </si>
  <si>
    <t>wu.89099906190</t>
  </si>
  <si>
    <t>008993363</t>
  </si>
  <si>
    <t>Elements of composition and rhetoric : practical, concise, and comprehensive /</t>
  </si>
  <si>
    <t>wu.89099906224</t>
  </si>
  <si>
    <t>008993365</t>
  </si>
  <si>
    <t>Freshman composition/</t>
  </si>
  <si>
    <t>Lathrop, Henry Burrowes,</t>
  </si>
  <si>
    <t>wu.89099906265</t>
  </si>
  <si>
    <t>008993366</t>
  </si>
  <si>
    <t>The might and mirth of literature : a treatise on figurative language : in which upwards of six hundred writers are referred to, and two hundred and twenty figures illustrated /</t>
  </si>
  <si>
    <t>wu.89099906729</t>
  </si>
  <si>
    <t>008993369</t>
  </si>
  <si>
    <t>Composition for naval officers /</t>
  </si>
  <si>
    <t>Stevens, William Oliver,</t>
  </si>
  <si>
    <t>wu.89099906752</t>
  </si>
  <si>
    <t>008993370</t>
  </si>
  <si>
    <t>A study of the paragraph,/</t>
  </si>
  <si>
    <t>Follett, Helen Thomas.</t>
  </si>
  <si>
    <t>wu.89099906794</t>
  </si>
  <si>
    <t>008993371</t>
  </si>
  <si>
    <t>wu.89099906885</t>
  </si>
  <si>
    <t>008993373</t>
  </si>
  <si>
    <t>English for communication.</t>
  </si>
  <si>
    <t>Ward, Frank Earl,</t>
  </si>
  <si>
    <t>wu.89099906893</t>
  </si>
  <si>
    <t>008993374</t>
  </si>
  <si>
    <t>How to write an essay,: with sample essays and subjects for essays,</t>
  </si>
  <si>
    <t>Webb, W. T.</t>
  </si>
  <si>
    <t>wu.89085145050</t>
  </si>
  <si>
    <t>008993377</t>
  </si>
  <si>
    <t>Using better English,/</t>
  </si>
  <si>
    <t>Wimberly, Lowry Charles,</t>
  </si>
  <si>
    <t>Language lessons. Book 1-2.</t>
  </si>
  <si>
    <t>wu.89099895039</t>
  </si>
  <si>
    <t>008992081</t>
  </si>
  <si>
    <t>An elementary English grammar : for the use of schools /</t>
  </si>
  <si>
    <t>umn.31951p00991912m</t>
  </si>
  <si>
    <t>008993184</t>
  </si>
  <si>
    <t>Werner's magazine.</t>
  </si>
  <si>
    <t>v.15-16 (1893-94)</t>
  </si>
  <si>
    <t>wu.89099902439</t>
  </si>
  <si>
    <t>wu.89099902595</t>
  </si>
  <si>
    <t>v.29-30</t>
  </si>
  <si>
    <t>wu.89099901365</t>
  </si>
  <si>
    <t>008993188</t>
  </si>
  <si>
    <t>Oral English for secondary schools /</t>
  </si>
  <si>
    <t>wu.89099901217</t>
  </si>
  <si>
    <t>008993189</t>
  </si>
  <si>
    <t>Speak up!: A new approach to communication,</t>
  </si>
  <si>
    <t>Sondel, Bess Seltzer,</t>
  </si>
  <si>
    <t>wu.89089187553</t>
  </si>
  <si>
    <t>008993218</t>
  </si>
  <si>
    <t>The faults of speech.: A self-corrector and teachers' manual.</t>
  </si>
  <si>
    <t>wu.89089195432</t>
  </si>
  <si>
    <t>008993222</t>
  </si>
  <si>
    <t>Voice training in speech and song : an account of the structure and use of the vocal organs and the means of securing distinct articulation /</t>
  </si>
  <si>
    <t>Hulbert, Henry Harper,</t>
  </si>
  <si>
    <t>wu.89099900706</t>
  </si>
  <si>
    <t>008993233</t>
  </si>
  <si>
    <t>Evolution of expression /</t>
  </si>
  <si>
    <t>wu.89099900722</t>
  </si>
  <si>
    <t>wu.89104409669</t>
  </si>
  <si>
    <t>008993253</t>
  </si>
  <si>
    <t>Proceedings of the ... annual meeting of the National Association of Elocutionists.</t>
  </si>
  <si>
    <t>v.4, 6</t>
  </si>
  <si>
    <t>wu.89089203806</t>
  </si>
  <si>
    <t>008993254</t>
  </si>
  <si>
    <t>Proceedings of the National Association of Elocutionists.</t>
  </si>
  <si>
    <t>v.10-12 1901-03</t>
  </si>
  <si>
    <t>wu.89104409685</t>
  </si>
  <si>
    <t>v.7-9 1898-1900</t>
  </si>
  <si>
    <t>wu.89104409743</t>
  </si>
  <si>
    <t>v.13-14</t>
  </si>
  <si>
    <t>wu.89099905168</t>
  </si>
  <si>
    <t>008993264</t>
  </si>
  <si>
    <t>Teaching the mother tongue,/</t>
  </si>
  <si>
    <t>Ballard, Philip Boswood,</t>
  </si>
  <si>
    <t>wu.89099905283</t>
  </si>
  <si>
    <t>008993265</t>
  </si>
  <si>
    <t>Manual and exercise book for first year college English,</t>
  </si>
  <si>
    <t>Coulter, Vincil Carey.</t>
  </si>
  <si>
    <t>wu.89099408114</t>
  </si>
  <si>
    <t>008993277</t>
  </si>
  <si>
    <t>The English program at the U.S. Military Academy : with some practical aids for cadets.</t>
  </si>
  <si>
    <t>wu.89035542521</t>
  </si>
  <si>
    <t>008993284</t>
  </si>
  <si>
    <t>English metres /</t>
  </si>
  <si>
    <t>wu.89099904617</t>
  </si>
  <si>
    <t>008993285</t>
  </si>
  <si>
    <t>The basis of English rhythm /</t>
  </si>
  <si>
    <t>Thomson, William.</t>
  </si>
  <si>
    <t>wu.89099408247</t>
  </si>
  <si>
    <t>008993294</t>
  </si>
  <si>
    <t>Descriptive writing /</t>
  </si>
  <si>
    <t>wu.89099408288</t>
  </si>
  <si>
    <t>008993296</t>
  </si>
  <si>
    <t>Talks on writing English /</t>
  </si>
  <si>
    <t>wu.89099408387</t>
  </si>
  <si>
    <t>008993298</t>
  </si>
  <si>
    <t>Model paragraphs,: selected by a committee from the Department of English in Cornell university,</t>
  </si>
  <si>
    <t>wu.89099894545</t>
  </si>
  <si>
    <t>008992060</t>
  </si>
  <si>
    <t>The second book of observation, thought and expression, or, seeing, thinking, knowledge, talking and writing /</t>
  </si>
  <si>
    <t>wu.89099894529</t>
  </si>
  <si>
    <t>008992061</t>
  </si>
  <si>
    <t>A practical grammar of the English language : or, an introduction to composition : in which sentences are classified into verbal forms and phrases /</t>
  </si>
  <si>
    <t>Hazen, Edward.</t>
  </si>
  <si>
    <t>wu.89099894578</t>
  </si>
  <si>
    <t>008992063</t>
  </si>
  <si>
    <t>Grammar made easy and interesting; or, A practical grammar of the English language, systematically arranged...</t>
  </si>
  <si>
    <t>Henderson, H. M.</t>
  </si>
  <si>
    <t>wu.89099894594</t>
  </si>
  <si>
    <t>008992064</t>
  </si>
  <si>
    <t>Hints and helps on English grammar. A discussion of difficulties found in hard sentences. For the use of private students and teachers of English grammar.</t>
  </si>
  <si>
    <t>wu.89099894628</t>
  </si>
  <si>
    <t>008992065</t>
  </si>
  <si>
    <t>An English grammar conformed to present usage : with an objective method of teaching the elements of the English language /</t>
  </si>
  <si>
    <t>Holbrook, Alfred,</t>
  </si>
  <si>
    <t>wu.89099894719</t>
  </si>
  <si>
    <t>008992069</t>
  </si>
  <si>
    <t>English grammar, by lectures: comprehending the principles and rules of syntactical parsing on a new and highly approved system; intended as a text book for students; containing exercises in syntax, rules for parsing by transposition, critical notes, and a lecture on rhetoric. /</t>
  </si>
  <si>
    <t>Hull, Joseph Hervey.</t>
  </si>
  <si>
    <t>hvd.32044102787066</t>
  </si>
  <si>
    <t>008992071</t>
  </si>
  <si>
    <t>Text-book of English grammar : a treatise on the etymology and syntax of the English language ... : for the use of students in training colleges and the upper classes in national and other elementary schools /</t>
  </si>
  <si>
    <t>Hunter, John,</t>
  </si>
  <si>
    <t>wu.89099894735</t>
  </si>
  <si>
    <t>wu.89090394693</t>
  </si>
  <si>
    <t>008992072</t>
  </si>
  <si>
    <t>Practical lessons in the use of English : for primary and grammar schools /</t>
  </si>
  <si>
    <t>wu.89090394636</t>
  </si>
  <si>
    <t>008992073</t>
  </si>
  <si>
    <t>Practical lessons in the use of English,</t>
  </si>
  <si>
    <t>wu.89099894750</t>
  </si>
  <si>
    <t>008992074</t>
  </si>
  <si>
    <t>wu.89099894776</t>
  </si>
  <si>
    <t>008992075</t>
  </si>
  <si>
    <t>wu.89090394602</t>
  </si>
  <si>
    <t>008992076</t>
  </si>
  <si>
    <t>Practical lessons in the use of English : for grammar schools, with supplement /</t>
  </si>
  <si>
    <t>wu.89104409495</t>
  </si>
  <si>
    <t>008992078</t>
  </si>
  <si>
    <t>A practical grammar of the English language : in which the principles established by Lindley Murray, are inculcated, and the theory of modes clearly illustrated by diagrams, representing the number of tenses in each mode, their signs and the manner in which they are formed /</t>
  </si>
  <si>
    <t>Greene, Roscoe G.</t>
  </si>
  <si>
    <t>wu.89099894206</t>
  </si>
  <si>
    <t>008992045</t>
  </si>
  <si>
    <t>wu.89099894230</t>
  </si>
  <si>
    <t>008992046</t>
  </si>
  <si>
    <t>Outlines of English grammar as evolved from the language itself /</t>
  </si>
  <si>
    <t>wu.89099894255</t>
  </si>
  <si>
    <t>008992047</t>
  </si>
  <si>
    <t>A treatise on the structure of the English language : or, the analysis and classification of sentences and their component parts with illustrations and exercises adapted to the use of schools /</t>
  </si>
  <si>
    <t>wu.89099894271</t>
  </si>
  <si>
    <t>008992048</t>
  </si>
  <si>
    <t>Grammar made easy, for beginners /</t>
  </si>
  <si>
    <t>Guernsey, Sarah L.</t>
  </si>
  <si>
    <t>wu.89099894297</t>
  </si>
  <si>
    <t>008992049</t>
  </si>
  <si>
    <t>Lessons in language: an introduction to the study of English grammar</t>
  </si>
  <si>
    <t>wu.89099894842</t>
  </si>
  <si>
    <t>008992050</t>
  </si>
  <si>
    <t>Grammatical diagrams defended and improved,</t>
  </si>
  <si>
    <t>Jewell, Frederick S.</t>
  </si>
  <si>
    <t>wu.89099894818</t>
  </si>
  <si>
    <t>008992051</t>
  </si>
  <si>
    <t>wu.89099894834</t>
  </si>
  <si>
    <t>008992052</t>
  </si>
  <si>
    <t>Systematick lectures on English grammar, on a new and highly approved plan : containing a systematick order for parsing, a systematick ordo, extensive examples of false syntax for oral correction, and a key to the oral exercises ... /</t>
  </si>
  <si>
    <t>Jenkins, Amaziah.</t>
  </si>
  <si>
    <t>wu.89099894859</t>
  </si>
  <si>
    <t>008992053</t>
  </si>
  <si>
    <t>English grammar in two parts : the first, a brief analysis of the English language : the second, a practical system of etymology and syntax : with exercises in parsing and corrections /</t>
  </si>
  <si>
    <t>Jones, Joshua.</t>
  </si>
  <si>
    <t>wu.89099894867</t>
  </si>
  <si>
    <t>008992054</t>
  </si>
  <si>
    <t>wu.89099894941</t>
  </si>
  <si>
    <t>008992058</t>
  </si>
  <si>
    <t>English grammar in familiar lectures : accompanied by a compendium : embracing a new systematick order of parsing, a new system of punctuation, exercises in false syntax, and a system of philosophical grammar in notes : to which are added an appendix and a key to the exercises : designed for the use of schools and private learners /</t>
  </si>
  <si>
    <t>A short grammar of the English tongue with three hundred and thirty exercises /</t>
  </si>
  <si>
    <t>wu.89099896169</t>
  </si>
  <si>
    <t>008992017</t>
  </si>
  <si>
    <t>Sentence, with exercises for analysis, diagraming and outlines of the parts of speech.</t>
  </si>
  <si>
    <t>Melendy, I. A.</t>
  </si>
  <si>
    <t>wu.89099896185</t>
  </si>
  <si>
    <t>008992018</t>
  </si>
  <si>
    <t>Metcalf, Robert C.</t>
  </si>
  <si>
    <t>wu.89099896193</t>
  </si>
  <si>
    <t>umn.319510021171974</t>
  </si>
  <si>
    <t>008992019</t>
  </si>
  <si>
    <t>The Miller-Kinkead lessons in English /</t>
  </si>
  <si>
    <t>Miller, William Dana,</t>
  </si>
  <si>
    <t>wu.89099896227</t>
  </si>
  <si>
    <t>wu.89099896243</t>
  </si>
  <si>
    <t>008992020</t>
  </si>
  <si>
    <t>A grammar of the English language : together with an exposition of the analysis of sentences.</t>
  </si>
  <si>
    <t>Morell, J. D.</t>
  </si>
  <si>
    <t>wu.89099896268</t>
  </si>
  <si>
    <t>008992021</t>
  </si>
  <si>
    <t>The essentials of English grammar and analysis</t>
  </si>
  <si>
    <t>wu.89099896276</t>
  </si>
  <si>
    <t>008992023</t>
  </si>
  <si>
    <t>A practical guide to composition : with progressive exercises in prose and poetry /</t>
  </si>
  <si>
    <t>Morley, Charles.</t>
  </si>
  <si>
    <t>wu.89099896292</t>
  </si>
  <si>
    <t>008992024</t>
  </si>
  <si>
    <t>English grammar for the use of schools /</t>
  </si>
  <si>
    <t>Morrison, Thomas.</t>
  </si>
  <si>
    <t>wu.89099896300</t>
  </si>
  <si>
    <t>008992025</t>
  </si>
  <si>
    <t>Steps in English : book I-II /</t>
  </si>
  <si>
    <t>Morrow, John,</t>
  </si>
  <si>
    <t>wu.89099896318</t>
  </si>
  <si>
    <t>wu.89099896326</t>
  </si>
  <si>
    <t>008992026</t>
  </si>
  <si>
    <t>A new graded method in English grammar, letter writing and composition : complete in one volume /</t>
  </si>
  <si>
    <t>Mugan, Marion Durand.</t>
  </si>
  <si>
    <t>wu.89099896557</t>
  </si>
  <si>
    <t>008992028</t>
  </si>
  <si>
    <t>A synthetical grammar of the English language, adapted to the instruction of private students, containing rules and observations well illustrated for assisting the student to write with perspicuity and accuracy.</t>
  </si>
  <si>
    <t>Nash, H. A.</t>
  </si>
  <si>
    <t>wu.89104409552</t>
  </si>
  <si>
    <t>008992038</t>
  </si>
  <si>
    <t>A systematic text-book of English grammar, on the eclectic plan; with progressive questions and exercises.</t>
  </si>
  <si>
    <t>Goodenow, Smith B.</t>
  </si>
  <si>
    <t>wu.89099894099</t>
  </si>
  <si>
    <t>008992040</t>
  </si>
  <si>
    <t>Helps to English grammar : or, Easy exercises for young children /</t>
  </si>
  <si>
    <t>wu.89099894131</t>
  </si>
  <si>
    <t>008992043</t>
  </si>
  <si>
    <t>Abridgement of Murray's English grammar, with an appendix, containing exercises in orthography, in parsing, in syntax, and in punctuation. Designed for the younger classes of learners. To which questions are added--punctuation, and the notes under rules in syntax, supplied from the author's large grammar. Being his own abridgement entire, rev., prepared, and adapted to the use of the "English exercises."</t>
  </si>
  <si>
    <t>wu.89090394743</t>
  </si>
  <si>
    <t>008992000</t>
  </si>
  <si>
    <t>Murray's English exercises ... With which the corresponding notes, rules, and observations in Murray's grammar are incorporated; also references in promiscuous exercises to the rules by which the errours are to be corrected.</t>
  </si>
  <si>
    <t>wu.89104409784</t>
  </si>
  <si>
    <t>008992002</t>
  </si>
  <si>
    <t>English exercises adapted to Murray's English grammar : consisting of exercises in parsing, instances of false orthography, violations of the rules of syntax, defects in punctuation, and violations of the rules respecting perspicuous and accurate writing : designed for the benefit of private learners, as well as for the use of schools /</t>
  </si>
  <si>
    <t>wu.89099894354</t>
  </si>
  <si>
    <t>008992005</t>
  </si>
  <si>
    <t>A grammar of the English language : for the use of common schools, academies and seminaries /</t>
  </si>
  <si>
    <t>Hallock, Edward J.</t>
  </si>
  <si>
    <t>wu.89099894370</t>
  </si>
  <si>
    <t>008992006</t>
  </si>
  <si>
    <t>English lessons /</t>
  </si>
  <si>
    <t>wu.89099894396</t>
  </si>
  <si>
    <t>008992007</t>
  </si>
  <si>
    <t>Primary English grammar.</t>
  </si>
  <si>
    <t>Hart, John,</t>
  </si>
  <si>
    <t>wu.89099894420</t>
  </si>
  <si>
    <t>008992009</t>
  </si>
  <si>
    <t>English grammar, or, An exposition of the principles and usages of the English language /</t>
  </si>
  <si>
    <t>wu.89099894438</t>
  </si>
  <si>
    <t>008992010</t>
  </si>
  <si>
    <t>wu.89099894446</t>
  </si>
  <si>
    <t>008992011</t>
  </si>
  <si>
    <t>A grammar of the English language, with an analysis of the sentence.</t>
  </si>
  <si>
    <t>wu.89099894453</t>
  </si>
  <si>
    <t>008992012</t>
  </si>
  <si>
    <t>Harvey's English grammar. A practical grammar of the English language, for the use of every grade.</t>
  </si>
  <si>
    <t>wu.89099894487</t>
  </si>
  <si>
    <t>008992013</t>
  </si>
  <si>
    <t>Key to Harvey's practical grammar (revised edition) : including analysis by diagrams /</t>
  </si>
  <si>
    <t>wu.89090394552</t>
  </si>
  <si>
    <t>008992016</t>
  </si>
  <si>
    <t>Excelsior elementary studies in English grammar; with numerous examples and exercises in analysis and parsing. Designed for schools and academies. .</t>
  </si>
  <si>
    <t>wu.89099897126</t>
  </si>
  <si>
    <t>008991968</t>
  </si>
  <si>
    <t>Longman's junior school grammar,</t>
  </si>
  <si>
    <t>wu.89090395088</t>
  </si>
  <si>
    <t>008991969</t>
  </si>
  <si>
    <t>Longmans' English grammar.</t>
  </si>
  <si>
    <t>wu.89099897142</t>
  </si>
  <si>
    <t>008991972</t>
  </si>
  <si>
    <t>The young grammarian. For the use of beginners in the study of English grammar,</t>
  </si>
  <si>
    <t>wu.89099897191</t>
  </si>
  <si>
    <t>008991974</t>
  </si>
  <si>
    <t>The infant school grammar, consisting of elementary lessons in the analytical method; illustrated by sensible objects and actions. Originally composed for Infant School No. 1 of New York.</t>
  </si>
  <si>
    <t>wu.89090395146</t>
  </si>
  <si>
    <t>008991976</t>
  </si>
  <si>
    <t>Sill, J. M. B.</t>
  </si>
  <si>
    <t>wu.89099897308</t>
  </si>
  <si>
    <t>008991982</t>
  </si>
  <si>
    <t>wu.89099897316</t>
  </si>
  <si>
    <t>008991983</t>
  </si>
  <si>
    <t>Smith's New grammar. English grammar, on the productive system: a method of instruction recently adopted in Germany and Switzerland. Designed for schools and academies.</t>
  </si>
  <si>
    <t>wu.89099897340</t>
  </si>
  <si>
    <t>008991984</t>
  </si>
  <si>
    <t>Smithdeal's practical grammar, speller and letter-writer. For use in business colleges, academies, public and private schools,</t>
  </si>
  <si>
    <t>Smithdeal, G. H.,</t>
  </si>
  <si>
    <t>wu.89099897357</t>
  </si>
  <si>
    <t>008991985</t>
  </si>
  <si>
    <t>Normal language lessons /</t>
  </si>
  <si>
    <t>Sornberger, S. J.</t>
  </si>
  <si>
    <t>wu.89099897415</t>
  </si>
  <si>
    <t>008991987</t>
  </si>
  <si>
    <t>The rudiments of English grammar : illustrated by parsing lessons : containing also a table of questions on the parts of speech, arranged in systamatic order, designed to facilitate the pupil's progress and initiate him in the principles of etymology : together with twenty-four syntactical rules, ellipsis, and a few observations on the uses of what and its /</t>
  </si>
  <si>
    <t>Spalding, Charles.</t>
  </si>
  <si>
    <t>wu.89099896375</t>
  </si>
  <si>
    <t>008991989</t>
  </si>
  <si>
    <t>Advanced lessons in English : composition, analysis, and grammar /</t>
  </si>
  <si>
    <t>Murray, J. E.</t>
  </si>
  <si>
    <t>wu.89090394594</t>
  </si>
  <si>
    <t>008991992</t>
  </si>
  <si>
    <t>wu.89090394685</t>
  </si>
  <si>
    <t>008991994</t>
  </si>
  <si>
    <t>wu.89090394784</t>
  </si>
  <si>
    <t>008991995</t>
  </si>
  <si>
    <t>wu.89099896433</t>
  </si>
  <si>
    <t>008991997</t>
  </si>
  <si>
    <t>Practical grammar : a text book for use in public schools and in English departments of business colleges and in commercial departments of academies and high schools /</t>
  </si>
  <si>
    <t>Eaton, Seymour,</t>
  </si>
  <si>
    <t>wu.89099893828</t>
  </si>
  <si>
    <t>008991950</t>
  </si>
  <si>
    <t>A manual of grammar /</t>
  </si>
  <si>
    <t>Evans, W. M.</t>
  </si>
  <si>
    <t>wu.89099893836</t>
  </si>
  <si>
    <t>008991951</t>
  </si>
  <si>
    <t>An English grammar: in which the principles of the language are methodically arranged, and practically illustrated; with examples for parsing, and questions for examination. Designed for schools, academies, and private learners,</t>
  </si>
  <si>
    <t>Everest, Cornelius B.</t>
  </si>
  <si>
    <t>wu.89099893869</t>
  </si>
  <si>
    <t>008991953</t>
  </si>
  <si>
    <t>A concise manual of English grammar, arranged on the principle of analysis.</t>
  </si>
  <si>
    <t>Felton, Oliver C.</t>
  </si>
  <si>
    <t>wu.89099896888</t>
  </si>
  <si>
    <t>008991955</t>
  </si>
  <si>
    <t>A practical English grammar : for the use of schools and private students /</t>
  </si>
  <si>
    <t>wu.89099896904</t>
  </si>
  <si>
    <t>008991956</t>
  </si>
  <si>
    <t>Grammatical analysis by diagrams /</t>
  </si>
  <si>
    <t>wu.89099896912</t>
  </si>
  <si>
    <t>008991957</t>
  </si>
  <si>
    <t>An elementary English grammar : consisting of one hundred practical lessons, carefully graded and adapted to the class room /</t>
  </si>
  <si>
    <t>wu.89090394958</t>
  </si>
  <si>
    <t>008991958</t>
  </si>
  <si>
    <t>Graded lessons in English : an elementary English grammar : consisting of one hundred practical lessons, carefully graded and adapted to the class-room /</t>
  </si>
  <si>
    <t>wu.89090394925</t>
  </si>
  <si>
    <t>008991959</t>
  </si>
  <si>
    <t>Introductory language work; a series of exercises in English to precede the study of technical grammar.</t>
  </si>
  <si>
    <t>wu.89099897001</t>
  </si>
  <si>
    <t>008991963</t>
  </si>
  <si>
    <t>An inductive grammar of the English language : for the use of common and graded schools /</t>
  </si>
  <si>
    <t>Ridpath, John Clark,</t>
  </si>
  <si>
    <t>wu.89099897027</t>
  </si>
  <si>
    <t>008991965</t>
  </si>
  <si>
    <t>Essential studies in English. Grammar</t>
  </si>
  <si>
    <t>Robbins, Carolyn M.,</t>
  </si>
  <si>
    <t>wu.89099897050</t>
  </si>
  <si>
    <t>008991966</t>
  </si>
  <si>
    <t>Rudimental lessons in etymology and syntax : in which these two parts of grammar are exhibited in parallel columns : carelfuly [sic] adapted to the capacity of young learners. : Chiefly selected from Murray's grammar. /</t>
  </si>
  <si>
    <t>Robbins, Manasseh.</t>
  </si>
  <si>
    <t>wu.89099897118</t>
  </si>
  <si>
    <t>008991967</t>
  </si>
  <si>
    <t>wu.89099893968</t>
  </si>
  <si>
    <t>008991929</t>
  </si>
  <si>
    <t>Common school grammar. Easy lessons in etymology and syntax.</t>
  </si>
  <si>
    <t>wu.89099893992</t>
  </si>
  <si>
    <t>008991931</t>
  </si>
  <si>
    <t>A practical English grammar : with progressive exercises in orthography, analysis, and grammatical composition : adapted to the use of schools and private students /</t>
  </si>
  <si>
    <t>wu.89099894024</t>
  </si>
  <si>
    <t>008991932</t>
  </si>
  <si>
    <t>English parsing: comprising the rules of syntax, exemplified by appropriate lessons under each rule, with an index, containing all the parts of speech in the different lessons unparsed, for the use of schools, private teachers, and elder students.</t>
  </si>
  <si>
    <t>Giles, James.</t>
  </si>
  <si>
    <t>wu.89099894032</t>
  </si>
  <si>
    <t>008991933</t>
  </si>
  <si>
    <t>Lessons in English : composition, grammar, and rhetoric combined /</t>
  </si>
  <si>
    <t>Gist, W. W.</t>
  </si>
  <si>
    <t>wu.89099894016</t>
  </si>
  <si>
    <t>008991934</t>
  </si>
  <si>
    <t>The youth's catechetical grammar; or, A simple illustration of the principles of the English language, adapted to the capacity of the juvenile mind; comprising a philosophical view of orthography, etymology, syntax and prosody,</t>
  </si>
  <si>
    <t>Gilbert, Eli.</t>
  </si>
  <si>
    <t>wu.89099903072</t>
  </si>
  <si>
    <t>008991935</t>
  </si>
  <si>
    <t>Weld's English grammar : illustrated by exercises in composition, analyzing, and parsing /</t>
  </si>
  <si>
    <t>wu.89099903148</t>
  </si>
  <si>
    <t>008991937</t>
  </si>
  <si>
    <t>wu.89099903163</t>
  </si>
  <si>
    <t>008991938</t>
  </si>
  <si>
    <t>wu.89099893646</t>
  </si>
  <si>
    <t>008991941</t>
  </si>
  <si>
    <t>Complete manual of parsing; including also a synoptical table of the system; a full ilucidation of English idioms; a discussion on words difficult to classify; and a glossary of grammatical terms.</t>
  </si>
  <si>
    <t>wu.89099893703</t>
  </si>
  <si>
    <t>008991942</t>
  </si>
  <si>
    <t>Exercises in parsing for beginners.</t>
  </si>
  <si>
    <t>Deuel, A. C.</t>
  </si>
  <si>
    <t>wu.89099893760</t>
  </si>
  <si>
    <t>008991945</t>
  </si>
  <si>
    <t>A new English grammar of school grammars; with composition, derivation, analysis of sentences, and history of the language; also copious exercises and questions for examination.</t>
  </si>
  <si>
    <t>Duxbury, C.</t>
  </si>
  <si>
    <t>wu.89099893786</t>
  </si>
  <si>
    <t>008991947</t>
  </si>
  <si>
    <t>Grammatical analysis : with progressive exercises /</t>
  </si>
  <si>
    <t>wu.89099897431</t>
  </si>
  <si>
    <t>008991898</t>
  </si>
  <si>
    <t>English grammar simplified and adapted to all classes of learners for the use of schools and academies.</t>
  </si>
  <si>
    <t>Spencer, John T.,</t>
  </si>
  <si>
    <t>wu.89099897449</t>
  </si>
  <si>
    <t>008991899</t>
  </si>
  <si>
    <t>Outline of English grammar.</t>
  </si>
  <si>
    <t>Steill, Benjamin.</t>
  </si>
  <si>
    <t>wu.89104409768</t>
  </si>
  <si>
    <t>008991900</t>
  </si>
  <si>
    <t>An attempt to simplify English grammar : with observations on the method of teaching it /</t>
  </si>
  <si>
    <t>Sullivan, Robert,</t>
  </si>
  <si>
    <t>wu.89099902819</t>
  </si>
  <si>
    <t>008991908</t>
  </si>
  <si>
    <t>A grammatical analyzer : or, The derivation and definition of words with their grammatical classification for the use of schools and academies /</t>
  </si>
  <si>
    <t>Tenney, William Jewett,</t>
  </si>
  <si>
    <t>wu.89099902843</t>
  </si>
  <si>
    <t>008991910</t>
  </si>
  <si>
    <t>Tower's common school grammar; with models of clausal, phrasal, and verbal analysis and parsing; gradually developing the construction of the English sentence.</t>
  </si>
  <si>
    <t>wu.89099902850</t>
  </si>
  <si>
    <t>008991911</t>
  </si>
  <si>
    <t>Tower's common school grammar : with models of clausal, phrasal, and verbal analysis and parsing ; gradually developing the construction of the English sentence /</t>
  </si>
  <si>
    <t>wu.89099902876</t>
  </si>
  <si>
    <t>008991912</t>
  </si>
  <si>
    <t>First lessons in language, or, Elements of English grammar /</t>
  </si>
  <si>
    <t>wu.89099902868</t>
  </si>
  <si>
    <t>008991913</t>
  </si>
  <si>
    <t>Gradual lessons in grammar, or, Guide to the construction of the English language by the analysis and composition of sentences /</t>
  </si>
  <si>
    <t>wu.89099902934</t>
  </si>
  <si>
    <t>008991915</t>
  </si>
  <si>
    <t>Elementary grammar of the English language,</t>
  </si>
  <si>
    <t>Vickroy, T. R.</t>
  </si>
  <si>
    <t>wu.89099902959</t>
  </si>
  <si>
    <t>008991917</t>
  </si>
  <si>
    <t>The first book of English grammar; prepared as a text-bok for public schools, and for the primary classes of high schools and academies.</t>
  </si>
  <si>
    <t>Walker, H. D.</t>
  </si>
  <si>
    <t>wu.89099903049</t>
  </si>
  <si>
    <t>008991921</t>
  </si>
  <si>
    <t>Analysis of the English sentence : designed for advanced classes in English grammar /</t>
  </si>
  <si>
    <t>Welch, A. S.</t>
  </si>
  <si>
    <t>wu.89099903056</t>
  </si>
  <si>
    <t>008991922</t>
  </si>
  <si>
    <t>wu.89099893901</t>
  </si>
  <si>
    <t>008991924</t>
  </si>
  <si>
    <t>Fewsmith, William.</t>
  </si>
  <si>
    <t>wu.89099893893</t>
  </si>
  <si>
    <t>008991925</t>
  </si>
  <si>
    <t>An elementary grammar of the English language /</t>
  </si>
  <si>
    <t>wu.89104409610</t>
  </si>
  <si>
    <t>008991875</t>
  </si>
  <si>
    <t>Principles of English grammar, defined and illustrated : to which are added copious exercising in parsing, and false syntax for correction : designed for the use of schools and private learners /</t>
  </si>
  <si>
    <t>wu.89099428567</t>
  </si>
  <si>
    <t>008991876</t>
  </si>
  <si>
    <t>A practical grammar of the English language, synthetic and analytic : adapted to the wants of public schools, academies, and private learners /</t>
  </si>
  <si>
    <t>Burtt, Andrew.</t>
  </si>
  <si>
    <t>wu.89089192462</t>
  </si>
  <si>
    <t>008991877</t>
  </si>
  <si>
    <t>wu.89099428583</t>
  </si>
  <si>
    <t>008991878</t>
  </si>
  <si>
    <t>A new English grammar, containing a critical demonstration of the definitions of the parts of speech, the moods and tenses of verbs, and the rules and notes of syntax, never before published ...</t>
  </si>
  <si>
    <t>Carroll, John.</t>
  </si>
  <si>
    <t>hvd.32044081502106</t>
  </si>
  <si>
    <t>008991879</t>
  </si>
  <si>
    <t>A class book in English grammar and analysis /</t>
  </si>
  <si>
    <t>Chandler, Z. M.</t>
  </si>
  <si>
    <t>wu.89099428625</t>
  </si>
  <si>
    <t>008991880</t>
  </si>
  <si>
    <t>First lessons in English grammar /</t>
  </si>
  <si>
    <t>wu.89089193510</t>
  </si>
  <si>
    <t>008991881</t>
  </si>
  <si>
    <t>A practical grammar : in which words, phrases, and sentences are classified according to their offices, and their relation to each other : illustrated by a complete system of diagrams /</t>
  </si>
  <si>
    <t>wu.89089193437</t>
  </si>
  <si>
    <t>008991882</t>
  </si>
  <si>
    <t>A grammar of the English language in a series of letters ...</t>
  </si>
  <si>
    <t>wu.89090359985</t>
  </si>
  <si>
    <t>008991885</t>
  </si>
  <si>
    <t>Complete English grammar.</t>
  </si>
  <si>
    <t>wu.89099893471</t>
  </si>
  <si>
    <t>008991886</t>
  </si>
  <si>
    <t>A complete graded course in English grammar and composition.</t>
  </si>
  <si>
    <t>wu.89099428658</t>
  </si>
  <si>
    <t>008991890</t>
  </si>
  <si>
    <t>Key to Clark's grammar: in which the analyses of the sentences in the grammar are indicated by diagrams.</t>
  </si>
  <si>
    <t>wu.89089193742</t>
  </si>
  <si>
    <t>008991891</t>
  </si>
  <si>
    <t>wu.89099893539</t>
  </si>
  <si>
    <t>008991892</t>
  </si>
  <si>
    <t>A digest of English grammar synthetical and analytical : classified and methodically arranged : accompanied by a chart of sentences, and adapted to the use of schools /</t>
  </si>
  <si>
    <t>wu.89099893596</t>
  </si>
  <si>
    <t>008991894</t>
  </si>
  <si>
    <t>A new method in English analysis,</t>
  </si>
  <si>
    <t>Curd, Charles P.</t>
  </si>
  <si>
    <t>wu.89089192348</t>
  </si>
  <si>
    <t>008991895</t>
  </si>
  <si>
    <t>hvd.hn1szn</t>
  </si>
  <si>
    <t>008991897</t>
  </si>
  <si>
    <t>The American system of English grammar : to which will soon be appended a key and exercise, developing the constructive principles of the English language ... /</t>
  </si>
  <si>
    <t>wu.89099428450</t>
  </si>
  <si>
    <t>008991854</t>
  </si>
  <si>
    <t>English grammar and analysis /</t>
  </si>
  <si>
    <t>Buck, Martha.</t>
  </si>
  <si>
    <t>wu.89090360389</t>
  </si>
  <si>
    <t>008991858</t>
  </si>
  <si>
    <t>wu.89090360355</t>
  </si>
  <si>
    <t>008991859</t>
  </si>
  <si>
    <t>Practical lessons in English grammar and composition; for young beginners: being an introduction to "The principles of English grammar," with copious exercises, and directions for their use.</t>
  </si>
  <si>
    <t>wu.89099428534</t>
  </si>
  <si>
    <t>008991861</t>
  </si>
  <si>
    <t>The principles of English grammar : comprising the substance of the most approved English grammars extant, with copious exercises in parsing and syntax ; For the use of academies and common schools ; A new edition, revised and corrected ; with an appendix of various and useful matter /</t>
  </si>
  <si>
    <t>wu.89099896730</t>
  </si>
  <si>
    <t>008991863</t>
  </si>
  <si>
    <t>Pinneo's exercises in false syntax : for the correction of errors in the grammatical construction of sentences : designed to aid in the study of the author's grammars of the English language /</t>
  </si>
  <si>
    <t>wu.89099896763</t>
  </si>
  <si>
    <t>008991864</t>
  </si>
  <si>
    <t>Murray's system of English grammar : improved, and adapted to the present mode of instruction in this branch of science. Larger arrangement /</t>
  </si>
  <si>
    <t>wu.89099896771</t>
  </si>
  <si>
    <t>008991865</t>
  </si>
  <si>
    <t>How to talk, or, Primary lessons in the English language /</t>
  </si>
  <si>
    <t>wu.89099896805</t>
  </si>
  <si>
    <t>008991866</t>
  </si>
  <si>
    <t>A grammar on an entirely new system /</t>
  </si>
  <si>
    <t>Powers, Daniel.</t>
  </si>
  <si>
    <t>wu.89099896847</t>
  </si>
  <si>
    <t>008991868</t>
  </si>
  <si>
    <t>An English grammar /</t>
  </si>
  <si>
    <t>wu.89089192405</t>
  </si>
  <si>
    <t>008991872</t>
  </si>
  <si>
    <t>The principles of English grammar; comprisng the substance of the most approved English grammars extant, with copious exercises in parsing and syntax; a new ed., rev., re-arranged and improved.</t>
  </si>
  <si>
    <t>wu.89090360298</t>
  </si>
  <si>
    <t>008991873</t>
  </si>
  <si>
    <t>Principles of English grammar, defined and illustrated : to which are added pieces in prose and poetry, designed for analytical exercises; and false syntax for correction /</t>
  </si>
  <si>
    <t>Burns, Elijah A.</t>
  </si>
  <si>
    <t>An English grammar, in familiar conversations, inductive and progressive; uniting and harmonizing theory and practice, and adapted to oral teaching.</t>
  </si>
  <si>
    <t>Badgley, Jonathan.</t>
  </si>
  <si>
    <t>wu.89048894802</t>
  </si>
  <si>
    <t>008991835</t>
  </si>
  <si>
    <t>A higher English grammar.</t>
  </si>
  <si>
    <t>wu.89099428252</t>
  </si>
  <si>
    <t>008991836</t>
  </si>
  <si>
    <t>A grammar of the English language; explained according to the principles of truth and common sense, and adapted to the capacities of all who think. Designed for the use of schools, academies, and private learners.</t>
  </si>
  <si>
    <t>Balch, William Stevens,</t>
  </si>
  <si>
    <t>wu.89089193338</t>
  </si>
  <si>
    <t>008991839</t>
  </si>
  <si>
    <t>The principles of grammar : being a compendious treatise on the languages, English, Latin, Greek, German, Spanish, and French. Founded on the immutable principle of the relation which one word sustains to another ... /</t>
  </si>
  <si>
    <t>wu.89099428302</t>
  </si>
  <si>
    <t>008991840</t>
  </si>
  <si>
    <t>An outline of the general principles of grammar. : With a brief exposition of the chief idiomatic peculiarities of the English language ... /</t>
  </si>
  <si>
    <t>Barton, John Graeff.</t>
  </si>
  <si>
    <t>wu.89099428328</t>
  </si>
  <si>
    <t>008991841</t>
  </si>
  <si>
    <t>The analysis of the English sentence, with supplement,</t>
  </si>
  <si>
    <t>Beeman, Marion Nelson.</t>
  </si>
  <si>
    <t>wu.89099428336</t>
  </si>
  <si>
    <t>008991842</t>
  </si>
  <si>
    <t>Natural method in English : consisting of a series of graded lessons for the use of schools. Arranged for the convenience of teachers, and especially adapted to private study.</t>
  </si>
  <si>
    <t>Bell, Goodloe Harper.</t>
  </si>
  <si>
    <t>wu.89099428351</t>
  </si>
  <si>
    <t>008991844</t>
  </si>
  <si>
    <t>A grammar of the English language : for the use of schools and academies. With copius parsing exercises. /</t>
  </si>
  <si>
    <t>Bingham, Wm.</t>
  </si>
  <si>
    <t>wu.89099428369</t>
  </si>
  <si>
    <t>008991845</t>
  </si>
  <si>
    <t>English grammar and how to teach it : designed as a textbook for common schools, and for the primary, intermediate, and grammar departments of graded schools /</t>
  </si>
  <si>
    <t>Boltwood, Henry L.</t>
  </si>
  <si>
    <t>wu.89090360041</t>
  </si>
  <si>
    <t>008991847</t>
  </si>
  <si>
    <t>Bowen, H. Courthope,</t>
  </si>
  <si>
    <t>wu.89099428393</t>
  </si>
  <si>
    <t>008991850</t>
  </si>
  <si>
    <t>Graded instruction in English. For the use of teachers ...</t>
  </si>
  <si>
    <t>wu.89099428435</t>
  </si>
  <si>
    <t>008991852</t>
  </si>
  <si>
    <t>Foundation lessons in English,</t>
  </si>
  <si>
    <t>Woodley, Oscar Israel.</t>
  </si>
  <si>
    <t>wu.89099903429</t>
  </si>
  <si>
    <t>wu.89099903494</t>
  </si>
  <si>
    <t>008991789</t>
  </si>
  <si>
    <t>A philosophical grammar of the English language : adapted equally to the use of schools or private study : in which are contained, in numerous instances, theoretical and practical refutations of the most prevailing systems in modern use /</t>
  </si>
  <si>
    <t>Wright, Joseph W.</t>
  </si>
  <si>
    <t>wu.89099903593</t>
  </si>
  <si>
    <t>008991795</t>
  </si>
  <si>
    <t>Schlüssel zu den Aufgaben in der englischen Grammatik nach Ollendorff's Methode /</t>
  </si>
  <si>
    <t>wu.89099903650</t>
  </si>
  <si>
    <t>008991799</t>
  </si>
  <si>
    <t>An abstract of English grammar with questions. Formed on the plan of Grammatik der Englischen Sprache</t>
  </si>
  <si>
    <t>Sonnenburg, Rudolf.</t>
  </si>
  <si>
    <t>wu.89099903767</t>
  </si>
  <si>
    <t>008991807</t>
  </si>
  <si>
    <t>Clave de los ejercicios contenidos en el método para aprender á leer, escribir y hablar el inglés : segun el sistema de Ollendorff /</t>
  </si>
  <si>
    <t>Palenzuela, Ramon.</t>
  </si>
  <si>
    <t>wu.89099904013</t>
  </si>
  <si>
    <t>008991813</t>
  </si>
  <si>
    <t>The spelling of the King's English.</t>
  </si>
  <si>
    <t>Clarke, John,</t>
  </si>
  <si>
    <t>wu.89099904104</t>
  </si>
  <si>
    <t>008991816</t>
  </si>
  <si>
    <t>A new English orthography,</t>
  </si>
  <si>
    <t>Joos, Martin.</t>
  </si>
  <si>
    <t>wu.89099428112</t>
  </si>
  <si>
    <t>008991822</t>
  </si>
  <si>
    <t>How to write clearly : rules and exercises on English composition /</t>
  </si>
  <si>
    <t>wu.89099428187</t>
  </si>
  <si>
    <t>008991824</t>
  </si>
  <si>
    <t>An English school grammar : with very copious exercises, and a systematic view of the formation and derivation of words, comprising Anglo-Saxon, Latin, &amp; Greek lists, which explain the etymology of above seven thousand English words /</t>
  </si>
  <si>
    <t>Allen, Alexander,</t>
  </si>
  <si>
    <t>wu.89099428203</t>
  </si>
  <si>
    <t>008991825</t>
  </si>
  <si>
    <t>Grammatic guide, or, Common school grammar /</t>
  </si>
  <si>
    <t>Allen, D. Caverno.</t>
  </si>
  <si>
    <t>wu.89099428211</t>
  </si>
  <si>
    <t>008991826</t>
  </si>
  <si>
    <t>An English grammar; with exercises, notes, and questions.</t>
  </si>
  <si>
    <t>Allen, William.</t>
  </si>
  <si>
    <t>wu.89089195291</t>
  </si>
  <si>
    <t>008991832</t>
  </si>
  <si>
    <t>An English grammar for classical schools, with questions, and a course of exercises; being a practical introduction to English prose composition</t>
  </si>
  <si>
    <t>Arnold, Thomas Kerchever,</t>
  </si>
  <si>
    <t>wu.89089193379</t>
  </si>
  <si>
    <t>008991833</t>
  </si>
  <si>
    <t>The principles of English grammar : comprising the substance of all the most approved English grammars extant, briefly defined and neatly arranged, with copious exercises in parsing and syntax /</t>
  </si>
  <si>
    <t>wu.89099896060</t>
  </si>
  <si>
    <t>008991731</t>
  </si>
  <si>
    <t>Object lessons. Things taught: systematic instruction in composition and object lessons.</t>
  </si>
  <si>
    <t>Lilienthal, M. E.</t>
  </si>
  <si>
    <t>wu.89013484555</t>
  </si>
  <si>
    <t>008991734</t>
  </si>
  <si>
    <t>A short introduction to English grammar: with critical notes ...</t>
  </si>
  <si>
    <t>wu.89053180782</t>
  </si>
  <si>
    <t>008991737</t>
  </si>
  <si>
    <t>The English language; an introduction to the principles which govern its right use,</t>
  </si>
  <si>
    <t>Manley, Frederick.</t>
  </si>
  <si>
    <t>wu.89099427569</t>
  </si>
  <si>
    <t>008991738</t>
  </si>
  <si>
    <t>An English grammar for schools : based on the principles and requirements of the grammatical society /</t>
  </si>
  <si>
    <t>Hall, Joseph,</t>
  </si>
  <si>
    <t>wu.89099427635</t>
  </si>
  <si>
    <t>008991741</t>
  </si>
  <si>
    <t>The English language : a brief history of its grammatical changes and its vocabulary : with exercises on synonyms, prefixes and suffixes, word-analysis and word building : a text-book for high schools and colleges /</t>
  </si>
  <si>
    <t>wu.89099427825</t>
  </si>
  <si>
    <t>008991744</t>
  </si>
  <si>
    <t>wu.89090360132</t>
  </si>
  <si>
    <t>008991752</t>
  </si>
  <si>
    <t>Manual of English grammar</t>
  </si>
  <si>
    <t>wu.89090394495</t>
  </si>
  <si>
    <t>008991753</t>
  </si>
  <si>
    <t>A parser and analyzer for beginners : with diagrams and suggestive pictures /</t>
  </si>
  <si>
    <t>wu.89090360066</t>
  </si>
  <si>
    <t>008991754</t>
  </si>
  <si>
    <t>English grammar, including grammatical analysis.</t>
  </si>
  <si>
    <t>Mason, C. P.</t>
  </si>
  <si>
    <t>wu.89099896151</t>
  </si>
  <si>
    <t>008991758</t>
  </si>
  <si>
    <t>An easy English grammar in four parts; being a complete course of etymology, syntax, and analysis, with four hundred exercises,</t>
  </si>
  <si>
    <t>wu.89099903205</t>
  </si>
  <si>
    <t>008991759</t>
  </si>
  <si>
    <t>English grammar for beginners /</t>
  </si>
  <si>
    <t>West, Alfred S.</t>
  </si>
  <si>
    <t>wu.89099903213</t>
  </si>
  <si>
    <t>008991760</t>
  </si>
  <si>
    <t>wu.89099903320</t>
  </si>
  <si>
    <t>008991779</t>
  </si>
  <si>
    <t>Practical studies in grammar : dealing with the principles of English language and composition /</t>
  </si>
  <si>
    <t>Williams, James Douglas.</t>
  </si>
  <si>
    <t>wu.89099903361</t>
  </si>
  <si>
    <t>008991782</t>
  </si>
  <si>
    <t>wu.89099903387</t>
  </si>
  <si>
    <t>008991783</t>
  </si>
  <si>
    <t>Studies in the science of English grammar,</t>
  </si>
  <si>
    <t>wu.89099903411</t>
  </si>
  <si>
    <t>008991786</t>
  </si>
  <si>
    <t>008981088</t>
  </si>
  <si>
    <t>Histrio-mastix. 1610.</t>
  </si>
  <si>
    <t>wu.89087905378</t>
  </si>
  <si>
    <t>008988057</t>
  </si>
  <si>
    <t>Origins of the English people and the English language;</t>
  </si>
  <si>
    <t>Roemer, J.</t>
  </si>
  <si>
    <t>wu.89099423253</t>
  </si>
  <si>
    <t>008988058</t>
  </si>
  <si>
    <t>wu.89032262370</t>
  </si>
  <si>
    <t>008988060</t>
  </si>
  <si>
    <t>English past and present: eight lectures</t>
  </si>
  <si>
    <t>wu.89099423006</t>
  </si>
  <si>
    <t>008988199</t>
  </si>
  <si>
    <t>Higher-grade English. History of the language; analysis; style; prosody; &amp;c., &amp;c.</t>
  </si>
  <si>
    <t>wu.89098105000</t>
  </si>
  <si>
    <t>008988201</t>
  </si>
  <si>
    <t>The imperial dictionary, English, technological, and scientific : adapted to the present state of literature, science, and art, on the basis of Webster's dictionary, with the addition of many thousand words and phrases from the other standard dictionaries and encyclopedias, and from numerous other sources ... /</t>
  </si>
  <si>
    <t>wu.89099425787</t>
  </si>
  <si>
    <t>supp.</t>
  </si>
  <si>
    <t>wu.89094827367</t>
  </si>
  <si>
    <t>008988212</t>
  </si>
  <si>
    <t>wu.89044677334</t>
  </si>
  <si>
    <t>008988214</t>
  </si>
  <si>
    <t>Formation and development of elementary English sounds,</t>
  </si>
  <si>
    <t>Yale, Caroline Ardelia,</t>
  </si>
  <si>
    <t>wu.89099427221</t>
  </si>
  <si>
    <t>008988215</t>
  </si>
  <si>
    <t>wu.89099427262</t>
  </si>
  <si>
    <t>008988217</t>
  </si>
  <si>
    <t>A handbook of pronunciation : giving principles and illustrations, adapted to the use of students, with or without a teacher /</t>
  </si>
  <si>
    <t>Sherman, Lewis.</t>
  </si>
  <si>
    <t>wu.89104408216</t>
  </si>
  <si>
    <t>008988218</t>
  </si>
  <si>
    <t>Shall and will and the English subjunctive,</t>
  </si>
  <si>
    <t>Haile, Charles Henry,</t>
  </si>
  <si>
    <t>wu.89099427403</t>
  </si>
  <si>
    <t>008988221</t>
  </si>
  <si>
    <t>The grammar of English grammars : with an introduction, historical and critical, the whole methodically arranged and amply illustrated ... and a key to the oral exercises, to which are added four appendixes, pertaining separately to the four parts of grammar /</t>
  </si>
  <si>
    <t>wu.89099426868</t>
  </si>
  <si>
    <t>008988246</t>
  </si>
  <si>
    <t>Report ... on the subject of a phonetic English alphabet.</t>
  </si>
  <si>
    <t>wu.89099896102</t>
  </si>
  <si>
    <t>008991727</t>
  </si>
  <si>
    <t>Lessons in the speaking and writing of English...</t>
  </si>
  <si>
    <t>wu.89099896037</t>
  </si>
  <si>
    <t>008991730</t>
  </si>
  <si>
    <t>Culture &amp; anarchy, an essay in political and social criticism; and Friendship's garland, being the conversations, letters, and opinions of the late Arminius, baron von Thunder-ten-Tronckh.</t>
  </si>
  <si>
    <t>njp.32101068588761</t>
  </si>
  <si>
    <t>008973025</t>
  </si>
  <si>
    <t>Surrey, Henry Howard, earl of,</t>
  </si>
  <si>
    <t>njp.32101038142988</t>
  </si>
  <si>
    <t>008973562</t>
  </si>
  <si>
    <t>The lives of the most eminent English poets : with critical observations on their works /</t>
  </si>
  <si>
    <t>njp.32101068599784</t>
  </si>
  <si>
    <t>v.5-6</t>
  </si>
  <si>
    <t>njp.32101068599792</t>
  </si>
  <si>
    <t>njp.32101068599800</t>
  </si>
  <si>
    <t>008973563</t>
  </si>
  <si>
    <t>The lives of the poets of Great Britain and Ireland : and a criticism on their works /</t>
  </si>
  <si>
    <t>njp.32101068599818</t>
  </si>
  <si>
    <t>008973564</t>
  </si>
  <si>
    <t>Lives of the most eminent English poets: with critical observations on their works. To which are added the "Preface to Shakespeare," and the review of "The origin of evil."</t>
  </si>
  <si>
    <t>njp.32101068600285</t>
  </si>
  <si>
    <t>008973589</t>
  </si>
  <si>
    <t>John Keats; his life and poetry, his friends, critics, and after-fame,</t>
  </si>
  <si>
    <t>njp.32101069166492</t>
  </si>
  <si>
    <t>008978453</t>
  </si>
  <si>
    <t>The metrical history of Sir William Wallace, knight of Ellerslie /</t>
  </si>
  <si>
    <t>Henry,</t>
  </si>
  <si>
    <t>njp.32101069166500</t>
  </si>
  <si>
    <t>vol. 1</t>
  </si>
  <si>
    <t>njp.32101069167037</t>
  </si>
  <si>
    <t>008978485</t>
  </si>
  <si>
    <t>Elements of elocution. Being the substance of a course of lectures on the art of reading, delivered at several colleges in the University of Oxford.</t>
  </si>
  <si>
    <t>hvd.hn2dc8</t>
  </si>
  <si>
    <t>008980913</t>
  </si>
  <si>
    <t>A manual of Anglo-Saxon for beginners; comprising a grammar, reader, and glossary, with explanatory notes.</t>
  </si>
  <si>
    <t>Shute, Samuel Moore,</t>
  </si>
  <si>
    <t>njp.32101071985673</t>
  </si>
  <si>
    <t>008980947</t>
  </si>
  <si>
    <t>Rhythm in English prose,</t>
  </si>
  <si>
    <t>Fijn van Draat, Pieter,</t>
  </si>
  <si>
    <t>hvd.hn2dbu</t>
  </si>
  <si>
    <t>008980955</t>
  </si>
  <si>
    <t>njp.32101071985764</t>
  </si>
  <si>
    <t>njp.32101071985871</t>
  </si>
  <si>
    <t>008980959</t>
  </si>
  <si>
    <t>njp.32101071985889</t>
  </si>
  <si>
    <t>008980960</t>
  </si>
  <si>
    <t>Lectures on the English language ... ed., with additional lectures and notes,</t>
  </si>
  <si>
    <t>njp.32101071986457</t>
  </si>
  <si>
    <t>008980991</t>
  </si>
  <si>
    <t>A primer of English literature /</t>
  </si>
  <si>
    <t>Egan, Maurice Francis,</t>
  </si>
  <si>
    <t>njp.32101071987570</t>
  </si>
  <si>
    <t>008981038</t>
  </si>
  <si>
    <t>The Glasgow poets : their lives and poems.</t>
  </si>
  <si>
    <t>njp.32101071988768</t>
  </si>
  <si>
    <t>The melody of speaking, delineated; or, Elocution taught like music, by visible signs, adapted to the tones, inflexions, and variations of voice in reading and speaking; with directions for modulation, and expressing the passions ...</t>
  </si>
  <si>
    <t>njp.32101067671626</t>
  </si>
  <si>
    <t>008963334</t>
  </si>
  <si>
    <t>The speaker; or, Miscellaneous pieces, selected from the best English writers, and disposed under proper heads, with a view to facilitate the improvement of youth in reading and speaking.</t>
  </si>
  <si>
    <t>njp.32101067676302</t>
  </si>
  <si>
    <t>008963594</t>
  </si>
  <si>
    <t>The appeal of the oratory to the first ages of Christianity...</t>
  </si>
  <si>
    <t>njp.32101067681849</t>
  </si>
  <si>
    <t>008963917</t>
  </si>
  <si>
    <t>On English schools and their methods of teaching English ...</t>
  </si>
  <si>
    <t>Marburg,</t>
  </si>
  <si>
    <t>njp.32101067690501</t>
  </si>
  <si>
    <t>008964175</t>
  </si>
  <si>
    <t>njp.32101067888956</t>
  </si>
  <si>
    <t>008966020</t>
  </si>
  <si>
    <t>All the French verbs at a glance : with practical elucidations of all the French sounds, and comprehensive table of pronouns /</t>
  </si>
  <si>
    <t>Lambert, Étienne.</t>
  </si>
  <si>
    <t>njp.32101067889657</t>
  </si>
  <si>
    <t>008966072</t>
  </si>
  <si>
    <t>njp.32101068027091</t>
  </si>
  <si>
    <t>008966697</t>
  </si>
  <si>
    <t>The method of teaching and studying the belles lettres; or, An introduction to languages, poetry, rhetoric, history, moral philosophy, physics, &amp;c. : with reflections on taste, and instructions with regard to the eloquence of the pulpit, the bar, and the stage; the whole illustrated with passages from the most famous poets and orators, ancient and modern, with critical remarks on them; designed more particularly for students in the universities /</t>
  </si>
  <si>
    <t>njp.32101068580313</t>
  </si>
  <si>
    <t>njp.32101068580321</t>
  </si>
  <si>
    <t>njp.32101068144946</t>
  </si>
  <si>
    <t>008967583</t>
  </si>
  <si>
    <t>A Shakespearian grammar : an attempt to illustrate some of the differences between Elizabethan and modern English /</t>
  </si>
  <si>
    <t>uva.x000418373</t>
  </si>
  <si>
    <t>njp.32101068580289</t>
  </si>
  <si>
    <t>008972701</t>
  </si>
  <si>
    <t>The method of teaching and studying the belles lettres; or, An introduction to languages, poetry, rhetoric, history, moral philosophy, physicks, &amp;c. ...</t>
  </si>
  <si>
    <t>njp.32101068580297</t>
  </si>
  <si>
    <t>njp.32101068580305</t>
  </si>
  <si>
    <t>njp.32101068580891</t>
  </si>
  <si>
    <t>008972724</t>
  </si>
  <si>
    <t>The English reader : or, pieces in prose and poetry, selected from the best authors. Designed to assist young persons to read with propriety and effect; to improve their language and sentiments; and to inculcate some of the most important principles of piety and virtue. With a few preliminary observations on the principles of good reading /</t>
  </si>
  <si>
    <t>njp.32101067483493</t>
  </si>
  <si>
    <t>008958100</t>
  </si>
  <si>
    <t>The English reader, or, Pieces in prose and poetry, selected from the best writers : designed to assist young persons to read with propriety and effect, to improve their language and sentiments, and to inculcate some of the most important principles of piety and virtue : with a few preliminary observations on the principles of good reading /</t>
  </si>
  <si>
    <t>njp.32101067521706</t>
  </si>
  <si>
    <t>008959258</t>
  </si>
  <si>
    <t>Graded exercises in language ...</t>
  </si>
  <si>
    <t>Edwards, Ayres Mason,</t>
  </si>
  <si>
    <t>njp.32101067625879</t>
  </si>
  <si>
    <t>008960980</t>
  </si>
  <si>
    <t>Research in China, expedition of 1903-04, under the direction of Bailey Willis. Syllabary of Chinese sounds,</t>
  </si>
  <si>
    <t>Hirth, Friedrich,</t>
  </si>
  <si>
    <t>uc2.ark:/13960/t44q7v74f</t>
  </si>
  <si>
    <t>njp.32101067627727</t>
  </si>
  <si>
    <t>008961096</t>
  </si>
  <si>
    <t>Ballads in the Cumberland dialect /</t>
  </si>
  <si>
    <t>njp.32101067627735</t>
  </si>
  <si>
    <t>008961097</t>
  </si>
  <si>
    <t>The poetical works; to which is prefixed the life of the author, written by himself; an essay on the character, manners, and customs of the peasantry of Cumberland; and observations on the style and genius of the author,</t>
  </si>
  <si>
    <t>njp.32101067627743</t>
  </si>
  <si>
    <t>njp.32101067650877</t>
  </si>
  <si>
    <t>008962271</t>
  </si>
  <si>
    <t>The music of nature; or, An attempt to prove that what is passionate and pleasing in the art of singing, speaking, and performing upon musical instruments,is derived from the sounds of the animated world.</t>
  </si>
  <si>
    <t>njp.32101067671543</t>
  </si>
  <si>
    <t>008963329</t>
  </si>
  <si>
    <t>A help to elocution, containig three essays: I. On reading and declamation ... II. On the marks and characters of the different passions and affections of the mind; III. On composition ... To which is added a very large collection of examples in prose and verse,</t>
  </si>
  <si>
    <t>njp.32101067671568</t>
  </si>
  <si>
    <t>008963330</t>
  </si>
  <si>
    <t>Teacher's manual to accompany Inductive lessons in rhetoric /</t>
  </si>
  <si>
    <t>Lewis, Francis Warner,</t>
  </si>
  <si>
    <t>njp.32101066384668</t>
  </si>
  <si>
    <t>008927416</t>
  </si>
  <si>
    <t>Society gymnastics and voice culture : adapted from the Delsarte system /</t>
  </si>
  <si>
    <t>Stebbins, Genevieve.</t>
  </si>
  <si>
    <t>njp.32101066384684</t>
  </si>
  <si>
    <t>008927417</t>
  </si>
  <si>
    <t>Watson's manual of calisthenics : a systematic drill-book without apparatus, for schools, families, and gymnasiums ; with music to accompany the exercises /</t>
  </si>
  <si>
    <t>njp.32101066469485</t>
  </si>
  <si>
    <t>008928738</t>
  </si>
  <si>
    <t>The art of speaking /</t>
  </si>
  <si>
    <t>Lamy, Bernard,</t>
  </si>
  <si>
    <t>uc1.$b527723</t>
  </si>
  <si>
    <t>008932515</t>
  </si>
  <si>
    <t>English grammar adapted to the use of those preparing for local and other examinations,</t>
  </si>
  <si>
    <t>Turner, James Arnold.</t>
  </si>
  <si>
    <t>uc2.ark:/13960/t23b61p7r</t>
  </si>
  <si>
    <t>uc1.31822012915930</t>
  </si>
  <si>
    <t>008945915</t>
  </si>
  <si>
    <t>Interpretation in song,</t>
  </si>
  <si>
    <t>Greene, Harry Plunket,</t>
  </si>
  <si>
    <t>uc1.31822010604536</t>
  </si>
  <si>
    <t>008946114</t>
  </si>
  <si>
    <t>The art of singing and vocal declamation /</t>
  </si>
  <si>
    <t>Santley, Charles,</t>
  </si>
  <si>
    <t>njp.32101066892355</t>
  </si>
  <si>
    <t>008954622</t>
  </si>
  <si>
    <t>Der Anorganische Nasallaut im Französischen,</t>
  </si>
  <si>
    <t>Balcke, Curt,</t>
  </si>
  <si>
    <t>njp.32101067174423</t>
  </si>
  <si>
    <t>008956188</t>
  </si>
  <si>
    <t>The complete works of William Shakespeare, with historical and analytical prefaces, comments, critical and explanatory notes, glossaries, a life of Shakespeare and a history of the early English drama.</t>
  </si>
  <si>
    <t>njp.32101067178234</t>
  </si>
  <si>
    <t>008956296</t>
  </si>
  <si>
    <t>Roundabout papers (from the Cornhill magazine) To which is added The four Georges, The English humorists of the eighteenth century, The second funeral of Napoleon, Critical reviews, and selections from Punch ...</t>
  </si>
  <si>
    <t>njp.32101067483436</t>
  </si>
  <si>
    <t>008958095</t>
  </si>
  <si>
    <t>Lessons in emphasis, containing all the rules of emphasis; all the methods of emphasis; ...</t>
  </si>
  <si>
    <t>njp.32101067483451</t>
  </si>
  <si>
    <t>008958097</t>
  </si>
  <si>
    <t>A new and practical system of the culture of voice and action : and a complete analysis of the human passions, with an appendix of readings and recitations designed for public speakers, teachers, and students /</t>
  </si>
  <si>
    <t>njp.32101067483485</t>
  </si>
  <si>
    <t>008958099</t>
  </si>
  <si>
    <t>njp.32101064792029</t>
  </si>
  <si>
    <t>008921644</t>
  </si>
  <si>
    <t>The principles of elocution, with exercises and notations for pronunciation, intonation, emphasis, gesture and emotional expression.</t>
  </si>
  <si>
    <t>njp.32101064792037</t>
  </si>
  <si>
    <t>008921645</t>
  </si>
  <si>
    <t>Outlines of elocution,</t>
  </si>
  <si>
    <t>Schermerhorn, H. R.</t>
  </si>
  <si>
    <t>njp.32101064792144</t>
  </si>
  <si>
    <t>008921655</t>
  </si>
  <si>
    <t>Warman's school-room friend; practical suggestions on reading, reciting and impersonating. (Not a treatise on elocution.)</t>
  </si>
  <si>
    <t>njp.32101064792169</t>
  </si>
  <si>
    <t>008921657</t>
  </si>
  <si>
    <t>njp.32101064792177</t>
  </si>
  <si>
    <t>008921658</t>
  </si>
  <si>
    <t>The art of elocution, or, Logical and musical reading and declamation : with an appendix, containing a copious practice in oratorical, poetical, and dramatic reading and recitation, the whole forming a complete speaker, well adapted to private pupils, classes, and the use of schools /</t>
  </si>
  <si>
    <t>njp.32101064792276</t>
  </si>
  <si>
    <t>008921663</t>
  </si>
  <si>
    <t>The essentials of elocution /</t>
  </si>
  <si>
    <t>njp.32101064792292</t>
  </si>
  <si>
    <t>008921665</t>
  </si>
  <si>
    <t>A manual of elocution founded upon the philosophy of the human voice /</t>
  </si>
  <si>
    <t>njp.32101065979641</t>
  </si>
  <si>
    <t>008924593</t>
  </si>
  <si>
    <t>njp.32101066125608</t>
  </si>
  <si>
    <t>008925372</t>
  </si>
  <si>
    <t>Pulpit elocution : comprising remarks on the effect of manner in public discourse ; the elements of elocution applied to the reading of the Scriptures, hymns, and sermons ; with observations on the principles of gesture ; and a selection of exercises in reading and speaking /</t>
  </si>
  <si>
    <t>njp.32101066125772</t>
  </si>
  <si>
    <t>008925378</t>
  </si>
  <si>
    <t>The English of Shakespeare illustrated in a philological commentary on his Julius Caesar /</t>
  </si>
  <si>
    <t>njp.32101066163344</t>
  </si>
  <si>
    <t>008926148</t>
  </si>
  <si>
    <t>Words and their uses, past and present : A study of the English language /</t>
  </si>
  <si>
    <t>njp.32101066163351</t>
  </si>
  <si>
    <t>008926149</t>
  </si>
  <si>
    <t>Outlines of composition : designed to simplify and develop the principles of the art by means of exercises in the preparation of essays, debates, lectures, and orations : for the use of schools, colleges, and private students /</t>
  </si>
  <si>
    <t>Zander, H. Joseph.</t>
  </si>
  <si>
    <t>njp.32101066163377</t>
  </si>
  <si>
    <t>008926151</t>
  </si>
  <si>
    <t>Webster's reciter; or, Elocution made easy. Plainly showing the proper attitudes of the figure, the various expressions of the face, and the different inflexions and modulations of the voice ... Also containing choice selections of the most thrilling, passionate, heroic, and patriotic speeches and poems ...</t>
  </si>
  <si>
    <t>Williams, Henry Llewellyn,</t>
  </si>
  <si>
    <t>njp.32101063608473</t>
  </si>
  <si>
    <t>njp.32101063851693</t>
  </si>
  <si>
    <t>008918998</t>
  </si>
  <si>
    <t>Chrestomathia : being a collection of papers, explanatory of the design of an institution, proposed to be set on foot, under the name of the Chrestomathic day school, or Chrestomathic school, for the extension of the new system of instruction to the higher branches of learning, for the use of the middling and higher ranks in life /</t>
  </si>
  <si>
    <t>njp.32101064786021</t>
  </si>
  <si>
    <t>008921354</t>
  </si>
  <si>
    <t>The claims of the English language. An address delivered before the Phi-Delta and Thalian Societies of Oglethorpe University, Georgia, on Commencement day, November 10, 1852.</t>
  </si>
  <si>
    <t>Palmer, B. M.</t>
  </si>
  <si>
    <t>njp.32101064786401</t>
  </si>
  <si>
    <t>008921363</t>
  </si>
  <si>
    <t>Mistakes in writing English, and how to avoid them ...</t>
  </si>
  <si>
    <t>Bigelow, Marshall T.</t>
  </si>
  <si>
    <t>njp.32101064786427</t>
  </si>
  <si>
    <t>008921364</t>
  </si>
  <si>
    <t>Institutes of grammar, as applicable to the English langage, or as introductory to the study of other languages, systematically arranged, and briefly explained. To which are added some chronological tables.</t>
  </si>
  <si>
    <t>Andrew, James,</t>
  </si>
  <si>
    <t>njp.32101064791948</t>
  </si>
  <si>
    <t>008921636</t>
  </si>
  <si>
    <t>Public speaking and debate a manual for advocates and agitators /</t>
  </si>
  <si>
    <t>njp.32101064791955</t>
  </si>
  <si>
    <t>008921637</t>
  </si>
  <si>
    <t>The speaker at home: chapters on public speaking and reading aloud /</t>
  </si>
  <si>
    <t>Halcombe, J. J.</t>
  </si>
  <si>
    <t>njp.32101064791989</t>
  </si>
  <si>
    <t>008921640</t>
  </si>
  <si>
    <t>The arts of writing, reading, and speaking /</t>
  </si>
  <si>
    <t>Cox, Edward W.</t>
  </si>
  <si>
    <t>njp.32101064791997</t>
  </si>
  <si>
    <t>008921641</t>
  </si>
  <si>
    <t>A practical manual of elocution: embracing voice and gesture ...</t>
  </si>
  <si>
    <t>njp.32101064792003</t>
  </si>
  <si>
    <t>008921642</t>
  </si>
  <si>
    <t>The synthetic philosophy of expression as applied to the arts of reading, oratory, and personation.</t>
  </si>
  <si>
    <t>Wiley, Charles Albert.</t>
  </si>
  <si>
    <t>njp.32101063584492</t>
  </si>
  <si>
    <t>008916807</t>
  </si>
  <si>
    <t>Orthophony; or the Cultivation of the voice in elocution. A manual of elementary exercises, adapted to Dr. Rush's "Philosophy of the human voice", and the system of vocal culture introduced by Mr. James E. Murdoch ...</t>
  </si>
  <si>
    <t>njp.32101063584518</t>
  </si>
  <si>
    <t>008916808</t>
  </si>
  <si>
    <t>On speech formation as the basis for true spelling.</t>
  </si>
  <si>
    <t>Freeman, Henry.</t>
  </si>
  <si>
    <t>njp.32101063584559</t>
  </si>
  <si>
    <t>008916811</t>
  </si>
  <si>
    <t>The emphasized liturgy; with an introductory essay on the theory of emphasis, and the intellectual and mechanical principles of public reading.</t>
  </si>
  <si>
    <t>njp.32101063604860</t>
  </si>
  <si>
    <t>008917039</t>
  </si>
  <si>
    <t>A grammar of the English tongue, spoken and written; for self-teaching and for schools.</t>
  </si>
  <si>
    <t>njp.32101063604944</t>
  </si>
  <si>
    <t>008917045</t>
  </si>
  <si>
    <t>Methodos Ollendorphou pl_x0013__x0001_r_x0013__x0001_s, ephermosmen_x0013__x0001_ eis t_x0013__x0001_n Anglik_x0013__x0001_n, kai didaskousa to lalein kai graphein aut_x0013__x0001_n en diast_x0013__x0001_mati hex m_x0013__x0001_nM_x0001_n, eis _x0013__x0001_n prosetheth_x0013__x0001_san syn tois allois syllabistikon kai anagnosmata pros ask_x0013__x0001_sin. Ekdosis trit_x0013__x0001_.</t>
  </si>
  <si>
    <t>Ollendorff, H. G.</t>
  </si>
  <si>
    <t>njp.32101063604951</t>
  </si>
  <si>
    <t>008917046</t>
  </si>
  <si>
    <t>Analytical grammar of the English language: designed for schools ...</t>
  </si>
  <si>
    <t>Pinneo, T. S.</t>
  </si>
  <si>
    <t>njp.32101063604977</t>
  </si>
  <si>
    <t>008917048</t>
  </si>
  <si>
    <t>Visible speech reader for the nursery and primary school requiring no preparatory knowledge of Visible Speech on the part of the Teacher /</t>
  </si>
  <si>
    <t>njp.32101063604993</t>
  </si>
  <si>
    <t>008917049</t>
  </si>
  <si>
    <t>njp.32101063605040</t>
  </si>
  <si>
    <t>008917054</t>
  </si>
  <si>
    <t>An analysis of derivative words in the English language : or, a key to their precise analytic definitions by prefixes and suffixes /</t>
  </si>
  <si>
    <t>njp.32101063608002</t>
  </si>
  <si>
    <t>008917201</t>
  </si>
  <si>
    <t>The intermediate standard speaker : containing pieces for declamation in schools, colleges, etc. : introductory, or supplementary, to The standard speaker /</t>
  </si>
  <si>
    <t>hvd.hn1dcl</t>
  </si>
  <si>
    <t>008917220</t>
  </si>
  <si>
    <t>An illustration of the principles of elocution ...</t>
  </si>
  <si>
    <t>Lacey, William B.</t>
  </si>
  <si>
    <t>njp.32101063584153</t>
  </si>
  <si>
    <t>008916778</t>
  </si>
  <si>
    <t>A well-planned course in reading with elocutionary advice; arranged for the use of classes in elocution and reading,</t>
  </si>
  <si>
    <t>njp.32101063584161</t>
  </si>
  <si>
    <t>008916779</t>
  </si>
  <si>
    <t>njp.32101063584179</t>
  </si>
  <si>
    <t>008916780</t>
  </si>
  <si>
    <t>Grammar of elocution.</t>
  </si>
  <si>
    <t>Millard, John.</t>
  </si>
  <si>
    <t>njp.32101063584278</t>
  </si>
  <si>
    <t>008916788</t>
  </si>
  <si>
    <t>Select readings for public and private entertainment : containing choice selections of the most pathetic, gay, humorous, heroic, sublime, and patriotic speeches and poems, accompanied by explanatory notes, together with appropriate elocutionary instructions ... /</t>
  </si>
  <si>
    <t>hvd.hn1jnw</t>
  </si>
  <si>
    <t>008916790</t>
  </si>
  <si>
    <t>hvd.32044097079933</t>
  </si>
  <si>
    <t>008916793</t>
  </si>
  <si>
    <t>The rhetorical reader : consisting of instructions for regulating the voice, with a rhetorical notation, illustrating inflection, emphasis, and modulation, and a course of rhetorical exericses /</t>
  </si>
  <si>
    <t>njp.32101063584336</t>
  </si>
  <si>
    <t>njp.32101063584351</t>
  </si>
  <si>
    <t>008916795</t>
  </si>
  <si>
    <t>njp.32101063584369</t>
  </si>
  <si>
    <t>008916796</t>
  </si>
  <si>
    <t>njp.32101063584377</t>
  </si>
  <si>
    <t>008916797</t>
  </si>
  <si>
    <t>The orator's manual : a practical and philosophical treatise on vocal culture, emphasis and gesture, together with selections for declamation and reading ... / by George L. Raymond.</t>
  </si>
  <si>
    <t>njp.32101063584401</t>
  </si>
  <si>
    <t>008916799</t>
  </si>
  <si>
    <t>njp.32101063584419</t>
  </si>
  <si>
    <t>008916800</t>
  </si>
  <si>
    <t>Practical elocution; for use in colleges and schools and by private students.</t>
  </si>
  <si>
    <t>njp.32101063584435</t>
  </si>
  <si>
    <t>008916801</t>
  </si>
  <si>
    <t>The practice of elocution, or A course of exercises for acquiring the several requisites of a good delivery.</t>
  </si>
  <si>
    <t>njp.32101063584443</t>
  </si>
  <si>
    <t>008916802</t>
  </si>
  <si>
    <t>Practical elocution : containing illustrations of the principles of reading and public speaking ... /</t>
  </si>
  <si>
    <t>njp.32101063584450</t>
  </si>
  <si>
    <t>008916803</t>
  </si>
  <si>
    <t>Wiley's elocution and oratory: giving a thorough treatise on the art of reading and speaking. Containing numerous and choice selections of didactic, humorous, and dramatic styles, from the most celebrated authors ...</t>
  </si>
  <si>
    <t>A manual of elocution and reading. Embracing the principles and practice of elocution ...</t>
  </si>
  <si>
    <t>Brooks, Edward,</t>
  </si>
  <si>
    <t>hvd.hwnqct</t>
  </si>
  <si>
    <t>008916755</t>
  </si>
  <si>
    <t>Elocution made easy : containing rules and selections for declamation and reading, with figures illustrative of gesture /</t>
  </si>
  <si>
    <t>Claggett, R.</t>
  </si>
  <si>
    <t>njp.32101063583916</t>
  </si>
  <si>
    <t>njp.32101063583957</t>
  </si>
  <si>
    <t>008916759</t>
  </si>
  <si>
    <t>Enfield's Guide to elocution, improved and classically divided into six parts, viz., grammar, composition, synonomy, language, orations, poems, and other interesting subjects,</t>
  </si>
  <si>
    <t>njp.32101063583965</t>
  </si>
  <si>
    <t>008916760</t>
  </si>
  <si>
    <t>Principles of elocution.</t>
  </si>
  <si>
    <t>njp.32101063583973</t>
  </si>
  <si>
    <t>008916761</t>
  </si>
  <si>
    <t>hvd.hn2bhr</t>
  </si>
  <si>
    <t>008916763</t>
  </si>
  <si>
    <t>The exhibition speaker : containing farces, dialogues, and tableaux : with exercises for declamation in prose and verse, also a treatise on oratory and elocution, hints on dramatic characters, costumes, position on the stage, making up, etc., etc. : with illustrations /</t>
  </si>
  <si>
    <t>njp.32101063583999</t>
  </si>
  <si>
    <t>njp.32101063584013</t>
  </si>
  <si>
    <t>008916765</t>
  </si>
  <si>
    <t>The American speaker : containing numerous rules, observations, and exercises on pronunciation, pauses, inflections, accent, and emphasis : also, copious extracts in prose and poetry, calculated to assist the teacher, and to improve the pupil in reading and recitation /</t>
  </si>
  <si>
    <t>njp.32101063584070</t>
  </si>
  <si>
    <t>008916771</t>
  </si>
  <si>
    <t>Class-book in oratory : a complete drill book for practice of the principles of vocal physiology, and for acquiring the art of elocution and oratory comprising all the essential elements of vocal delivery and gesture, with all the later selections for public recitals /</t>
  </si>
  <si>
    <t>njp.32101063584088</t>
  </si>
  <si>
    <t>008916772</t>
  </si>
  <si>
    <t>A compendium of the principles of elocution, on the basis of Dr. Rush's philosophy of the human voice ...</t>
  </si>
  <si>
    <t>2 pt. in 1 v.</t>
  </si>
  <si>
    <t>Gummere, Samuel R.,</t>
  </si>
  <si>
    <t>njp.32101063584104</t>
  </si>
  <si>
    <t>008916774</t>
  </si>
  <si>
    <t>njp.32101063584112</t>
  </si>
  <si>
    <t>008916775</t>
  </si>
  <si>
    <t>New elocution and vocal culture /</t>
  </si>
  <si>
    <t>njp.32101063584120</t>
  </si>
  <si>
    <t>008916776</t>
  </si>
  <si>
    <t>008916031</t>
  </si>
  <si>
    <t>Lessons in enunciation : comprising a course of elementary exercises, and a statement of common errors in articulation, with the rules of correct usage in pronouncing : to which is added an appendix, containing rules and exercises on the mode of enunciation required for public reading and speaking /</t>
  </si>
  <si>
    <t>njp.32101063582942</t>
  </si>
  <si>
    <t>008916684</t>
  </si>
  <si>
    <t>Emma Dunning Bank's original recitations : with lesson-talks.</t>
  </si>
  <si>
    <t>njp.32101063583304</t>
  </si>
  <si>
    <t>008916704</t>
  </si>
  <si>
    <t>Evolution of expression. A compilation of selections illustrating the four stages of development in art as applied to oratory.</t>
  </si>
  <si>
    <t>Emerson, Charles Wesley,</t>
  </si>
  <si>
    <t>njp.32101063583312</t>
  </si>
  <si>
    <t>njp.32101063583320</t>
  </si>
  <si>
    <t>njp.32101063583338</t>
  </si>
  <si>
    <t>njp.32101063583734</t>
  </si>
  <si>
    <t>008916738</t>
  </si>
  <si>
    <t>The reader, or reciter; by the assistance of which any person may teach himself to read or recite English prose with the utmost elegance and effect. To which are added, instructions for reading plays. On a plan never before attempted.</t>
  </si>
  <si>
    <t>njp.32101063583817</t>
  </si>
  <si>
    <t>008916745</t>
  </si>
  <si>
    <t>A system of practical elocution and rhetorical gesture; comprising all the elements of vocal delivery, both as a science and as an art; so arranged and exemplified as to make it easy of acquisition for private learners without a teacher, as well as for the use of common schools, academies, seminaries ...</t>
  </si>
  <si>
    <t>Weaver, J.</t>
  </si>
  <si>
    <t>njp.32101063583841</t>
  </si>
  <si>
    <t>008916748</t>
  </si>
  <si>
    <t>Bell's standard elocutionist : principles and exercises, (chiefly from "Elocutionary manual") : followed by a copius selection of extracts in prose and poetry, classified and adapted for reading and recitation /</t>
  </si>
  <si>
    <t>njp.32101063583858</t>
  </si>
  <si>
    <t>008916749</t>
  </si>
  <si>
    <t>A brief outline of elocution, combined with a few choice dramatic and other selections, taken from the best authors.</t>
  </si>
  <si>
    <t>Bishop, Mary Ferris.</t>
  </si>
  <si>
    <t>njp.32101063583882</t>
  </si>
  <si>
    <t>008916752</t>
  </si>
  <si>
    <t>Manual of elocution: embracing the philosophy of vocalization...</t>
  </si>
  <si>
    <t>njp.32101063583890</t>
  </si>
  <si>
    <t>008916753</t>
  </si>
  <si>
    <t>Lessons in elocution and expressive reading for boys : with a choice selection of extracts for reading and repetition annotated for expression and the analysis of sentences, illustrating a new theory of emphasis and pauses /</t>
  </si>
  <si>
    <t>Isbister, Alexander Kennedy,</t>
  </si>
  <si>
    <t>njp.32101055566879</t>
  </si>
  <si>
    <t>008901762</t>
  </si>
  <si>
    <t>The rhetoric of Aristotle : with notes; and illustrated by parallel passages from Aristotle's other works, Cicero de Oratore, &amp;c. Quintilian, and various other authors /</t>
  </si>
  <si>
    <t>njp.32101056392630</t>
  </si>
  <si>
    <t>008903310</t>
  </si>
  <si>
    <t>njp.32101057199299</t>
  </si>
  <si>
    <t>008903850</t>
  </si>
  <si>
    <t>Compendium of Italian pronunciation. [La pronunzia italiana) ; with rules and complete lists of exceptions tabulated alphabetically for ready reference;</t>
  </si>
  <si>
    <t>njp.32101057787176</t>
  </si>
  <si>
    <t>008904710</t>
  </si>
  <si>
    <t>A scale for the measurement of quality in English composition by young people ...</t>
  </si>
  <si>
    <t>Hillegas, Milo Burdette,</t>
  </si>
  <si>
    <t>njp.32101058533322</t>
  </si>
  <si>
    <t>008909196</t>
  </si>
  <si>
    <t>The theory of elocution : exhibited in connexion with a new and philosophical account of the nature of instituted language /</t>
  </si>
  <si>
    <t>Smart, B. H.</t>
  </si>
  <si>
    <t>njp.32101061550792</t>
  </si>
  <si>
    <t>008915511</t>
  </si>
  <si>
    <t>A history of criticism and literary taste in Europe from the earliest texts to the present day /</t>
  </si>
  <si>
    <t>njp.32101075686236</t>
  </si>
  <si>
    <t>njp.32101075686244</t>
  </si>
  <si>
    <t>njp.32101061812861</t>
  </si>
  <si>
    <t>008915606</t>
  </si>
  <si>
    <t>njp.32101061812945</t>
  </si>
  <si>
    <t>008915608</t>
  </si>
  <si>
    <t>Lessons in voice culture; the perfect method. Designed for the reader, the orator, the actor, the teacher, the pupil, the elocutionist; and as the foundation of the singing voice.</t>
  </si>
  <si>
    <t>Shaftesbury, Edmund,</t>
  </si>
  <si>
    <t>njp.32101061813430</t>
  </si>
  <si>
    <t>008915614</t>
  </si>
  <si>
    <t>Cumnock's school speaker. Rhetorical recitations for boys and girls,</t>
  </si>
  <si>
    <t>Cumnock, Robert McLean,</t>
  </si>
  <si>
    <t>njp.32101063052250</t>
  </si>
  <si>
    <t>008916025</t>
  </si>
  <si>
    <t>An essay on elocution : designed for the use of schools and private learners /</t>
  </si>
  <si>
    <t>njp.32101063052276</t>
  </si>
  <si>
    <t>008916027</t>
  </si>
  <si>
    <t>Manual of reading : in 4 parts : orthophony, class methods, gesture, and elocution : designed for teachers and student /</t>
  </si>
  <si>
    <t>njp.32101063052342</t>
  </si>
  <si>
    <t>njp.32101042038438</t>
  </si>
  <si>
    <t>008890567</t>
  </si>
  <si>
    <t>njp.32101042221562</t>
  </si>
  <si>
    <t>008890674</t>
  </si>
  <si>
    <t>Eighteen thousand words often mispronounced. A carefully rev., greatly enl., and entirely rewritten ed. of "12,000 words often mispronounced" ...</t>
  </si>
  <si>
    <t>njp.32101042848067</t>
  </si>
  <si>
    <t>008891306</t>
  </si>
  <si>
    <t>The vestibule of eloquence: original articles oratorical and poetical, intended as exercises in recitation, at the Institution, Bedford Place, Russell Square /</t>
  </si>
  <si>
    <t>njp.32101045240916</t>
  </si>
  <si>
    <t>008893116</t>
  </si>
  <si>
    <t>New theories of grammar. A brief review of four different theories of English grammar, opposed to that of Murray. With an appendix, giving some account of particles, combinations, auxiliaries, ellipses, idiomatic phrases, &amp;c.</t>
  </si>
  <si>
    <t>njp.32101045242938</t>
  </si>
  <si>
    <t>008893136</t>
  </si>
  <si>
    <t>The school reader. Fourth book : containing instructions in the elementary principles of reading, and selected lessons from the most elegant writers. For the use of academies and the higher classes in common and select schools /</t>
  </si>
  <si>
    <t>njp.32101045662200</t>
  </si>
  <si>
    <t>008894082</t>
  </si>
  <si>
    <t>Bibliography of English language and literature /</t>
  </si>
  <si>
    <t>1920-1921</t>
  </si>
  <si>
    <t>njp.32101046518476</t>
  </si>
  <si>
    <t>008894874</t>
  </si>
  <si>
    <t>A course in expository writing;</t>
  </si>
  <si>
    <t>njp.32101046739379</t>
  </si>
  <si>
    <t>008894958</t>
  </si>
  <si>
    <t>Inaugural discourse of Henry Brougham on being installed Lord Rector of the University of Glasgow, Wednesday, April 6, 1825.</t>
  </si>
  <si>
    <t>Brougham and Vaux, Henry Brougham,</t>
  </si>
  <si>
    <t>njp.32101047157142</t>
  </si>
  <si>
    <t>008895335</t>
  </si>
  <si>
    <t>Grammar and language: an attempt at the introduction of logic to grammar.</t>
  </si>
  <si>
    <t>Starck, Ed. L.</t>
  </si>
  <si>
    <t>njp.32101047243116</t>
  </si>
  <si>
    <t>008895507</t>
  </si>
  <si>
    <t>njp.32101064789371</t>
  </si>
  <si>
    <t>008896408</t>
  </si>
  <si>
    <t>Dramatic essays,</t>
  </si>
  <si>
    <t>njp.32101048376840</t>
  </si>
  <si>
    <t>008896413</t>
  </si>
  <si>
    <t>The peasant poets of Scotland and musing under the beeches /</t>
  </si>
  <si>
    <t>Shanks, Henry,</t>
  </si>
  <si>
    <t>njp.32101054852122</t>
  </si>
  <si>
    <t>008900838</t>
  </si>
  <si>
    <t>The Gorgianic figures in early Greek prose,</t>
  </si>
  <si>
    <t>Robertson, John Cunningham.</t>
  </si>
  <si>
    <t>njp.32101055311094</t>
  </si>
  <si>
    <t>008901323</t>
  </si>
  <si>
    <t>njp.32101025822709</t>
  </si>
  <si>
    <t>008887252</t>
  </si>
  <si>
    <t>A compendious history of English literature, and of the English language, from the Norman conquest.</t>
  </si>
  <si>
    <t>hvd.hwnqc3</t>
  </si>
  <si>
    <t>008887894</t>
  </si>
  <si>
    <t>Analysis of the principles of rhetorical delivery as applied in reading and speaking ...</t>
  </si>
  <si>
    <t>njp.32101030928079</t>
  </si>
  <si>
    <t>njp.32101030928095</t>
  </si>
  <si>
    <t>008887896</t>
  </si>
  <si>
    <t>njp.32101031725060</t>
  </si>
  <si>
    <t>008887961</t>
  </si>
  <si>
    <t>The etymology and syntax of the English language explained and illustrated /</t>
  </si>
  <si>
    <t>njp.32101031725078</t>
  </si>
  <si>
    <t>008887962</t>
  </si>
  <si>
    <t>A simple grammar of English now in use,</t>
  </si>
  <si>
    <t>njp.32101032249086</t>
  </si>
  <si>
    <t>008888056</t>
  </si>
  <si>
    <t>Poetical works.</t>
  </si>
  <si>
    <t>njp.32101032249094</t>
  </si>
  <si>
    <t>njp.32101032249110</t>
  </si>
  <si>
    <t>njp.32101068138476</t>
  </si>
  <si>
    <t>njp.32101068138484</t>
  </si>
  <si>
    <t>njp.32101068138492</t>
  </si>
  <si>
    <t>njp.32101032888347</t>
  </si>
  <si>
    <t>008888239</t>
  </si>
  <si>
    <t>The Englishman in Greece, _x0013__x0001_toi, TheM_x0001_r_x0013__x0001_tik_x0013__x0001_, praktik_x0013__x0001_ kai philologik_x0013__x0001_ methodos t_x0013__x0001_s Anglik_x0013__x0001_s glM_x0001_ss_x0013__x0001_s : di_x0013__x0001_r_x0013__x0001_men_x0013__x0001_ eis tessara mer_x0013__x0001_ /</t>
  </si>
  <si>
    <t>Shea, T.</t>
  </si>
  <si>
    <t>loc.ark:/13960/t7dr3fp4f</t>
  </si>
  <si>
    <t>008888651</t>
  </si>
  <si>
    <t>Rhymes of the poets,</t>
  </si>
  <si>
    <t>njp.32101035469863</t>
  </si>
  <si>
    <t>njp.32101036110953</t>
  </si>
  <si>
    <t>008888853</t>
  </si>
  <si>
    <t>The teaching of English in the universities of England,</t>
  </si>
  <si>
    <t>Chambers, R. W.</t>
  </si>
  <si>
    <t>njp.32101037954649</t>
  </si>
  <si>
    <t>008888984</t>
  </si>
  <si>
    <t>English verse : specimens illustrating its principles and history /</t>
  </si>
  <si>
    <t>njp.32101037962295</t>
  </si>
  <si>
    <t>008889002</t>
  </si>
  <si>
    <t>Covell's digest of English grammar. A digest of English grammar, synthetical and analytical, classified and methodically arranged; accompanied by a chart of sentences. And adapted to the use of schools.</t>
  </si>
  <si>
    <t>Covell, L. T.</t>
  </si>
  <si>
    <t>njp.32101037975784</t>
  </si>
  <si>
    <t>008889019</t>
  </si>
  <si>
    <t>Wyld, Henry Cecil,</t>
  </si>
  <si>
    <t>njp.32101038123962</t>
  </si>
  <si>
    <t>008889209</t>
  </si>
  <si>
    <t>Principles of speech and vocal physiology; and dictionary of sounds ... with minute practical directions and exercises for the cure of stammering ...</t>
  </si>
  <si>
    <t>njp.32101039725310</t>
  </si>
  <si>
    <t>008889511</t>
  </si>
  <si>
    <t>njp.32101040117366</t>
  </si>
  <si>
    <t>008889593</t>
  </si>
  <si>
    <t>Our mother-tongue; a plea for its critical study,</t>
  </si>
  <si>
    <t>Callaway, Morgan,</t>
  </si>
  <si>
    <t>njp.32101041259639</t>
  </si>
  <si>
    <t>008889781</t>
  </si>
  <si>
    <t>njp.32101007117680</t>
  </si>
  <si>
    <t>008882005</t>
  </si>
  <si>
    <t>English grammar, including the principles of grammatical analysis ...</t>
  </si>
  <si>
    <t>njp.32101007600206</t>
  </si>
  <si>
    <t>008882260</t>
  </si>
  <si>
    <t>The elements of reading and oratory.</t>
  </si>
  <si>
    <t>njp.32101007606419</t>
  </si>
  <si>
    <t>008882269</t>
  </si>
  <si>
    <t>The Old and Middle English,</t>
  </si>
  <si>
    <t>njp.32101013082597</t>
  </si>
  <si>
    <t>008883512</t>
  </si>
  <si>
    <t>Lectures on the literature of the age of Elizabeth, and Characters of Shakespear's plays,</t>
  </si>
  <si>
    <t>hvd.hwp593</t>
  </si>
  <si>
    <t>008883637</t>
  </si>
  <si>
    <t>Horae lyricae, to which are added the divine songs and moral songs, for children.</t>
  </si>
  <si>
    <t>njp.32101013394539</t>
  </si>
  <si>
    <t>008883813</t>
  </si>
  <si>
    <t>Word-building: for the use of classes in etymology.</t>
  </si>
  <si>
    <t>njp.32101013458086</t>
  </si>
  <si>
    <t>008883838</t>
  </si>
  <si>
    <t>A practical rhetoric for instruction in English composition and revision in colleges and intermediate schools,</t>
  </si>
  <si>
    <t>njp.32101013516784</t>
  </si>
  <si>
    <t>008883942</t>
  </si>
  <si>
    <t>njp.32101013523707</t>
  </si>
  <si>
    <t>008883957</t>
  </si>
  <si>
    <t>njp.32101013525892</t>
  </si>
  <si>
    <t>008883962</t>
  </si>
  <si>
    <t>The Structure of English prose: a manual of composition and rhetoric.</t>
  </si>
  <si>
    <t>njp.32101013543846</t>
  </si>
  <si>
    <t>008883998</t>
  </si>
  <si>
    <t>Elements of rhetoric and literary criticism, with copious practical exercises and examples. For the use of common schools and academies.</t>
  </si>
  <si>
    <t>njp.32101013647639</t>
  </si>
  <si>
    <t>008884073</t>
  </si>
  <si>
    <t>Poems /</t>
  </si>
  <si>
    <t>njp.32101015994245</t>
  </si>
  <si>
    <t>008884760</t>
  </si>
  <si>
    <t>key</t>
  </si>
  <si>
    <t>njp.32101015994278</t>
  </si>
  <si>
    <t>008884762</t>
  </si>
  <si>
    <t>Exposition of the grammatical structure of the English language : being an attempt to furnish an improved method of teaching grammar : (abridged by the author) : for the use of schools /</t>
  </si>
  <si>
    <t>njp.32101018268431</t>
  </si>
  <si>
    <t>008885410</t>
  </si>
  <si>
    <t>njp.32101020159677</t>
  </si>
  <si>
    <t>008885954</t>
  </si>
  <si>
    <t>Shakespeare's "King Edward the Third," absurdly called, and scandalously treated as, a "doubtful play": an indignation pamphlet. Together with an essay on the poetry of the future:</t>
  </si>
  <si>
    <t>Teetgen, Alexander.</t>
  </si>
  <si>
    <t>njp.32101021828098</t>
  </si>
  <si>
    <t>008886738</t>
  </si>
  <si>
    <t>Hand-book of the English tongue : for the use of students and others /</t>
  </si>
  <si>
    <t>njp.32101023512898</t>
  </si>
  <si>
    <t>008886969</t>
  </si>
  <si>
    <t>Miscellanies.</t>
  </si>
  <si>
    <t>njp.32101025263391</t>
  </si>
  <si>
    <t>008887114</t>
  </si>
  <si>
    <t>The juvenile instructor, or Natural grammar and reader: : containing a new method of analytical and synthetical parsing of the English language, by means of a vinculum or chain; with miscellaneous exemplifications, in prose and poetry: adapted to the capacities of learners, who have made some progress in spelling and reading; designed to succeed the Juvenile and other spelling-books, and, as an introduction to the Juvenile mentor and Expositor. /</t>
  </si>
  <si>
    <t>nyp.33433081968376</t>
  </si>
  <si>
    <t>008700069</t>
  </si>
  <si>
    <t>The Jurnal ov American orthoepy.</t>
  </si>
  <si>
    <t>v. 23-24 (1906-07)</t>
  </si>
  <si>
    <t>nyp.33433069241002</t>
  </si>
  <si>
    <t>008701295</t>
  </si>
  <si>
    <t>Observations introductory to a work on English etymology /</t>
  </si>
  <si>
    <t>Thomson, John.</t>
  </si>
  <si>
    <t>nyp.33433086594573</t>
  </si>
  <si>
    <t>008701521</t>
  </si>
  <si>
    <t>The vocal organ-- its mechanism (explaining a new discovery) /</t>
  </si>
  <si>
    <t>Feuchtinger, Eugene.</t>
  </si>
  <si>
    <t>uc2.ark:/13960/t0tq5x33b</t>
  </si>
  <si>
    <t>008709304</t>
  </si>
  <si>
    <t>Aids to the pronunciation of Irish /</t>
  </si>
  <si>
    <t>uiuo.ark:/13960/t49p3qs92</t>
  </si>
  <si>
    <t>008719527</t>
  </si>
  <si>
    <t>The English secretary, or Methode of writing of epistles and letters ... Also the parts and office of a secretarie, deuided into two bookes. Now newly reuised and in many parts corrected and amended:</t>
  </si>
  <si>
    <t>Day, Angel,</t>
  </si>
  <si>
    <t>uiuo.ark:/13960/t0js9p195</t>
  </si>
  <si>
    <t>008722571</t>
  </si>
  <si>
    <t>Pronunciation guide for Illinois place names</t>
  </si>
  <si>
    <t>Brown, Donald E.</t>
  </si>
  <si>
    <t>uc1.$b579023</t>
  </si>
  <si>
    <t>008746482</t>
  </si>
  <si>
    <t>The technique of the French alexandrine; a study of the works of Leconte de Lisle, Jose Maria de Heredia, François Coppee, Sully Prudhomme, and Paul Verlaine,</t>
  </si>
  <si>
    <t>Thieme, Hugo Paul,</t>
  </si>
  <si>
    <t>uc2.ark:/13960/t2z31tk4x</t>
  </si>
  <si>
    <t>uc1.$b579151</t>
  </si>
  <si>
    <t>008746524</t>
  </si>
  <si>
    <t>An introduction to the pronunciation of French /</t>
  </si>
  <si>
    <t>uc2.ark:/13960/t00004w9f</t>
  </si>
  <si>
    <t>uc1.31822027357144</t>
  </si>
  <si>
    <t>008847594</t>
  </si>
  <si>
    <t>njp.32101064225681</t>
  </si>
  <si>
    <t>008881618</t>
  </si>
  <si>
    <t>The three literary letters (Ep. ad Ammaeum I, Ep. ad Pompeium, Ep. ad Ammaeum II) : the Greek text with English translation, facsimile, notes, glossary of rhetorical and grammatical terms, bibliography, and introductory essay on Dionysius as a literary critic /</t>
  </si>
  <si>
    <t>French musical diction : an orthologic method for acquiring a perfect pronunciation in the speaking and especially in the singing of the French language, for the special use of English-speaking people /</t>
  </si>
  <si>
    <t>Thurwanger, Camille,</t>
  </si>
  <si>
    <t>nyp.33433082273354</t>
  </si>
  <si>
    <t>008695616</t>
  </si>
  <si>
    <t>Some staccato notes for singers,</t>
  </si>
  <si>
    <t>Withrow, Marie.</t>
  </si>
  <si>
    <t>nyp.33433082178728</t>
  </si>
  <si>
    <t>008695620</t>
  </si>
  <si>
    <t>Teachers' manual. The American music system,</t>
  </si>
  <si>
    <t>Zuchtmann, Friedrich.</t>
  </si>
  <si>
    <t>nyp.33433066592498</t>
  </si>
  <si>
    <t>008695837</t>
  </si>
  <si>
    <t>The history of England, from the revolution to the present time : in a series of letters to the Reverend Doctor Wilson ... /</t>
  </si>
  <si>
    <t>nyp.33433082417779</t>
  </si>
  <si>
    <t>008698668</t>
  </si>
  <si>
    <t>The New annual register, or General repository of history, politics, and literature, for the year ...</t>
  </si>
  <si>
    <t>nyp.33433082417787</t>
  </si>
  <si>
    <t>nyp.33433082423637</t>
  </si>
  <si>
    <t>nyp.33433082423942</t>
  </si>
  <si>
    <t>nyp.33433082425012</t>
  </si>
  <si>
    <t>nyp.33433082425020</t>
  </si>
  <si>
    <t>nyp.33433082425038</t>
  </si>
  <si>
    <t>nyp.33433082425046</t>
  </si>
  <si>
    <t>nyp.33433082425053</t>
  </si>
  <si>
    <t>nyp.33433082425061</t>
  </si>
  <si>
    <t>nyp.33433082425079</t>
  </si>
  <si>
    <t>nyp.33433082425087</t>
  </si>
  <si>
    <t>nyp.33433082425095</t>
  </si>
  <si>
    <t>nyp.33433082425103</t>
  </si>
  <si>
    <t>nyp.33433082425111</t>
  </si>
  <si>
    <t>nyp.33433082425129</t>
  </si>
  <si>
    <t>nyp.33433082425137</t>
  </si>
  <si>
    <t>nyp.33433082425145</t>
  </si>
  <si>
    <t>nyp.33433082425152</t>
  </si>
  <si>
    <t>nyp.33433082425160</t>
  </si>
  <si>
    <t>nyp.33433082425178</t>
  </si>
  <si>
    <t>nyp.33433082425186</t>
  </si>
  <si>
    <t>nyp.33433082425194</t>
  </si>
  <si>
    <t>nyp.33433082425202</t>
  </si>
  <si>
    <t>nyp.33433082425210</t>
  </si>
  <si>
    <t>nyp.33433082425228</t>
  </si>
  <si>
    <t>nyp.33433082425236</t>
  </si>
  <si>
    <t>nyp.33433082425244</t>
  </si>
  <si>
    <t>nyp.33433082425251</t>
  </si>
  <si>
    <t>nyp.33433082425269</t>
  </si>
  <si>
    <t>nyp.33433082425277</t>
  </si>
  <si>
    <t>nyp.33433082425285</t>
  </si>
  <si>
    <t>nyp.33433082425293</t>
  </si>
  <si>
    <t>nyp.33433082425301</t>
  </si>
  <si>
    <t>nyp.33433082425319</t>
  </si>
  <si>
    <t>nyp.33433082425327</t>
  </si>
  <si>
    <t>nyp.33433081860615</t>
  </si>
  <si>
    <t>008699006</t>
  </si>
  <si>
    <t>v. 3 (GAI-LIB)</t>
  </si>
  <si>
    <t>nyp.33433081859120</t>
  </si>
  <si>
    <t>008699110</t>
  </si>
  <si>
    <t>nyp.33433081988465</t>
  </si>
  <si>
    <t>008699262</t>
  </si>
  <si>
    <t>Choir training based on voice production,</t>
  </si>
  <si>
    <t>Richardson, A. Madeley</t>
  </si>
  <si>
    <t>nyp.33433082182886</t>
  </si>
  <si>
    <t>008695079</t>
  </si>
  <si>
    <t>The melodic method in school music; a manual for teachers and supervisors,</t>
  </si>
  <si>
    <t>Taylor, David C.</t>
  </si>
  <si>
    <t>njp.32101072895061</t>
  </si>
  <si>
    <t>008695180</t>
  </si>
  <si>
    <t>Sound and its phenomena.</t>
  </si>
  <si>
    <t>nyp.33433082277348</t>
  </si>
  <si>
    <t>008695472</t>
  </si>
  <si>
    <t>The principles of singing. A practical guide for vocalists and teachers. With vocal exercises.</t>
  </si>
  <si>
    <t>Bach, Albert B.</t>
  </si>
  <si>
    <t>nyp.33433084113350</t>
  </si>
  <si>
    <t>008695479</t>
  </si>
  <si>
    <t>The philosophy of voice: showing the right and wrong action of voice in speech and song, with laws for self-culture.</t>
  </si>
  <si>
    <t>Lunn, Charles,</t>
  </si>
  <si>
    <t>nyp.33433084113012</t>
  </si>
  <si>
    <t>008695483</t>
  </si>
  <si>
    <t>hvd.32044010274454</t>
  </si>
  <si>
    <t>008695484</t>
  </si>
  <si>
    <t>hvd.hc1gef</t>
  </si>
  <si>
    <t>nyp.33433082280813</t>
  </si>
  <si>
    <t>nyp.33433082281415</t>
  </si>
  <si>
    <t>008695485</t>
  </si>
  <si>
    <t>nyp.33433084113715</t>
  </si>
  <si>
    <t>008695505</t>
  </si>
  <si>
    <t>Artistic singing,</t>
  </si>
  <si>
    <t>Dow, Sabrina H.</t>
  </si>
  <si>
    <t>nyp.33433084113806</t>
  </si>
  <si>
    <t>008695506</t>
  </si>
  <si>
    <t>The secrets of Svengali on singing, singers, teachers and critics,</t>
  </si>
  <si>
    <t>Duval, John H.</t>
  </si>
  <si>
    <t>nyp.33433084113194</t>
  </si>
  <si>
    <t>008695529</t>
  </si>
  <si>
    <t>Style in singing,</t>
  </si>
  <si>
    <t>Haslam, W. E.</t>
  </si>
  <si>
    <t>nyp.33433084113202</t>
  </si>
  <si>
    <t>008695530</t>
  </si>
  <si>
    <t>Diction for singers and composers,</t>
  </si>
  <si>
    <t>Hawn, Henry Gaines,</t>
  </si>
  <si>
    <t>nyp.33433082272034</t>
  </si>
  <si>
    <t>008695538</t>
  </si>
  <si>
    <t>The technics of bel canto,</t>
  </si>
  <si>
    <t>Lamperti, Giovanni Battista,</t>
  </si>
  <si>
    <t>nyp.33433082273297</t>
  </si>
  <si>
    <t>008695540</t>
  </si>
  <si>
    <t>School for the voice; being an analytical, theoretical and practical treaty treatise upon the proper use and development of the vocal organs... Selected principally from the works of Concone, Zöllner, Garcia, Bordogni, Nava, Rossini, Bonaldi, Balfe, Cook, Zingarelli ...</t>
  </si>
  <si>
    <t>Ludden, W.</t>
  </si>
  <si>
    <t>nyp.33433084112154</t>
  </si>
  <si>
    <t>008695544</t>
  </si>
  <si>
    <t>A vademecum for singing-teachers and pupils,</t>
  </si>
  <si>
    <t>Marchesi, Salvatore,</t>
  </si>
  <si>
    <t>nyp.33433084113616</t>
  </si>
  <si>
    <t>008695608</t>
  </si>
  <si>
    <t>Technique of musical expression; a text book for singers,</t>
  </si>
  <si>
    <t>Thiers, Albert Gérard,</t>
  </si>
  <si>
    <t>nyp.33433084112261</t>
  </si>
  <si>
    <t>008695610</t>
  </si>
  <si>
    <t>The American speaker: containing numerous rules, observations, and exercises on pronunciation, pauses, inflections, accent, and emphasis; also, copious extracts in prose and poetry ...</t>
  </si>
  <si>
    <t>hvd.32044058162066</t>
  </si>
  <si>
    <t>008690338</t>
  </si>
  <si>
    <t>Literary studies; a collection of miscellaneous essays,</t>
  </si>
  <si>
    <t>Jones, William Alfred,</t>
  </si>
  <si>
    <t>nyp.33433066604574</t>
  </si>
  <si>
    <t>008690359</t>
  </si>
  <si>
    <t>Russell's American elocutionist ... comprising "Lessons in enunciation," "Exercises in elocution" ... pieces for practice in reading and declamation ... engraved illustrations in attitude and action ...</t>
  </si>
  <si>
    <t>Russell, William.</t>
  </si>
  <si>
    <t>nyp.33433066604566</t>
  </si>
  <si>
    <t>008690360</t>
  </si>
  <si>
    <t>Orthophony; or The cultivation of the voice in elocution: a manual of elementary exercises ...</t>
  </si>
  <si>
    <t>nyp.33433066585484</t>
  </si>
  <si>
    <t>008690363</t>
  </si>
  <si>
    <t>Exercises in elocution, in verse and prose: to which is prefixed, a lecture on the importance of elocution in connexion with ministerial usefulness ...</t>
  </si>
  <si>
    <t>Thelwall, A. S.</t>
  </si>
  <si>
    <t>nyp.33433076066723</t>
  </si>
  <si>
    <t>008690605</t>
  </si>
  <si>
    <t>A manual of English literature : historical and critical : with an appendix on English metres /</t>
  </si>
  <si>
    <t>nyp.33433074803226</t>
  </si>
  <si>
    <t>008690627</t>
  </si>
  <si>
    <t>Studies in letters and life.</t>
  </si>
  <si>
    <t>nyp.33433074803218</t>
  </si>
  <si>
    <t>008690630</t>
  </si>
  <si>
    <t>The torch; eight lectures on race power in literature delivered before the Lowell institute of Boston MCMIII</t>
  </si>
  <si>
    <t>nyp.33433082312277</t>
  </si>
  <si>
    <t>008691539</t>
  </si>
  <si>
    <t>On the study of words : five lectures addressed to the pupils at the Diocesan Training School, Winchester /</t>
  </si>
  <si>
    <t>nyp.33433081638862</t>
  </si>
  <si>
    <t>008692365</t>
  </si>
  <si>
    <t>Epea pteroenta, or, The diversions of Purley /</t>
  </si>
  <si>
    <t>nyp.33433081639290</t>
  </si>
  <si>
    <t>nyp.33433066604541</t>
  </si>
  <si>
    <t>008692418</t>
  </si>
  <si>
    <t>Lessons in elocution, or, A selection of pieces in prose and verse : for the improvement of youth in reading and speaking, as well as for the perusal of persons of taste : with an appendix, containing concise lessons on a new plan, and principles of English grammar /</t>
  </si>
  <si>
    <t>nyp.33433081853826</t>
  </si>
  <si>
    <t>008694079</t>
  </si>
  <si>
    <t>nyp.33433082277546</t>
  </si>
  <si>
    <t>008694941</t>
  </si>
  <si>
    <t>nyp.33433066604558</t>
  </si>
  <si>
    <t>008689060</t>
  </si>
  <si>
    <t>Orthophony, or Vocal culture. A manual of elementary exercises for the cultivation of the voice in elocution. Founded upon Dr. James Rush's "Philosophy of the human voice," and the system of vocal gymnastics introduced by Mr. James E. Murdoch.</t>
  </si>
  <si>
    <t>nyp.33433066585468</t>
  </si>
  <si>
    <t>008689121</t>
  </si>
  <si>
    <t>The art of elocution as an essential part of rhetoric : with instructions in gesture and an appendix of oratorical, poetical, and dramatic extracts /</t>
  </si>
  <si>
    <t>nyp.33433066585450</t>
  </si>
  <si>
    <t>008689123</t>
  </si>
  <si>
    <t>Elements of elocution : in which the principles of reading and speaking are investigated /</t>
  </si>
  <si>
    <t>nyp.33433066585443</t>
  </si>
  <si>
    <t>008689124</t>
  </si>
  <si>
    <t>Elements of elocution in which the principles of reading and speaking are investigated ... To which is added a complete system of the passions, showing how they affect the countenance, tone of voice, and gesture of the body. Exemplified by a copious selection of the most striking passages of Shakespeare.</t>
  </si>
  <si>
    <t>nyp.33433066585435</t>
  </si>
  <si>
    <t>008689125</t>
  </si>
  <si>
    <t>Elements of expression, vocal and physical /</t>
  </si>
  <si>
    <t>Williams, Philip.</t>
  </si>
  <si>
    <t>nyp.33433066604525</t>
  </si>
  <si>
    <t>008689136</t>
  </si>
  <si>
    <t>A course of lectures on elocution.</t>
  </si>
  <si>
    <t>njp.32101067671527</t>
  </si>
  <si>
    <t>008689137</t>
  </si>
  <si>
    <t>Lectures on the art of reading.</t>
  </si>
  <si>
    <t>njp.32101067671535</t>
  </si>
  <si>
    <t>nyp.33433076016421</t>
  </si>
  <si>
    <t>008689292</t>
  </si>
  <si>
    <t>The young idea; an anthology of opinion concerning the spirit and aims of contemporary American literature.</t>
  </si>
  <si>
    <t>Morris, Lloyd R.,</t>
  </si>
  <si>
    <t>uc1.b5189567</t>
  </si>
  <si>
    <t>nyp.33433066585708</t>
  </si>
  <si>
    <t>008689329</t>
  </si>
  <si>
    <t>nyp.33433066585716</t>
  </si>
  <si>
    <t>nyp.33433066603022</t>
  </si>
  <si>
    <t>008690007</t>
  </si>
  <si>
    <t>The speaker's favorite; or, Best things for entertainments, for home, church and school ...</t>
  </si>
  <si>
    <t>nyp.33433066584446</t>
  </si>
  <si>
    <t>008690032</t>
  </si>
  <si>
    <t>The junior ladies' reader, a choice and varied collection of prose and verse, with a synopsis of the elementary principles of elocution ...</t>
  </si>
  <si>
    <t>Hows, John W. S.</t>
  </si>
  <si>
    <t>nyp.33433066584487</t>
  </si>
  <si>
    <t>008690102</t>
  </si>
  <si>
    <t>nyp.33433081658928</t>
  </si>
  <si>
    <t>v. 14 (Apr.-Sept. 1919)</t>
  </si>
  <si>
    <t>nyp.33433081658936</t>
  </si>
  <si>
    <t>v. 13 (Oct. 1918-Mar. 1919)</t>
  </si>
  <si>
    <t>nyp.33433081658944</t>
  </si>
  <si>
    <t>v. 12 (Apr.-Sept. 1918)</t>
  </si>
  <si>
    <t>nyp.33433081658951</t>
  </si>
  <si>
    <t>v. 20 (Apr.-Sept. 1922)</t>
  </si>
  <si>
    <t>nyp.33433081658969</t>
  </si>
  <si>
    <t>v. 19 (Oct. 1921-Mar. 1922)</t>
  </si>
  <si>
    <t>nyp.33433081658977</t>
  </si>
  <si>
    <t>v. 18 (Apr.-Sept. 1921)</t>
  </si>
  <si>
    <t>nyp.33433081658985</t>
  </si>
  <si>
    <t>v. 16 (Apr.-Sept. 1920)</t>
  </si>
  <si>
    <t>nyp.33433048230449</t>
  </si>
  <si>
    <t>008688865</t>
  </si>
  <si>
    <t>nyp.33433081595187</t>
  </si>
  <si>
    <t>008688886</t>
  </si>
  <si>
    <t>Rules for English composition, and particularly for themes: designed for the use of schools, and in aid of self instruction.</t>
  </si>
  <si>
    <t>Rippingham, John.</t>
  </si>
  <si>
    <t>nyp.33433066584529</t>
  </si>
  <si>
    <t>008689006</t>
  </si>
  <si>
    <t>The book of oratory: compiled for the use of colleges, academies, and the higher classes of select and parish schools,</t>
  </si>
  <si>
    <t>Gillespie, Angela,</t>
  </si>
  <si>
    <t>nyp.33433066603089</t>
  </si>
  <si>
    <t>008689013</t>
  </si>
  <si>
    <t>nyp.33433066603063</t>
  </si>
  <si>
    <t>008689014</t>
  </si>
  <si>
    <t>The academical speaker: a selection of extracts in prose and verse, from ancient and modern authors, adapted for exercises in elocution.</t>
  </si>
  <si>
    <t>Emerson, B. D.</t>
  </si>
  <si>
    <t>nyp.33433066603055</t>
  </si>
  <si>
    <t>008689016</t>
  </si>
  <si>
    <t>The speaker: or, Miscellaneous pieces, selected from the best English writers, : and disposed under proper heads, with a view to facilitate the improvement of youth in reading and speaking. : To which is prefixed An essay on elocution. /</t>
  </si>
  <si>
    <t>nyp.33433066603048</t>
  </si>
  <si>
    <t>008689017</t>
  </si>
  <si>
    <t>The speaker, or, Miscellaneous pieces : selected from the best English writers and disposed under proper heads with a view to facilitate the improvement of youth in reading and speaking /</t>
  </si>
  <si>
    <t>nyp.33433066603014</t>
  </si>
  <si>
    <t>008689019</t>
  </si>
  <si>
    <t>Greening's popular reciter and the art of elocution and public speaking : being simple explanations of the various branches of elocution : together with lessons for self-instruction /</t>
  </si>
  <si>
    <t>Ferguson, Ross.</t>
  </si>
  <si>
    <t>nyp.33433082511688</t>
  </si>
  <si>
    <t>008689027</t>
  </si>
  <si>
    <t>nyp.33433066605142</t>
  </si>
  <si>
    <t>008689029</t>
  </si>
  <si>
    <t>A first manual of composition desgned for use in the highest grammar grade and the lower high school grades,</t>
  </si>
  <si>
    <t>Shakspeare and his times : including the biography of the poet, criticisms on his genius and writings, a new chronology of his plays, a disquisition on the object of his sonnets, and a history of the manners, customs, amusements, superstitions, poetry, and elegant literature of his age /</t>
  </si>
  <si>
    <t>Drake, Nathan,</t>
  </si>
  <si>
    <t>nyp.33433075914659</t>
  </si>
  <si>
    <t>008684643</t>
  </si>
  <si>
    <t>A supplement to the two volumes of the second edition of The essay on the archaeology of our popular phrases, terms, and nursery rhymes /</t>
  </si>
  <si>
    <t>nyp.33433081810677</t>
  </si>
  <si>
    <t>008685257</t>
  </si>
  <si>
    <t>A key to the classical pronunciation of Greek, Latin, and Scripture proper names;</t>
  </si>
  <si>
    <t>hvd.hxjgce</t>
  </si>
  <si>
    <t>008685258</t>
  </si>
  <si>
    <t>A key to the classical pronunciation of Greek, Latin, and Scripture proper names : in which the words are accented and divided into syllables exactly as they ought to be pronounced ... To which are added, terminational vocabularies of Hebrew, Greek, and Latin proper names ... Concluding with observations on the Greek and Latin accent and quantity ... /</t>
  </si>
  <si>
    <t>nyp.33433081810669</t>
  </si>
  <si>
    <t>nyp.33433081810495</t>
  </si>
  <si>
    <t>008685259</t>
  </si>
  <si>
    <t>A key to the classical pronunciation of Greek, Latin, and Scripture proper names : in which the words are accented and divided into syllables exactly as they ought to be pronounced, according to rules drawn from analogy and the best usage. To which are added terminational vocabularies of Greek, Hebrew, and Latin proper names ... /</t>
  </si>
  <si>
    <t>nyp.33433069243933</t>
  </si>
  <si>
    <t>008685868</t>
  </si>
  <si>
    <t>The philosophy of language : containing practical rules for acquiring a knowledge of English grammar.</t>
  </si>
  <si>
    <t>Cramp, William.</t>
  </si>
  <si>
    <t>nyp.33433069255085</t>
  </si>
  <si>
    <t>008685869</t>
  </si>
  <si>
    <t>A short introduction to English grammar : with critical notes /</t>
  </si>
  <si>
    <t>nyp.33433081988614</t>
  </si>
  <si>
    <t>008685870</t>
  </si>
  <si>
    <t>nyp.33433069244295</t>
  </si>
  <si>
    <t>008685871</t>
  </si>
  <si>
    <t>nyp.33433081658886</t>
  </si>
  <si>
    <t>008686552</t>
  </si>
  <si>
    <t>Poetry.</t>
  </si>
  <si>
    <t>v. 1 (1912-13)</t>
  </si>
  <si>
    <t>nyp.33433081658894</t>
  </si>
  <si>
    <t>v. 3 (1913-14)</t>
  </si>
  <si>
    <t>nyp.33433081658902</t>
  </si>
  <si>
    <t>v. 11 (1917-18)</t>
  </si>
  <si>
    <t>nyp.33433081658910</t>
  </si>
  <si>
    <t>v. 15 (Oct. 1919-Mar. 1920)</t>
  </si>
  <si>
    <t>English grammar in familiar lectures: embracing a new systematic order of parsing, a new system of punctuation, exercises in false syntax, and a system of philosophical grammar to which are added, A compendium, an appendix, and a key to the exercises: designed for the use of schools and private learners.</t>
  </si>
  <si>
    <t>nyp.33433069256620</t>
  </si>
  <si>
    <t>008680821</t>
  </si>
  <si>
    <t>English grammar, including the principles of grammatical analysis.</t>
  </si>
  <si>
    <t>Mason, Charles Peter,</t>
  </si>
  <si>
    <t>nyp.33433069256539</t>
  </si>
  <si>
    <t>008680822</t>
  </si>
  <si>
    <t>A grammar for elementary schools,</t>
  </si>
  <si>
    <t>Mirick, George Alonzo,</t>
  </si>
  <si>
    <t>nyp.33433069256521</t>
  </si>
  <si>
    <t>008680824</t>
  </si>
  <si>
    <t>A grammar of the English language; together with an exposition of the analysis of sentences.</t>
  </si>
  <si>
    <t>Morell, John Daniel,</t>
  </si>
  <si>
    <t>nyp.33433069244378</t>
  </si>
  <si>
    <t>008680828</t>
  </si>
  <si>
    <t>An abridgment of L. Murray's English grammar. With alterations and improvements. Designed for the use of the younger class of learners.</t>
  </si>
  <si>
    <t>nyp.33433069256638</t>
  </si>
  <si>
    <t>008680832</t>
  </si>
  <si>
    <t>English grammar, adapted to the different classes of learners. With an appendix, containing the rules and observations, for assisting the more advanced students to write with perspicuity and accuracy ...</t>
  </si>
  <si>
    <t>nyp.33433081988382</t>
  </si>
  <si>
    <t>008680840</t>
  </si>
  <si>
    <t>Schlüssel zum lehrbuch der englischen sprache.</t>
  </si>
  <si>
    <t>Wrage, Hermann D.</t>
  </si>
  <si>
    <t>nyp.33433081987897</t>
  </si>
  <si>
    <t>008680874</t>
  </si>
  <si>
    <t>English dictionary,</t>
  </si>
  <si>
    <t>nyp.33433082177142</t>
  </si>
  <si>
    <t>008680885</t>
  </si>
  <si>
    <t>Eur-Aryan roots, with their English derivatives and the corresponding words in the cognate languages compared and systematically arranged,</t>
  </si>
  <si>
    <t>Baly, J.</t>
  </si>
  <si>
    <t>nyp.33433075976252</t>
  </si>
  <si>
    <t>008681613</t>
  </si>
  <si>
    <t>A course of lectures: containing remarks upon the government and education of children, thoughts upon the present plan of education, and an essay upon elocution. To which is added, a sermon.</t>
  </si>
  <si>
    <t>Knipe, Rest.</t>
  </si>
  <si>
    <t>nyp.33433074894175</t>
  </si>
  <si>
    <t>008683409</t>
  </si>
  <si>
    <t>nyp.33433069257156</t>
  </si>
  <si>
    <t>008680795</t>
  </si>
  <si>
    <t>Brown's grammar improved. The Institutes of English grammar methodically arranged; with forms of parsing and correcting, examples for parsing, questions for examination, false syntax for correction, exercises for writing, observations for the advanced student, methods of analysis, and a key to the oral exercises: to which are added five appendixes. Designed for the use of schools, academies, and private learners.</t>
  </si>
  <si>
    <t>hvd.hn1q7n</t>
  </si>
  <si>
    <t>008680796</t>
  </si>
  <si>
    <t>The first lines of English grammar; being a brief abstract of the author's larger work. Designed for young learners.</t>
  </si>
  <si>
    <t>nyp.33433082310768</t>
  </si>
  <si>
    <t>nyp.33433082310875</t>
  </si>
  <si>
    <t>008680798</t>
  </si>
  <si>
    <t>The institutes of English grammar ... and a key to the oral exercises, to which are added four appendixes ...</t>
  </si>
  <si>
    <t>nyp.33433082310883</t>
  </si>
  <si>
    <t>008680799</t>
  </si>
  <si>
    <t>The institutes of English grammar methodically arranged; with forms of parsing and correcting ... and a key to the oral exercises: to which are added four appendixes ...</t>
  </si>
  <si>
    <t>nyp.33433069257404</t>
  </si>
  <si>
    <t>008680802</t>
  </si>
  <si>
    <t>An English grammar, for the use of schools.</t>
  </si>
  <si>
    <t>nyp.33433069257131</t>
  </si>
  <si>
    <t>008680804</t>
  </si>
  <si>
    <t>A sequel to the Common school grammar; containing, in addition to other materials and illustrations, notes and critical remarks on the philosophy of the English language; and explaining some of its most difficult idiomatic phrases. Designed for the use of the first class in common schools.</t>
  </si>
  <si>
    <t>Goldsbury, John,</t>
  </si>
  <si>
    <t>wu.89099894057</t>
  </si>
  <si>
    <t>nyp.33433069257115</t>
  </si>
  <si>
    <t>008680805</t>
  </si>
  <si>
    <t>An English grammar for schools, based on the principles and requirements of the Grammatical Society.</t>
  </si>
  <si>
    <t>pt. 1-2</t>
  </si>
  <si>
    <t>Hall, Joseph.</t>
  </si>
  <si>
    <t>wu.89099894305</t>
  </si>
  <si>
    <t>wu.89099894313</t>
  </si>
  <si>
    <t>nyp.33433069255499</t>
  </si>
  <si>
    <t>008680814</t>
  </si>
  <si>
    <t>Vollständige, theoretisch-praktische Grammatik der englischen Sprache. Nach dem gegenwärtigen Standpunkte der Wissenschaft. Mit vielen, das gründliche Studium ausserordentlich erleichternden praktischen Beispielen, erklärenden Anmerkungen und Aufgaben, nebst durchgehends beigefügter englischer Aussprache. Für Lehranstalten und zum Selbststudium.</t>
  </si>
  <si>
    <t>Rothwell, J. S. S.</t>
  </si>
  <si>
    <t>nyp.33433069247827</t>
  </si>
  <si>
    <t>008680511</t>
  </si>
  <si>
    <t>nyp.33433069248163</t>
  </si>
  <si>
    <t>008680518</t>
  </si>
  <si>
    <t>Clave de los ejercicios del maestro de Ingles metodo pratico para aprender a leer, escribir y hablar la lengua inglesa ...</t>
  </si>
  <si>
    <t>Vingut, Francisco Javier.</t>
  </si>
  <si>
    <t>nyp.33433069247983</t>
  </si>
  <si>
    <t>008680520</t>
  </si>
  <si>
    <t>Weld's English grammar, illustrated by exercises in composition, analyzing, and parsing.</t>
  </si>
  <si>
    <t>nyp.33433069248148</t>
  </si>
  <si>
    <t>008680521</t>
  </si>
  <si>
    <t>Studies in English grammar; a comprehensive course for grammar schools, high schools and academies. Based upon Welsh's "Lessons in English grammar."</t>
  </si>
  <si>
    <t>nyp.33433081987582</t>
  </si>
  <si>
    <t>008680630</t>
  </si>
  <si>
    <t>A critical pronouncing dictionary, and expositor of the English language ... To which is prefixed principles of English pronunciation ... Likewise, rules to be observed by the natives of Scotland, Ireland and London ... and directions to foreigners ... The whole interspersed with observations, etymological, critical, and grammatical ... To which is annexed A key to the classical pronunciation of Greek, Latin, and Scripture proper names, &amp;c.</t>
  </si>
  <si>
    <t>nyp.33433082310842</t>
  </si>
  <si>
    <t>008680793</t>
  </si>
  <si>
    <t>An English grammar for the higher grades in grammar schools,</t>
  </si>
  <si>
    <t>nyp.33433081988259</t>
  </si>
  <si>
    <t>008680794</t>
  </si>
  <si>
    <t>Brown's grammar improved. The institutes of English grammar, methodically arranged; with forms of parsing and correcting, examples for parsing, questions for examination, false syntax for correction, exercises for writing, observations for the advanced student, five methods of analysis, and a key to the oral exercises: to which are added four appendixes. Designed for the use of schools, academies, and private learners.</t>
  </si>
  <si>
    <t>The rhymester: or, The rules of rhyme. A guide to English versification. With a dictionary of rhymes, an examination of classical measures, and comments upon burlesque, comic verse and song-writing ...</t>
  </si>
  <si>
    <t>nyp.33433069243156</t>
  </si>
  <si>
    <t>008680274</t>
  </si>
  <si>
    <t>English dialogues, with phonetic transcriptions,</t>
  </si>
  <si>
    <t>Jeaffreson, Charles Henry.</t>
  </si>
  <si>
    <t>nyp.33433081990396</t>
  </si>
  <si>
    <t>008680278</t>
  </si>
  <si>
    <t>The orthoëpist: a pronouncing manual, containing about three thousand five hundred words, including a considerable number of names of foreign authors, artists, etc., that are often mispronounced.</t>
  </si>
  <si>
    <t>nyp.33433081990404</t>
  </si>
  <si>
    <t>008680281</t>
  </si>
  <si>
    <t>The orthoëpist: a pronouncing manual containing about four thousand five hundred words, including a considerable number of the names of foreign authors, artists, etc. that are often mispronounced,</t>
  </si>
  <si>
    <t>nyp.33433081990412</t>
  </si>
  <si>
    <t>008680285</t>
  </si>
  <si>
    <t>Ten thousand words often mispronounced.</t>
  </si>
  <si>
    <t>nyp.33433069242604</t>
  </si>
  <si>
    <t>008680286</t>
  </si>
  <si>
    <t>nyp.33433082311733</t>
  </si>
  <si>
    <t>008680302</t>
  </si>
  <si>
    <t>Altenglische sprachproben nebst einem wörterbuche,</t>
  </si>
  <si>
    <t>v. 2 (Worterbuch, pt. 2)</t>
  </si>
  <si>
    <t>Maetzner, Eduard Adolf Ferdinand,</t>
  </si>
  <si>
    <t>nyp.33433082311741</t>
  </si>
  <si>
    <t>v. 1 (Worterbuch, pt. 2)</t>
  </si>
  <si>
    <t>nyp.33433069256471</t>
  </si>
  <si>
    <t>008680455</t>
  </si>
  <si>
    <t>Practical lessons in the use of English for grammar schools.</t>
  </si>
  <si>
    <t>nyp.33433069256836</t>
  </si>
  <si>
    <t>008680457</t>
  </si>
  <si>
    <t>The infant school grammar, consisting of elementary lessons in the analytical method; illustrated by sensible objects and actions.</t>
  </si>
  <si>
    <t>nyp.33433082311238</t>
  </si>
  <si>
    <t>008680466</t>
  </si>
  <si>
    <t>Practice work in English,</t>
  </si>
  <si>
    <t>nyp.33433069256802</t>
  </si>
  <si>
    <t>008680467</t>
  </si>
  <si>
    <t>An elementary English grammar, for the use of schools.</t>
  </si>
  <si>
    <t>nyp.33433069247892</t>
  </si>
  <si>
    <t>008680494</t>
  </si>
  <si>
    <t>Manual of business correspondence and English ...</t>
  </si>
  <si>
    <t>nyp.33433069248049</t>
  </si>
  <si>
    <t>008680506</t>
  </si>
  <si>
    <t>A critical pronouncing dictionary, and expositor of the English language ... To which are prefixed, principles of English pronunciation ... likewise, rules to be observed by the natives of Scotland, Ireland, and London, for avoiding their respective peculiarities ... To which is annexed A key to the classical pronunciation of Greek, Latin, and Scripture proper names, &amp;c.,</t>
  </si>
  <si>
    <t>nyp.33433081987574</t>
  </si>
  <si>
    <t>008679767</t>
  </si>
  <si>
    <t>A critical pronouncing dictionary, and expositor of the English language ... To which are prefixed, principles of English pronunciation ... likewise rules to be observed by the natives of Scotland, Ireland, and London ... To which is annexed a key to the classical pronunciation of Greek, Latin and Scripture proper names ...</t>
  </si>
  <si>
    <t>nyp.33433081638771</t>
  </si>
  <si>
    <t>008679768</t>
  </si>
  <si>
    <t>A critical pronouncing dictionary, and expositor of the English language: in which the meaning of every word is explained, and the sound of every syllable distinctly shown. To which is prefixed, an abstract of the principles of English pronunciation, and directions to foreigners for acquiring a knowledge of the use of this dictionary.</t>
  </si>
  <si>
    <t>nyp.33433081982112</t>
  </si>
  <si>
    <t>008679894</t>
  </si>
  <si>
    <t>National elementary speller: a critical work on pronunciation ...</t>
  </si>
  <si>
    <t>Watson, J. Madison</t>
  </si>
  <si>
    <t>nyp.33433081968319</t>
  </si>
  <si>
    <t>008679994</t>
  </si>
  <si>
    <t>A pronouncing and spelling dictionary, of the English language. The words ... arranged according to Noah Webster's pronunciation ...</t>
  </si>
  <si>
    <t>Knudsen, C. W.</t>
  </si>
  <si>
    <t>nyp.33433082312319</t>
  </si>
  <si>
    <t>008680133</t>
  </si>
  <si>
    <t>A complete etymology of the English language ...</t>
  </si>
  <si>
    <t>nyp.33433081638839</t>
  </si>
  <si>
    <t>008680135</t>
  </si>
  <si>
    <t>A condensed etymology of the English language for common schools, containing the Anglo-Saxon, French, Dutch, German, Welsh, Danish, Gothic, Swedish, Gaelic, Italian, Latin, and Greek roots, and the English words derived therefrom, accurately spelled, accented, and defined.</t>
  </si>
  <si>
    <t>nyp.33433069243180</t>
  </si>
  <si>
    <t>008680273</t>
  </si>
  <si>
    <t>A high school grammar, dealing with the science of the English language, the history of the parts of speech, the philosophy of the changes these have undergone, and present usage respecting forms in dispute,</t>
  </si>
  <si>
    <t>nyp.33433069244303</t>
  </si>
  <si>
    <t>008679653</t>
  </si>
  <si>
    <t>The youth's grammar; or, Easy lessons in etymology.</t>
  </si>
  <si>
    <t>Ricord, Frederick W.</t>
  </si>
  <si>
    <t>nyp.33433081988606</t>
  </si>
  <si>
    <t>008679656</t>
  </si>
  <si>
    <t>Longmans' school grammar,</t>
  </si>
  <si>
    <t>Salmon, David.</t>
  </si>
  <si>
    <t>nyp.33433069244279</t>
  </si>
  <si>
    <t>008679667</t>
  </si>
  <si>
    <t>Grammar for common schools,</t>
  </si>
  <si>
    <t>Tweed, Benjamin Franklin,</t>
  </si>
  <si>
    <t>nyp.33433069255473</t>
  </si>
  <si>
    <t>008679681</t>
  </si>
  <si>
    <t>An English syntithology, in three books, developing the constructive principles of the English language, by appropriate polymorph terms, used in this science only, and each having but one meaning,</t>
  </si>
  <si>
    <t>nyp.33433069255432</t>
  </si>
  <si>
    <t>008679682</t>
  </si>
  <si>
    <t>De Engelsche meester. Een gemakkelijke leiddraad voor onderwijzers, om aan leerlingen spoedig en goed Engelsch te leeren; en tevens een snelwerkend en veilig hulpboek tot eigen oefening,</t>
  </si>
  <si>
    <t>Bruin, Servaas de,</t>
  </si>
  <si>
    <t>hvd.hn1qdk</t>
  </si>
  <si>
    <t>008679684</t>
  </si>
  <si>
    <t>An analytical and practical grammar of the English language /</t>
  </si>
  <si>
    <t>nyp.33433069255028</t>
  </si>
  <si>
    <t>nyp.33433069255010</t>
  </si>
  <si>
    <t>008679686</t>
  </si>
  <si>
    <t>An analytical and practical grammar of the English language. Revised, corrected, and improved.</t>
  </si>
  <si>
    <t>nyp.33433082311196</t>
  </si>
  <si>
    <t>008679687</t>
  </si>
  <si>
    <t>A practical grammar of the English language; with analysis of sentences.</t>
  </si>
  <si>
    <t>nyp.33433081988663</t>
  </si>
  <si>
    <t>008679688</t>
  </si>
  <si>
    <t>Principles of English grammar ...</t>
  </si>
  <si>
    <t>nyp.33433069256794</t>
  </si>
  <si>
    <t>008679718</t>
  </si>
  <si>
    <t>Peirce college language exercises. A series of practical exercises in English. For the use of colleges of business and shorthand.</t>
  </si>
  <si>
    <t>Heath, Franklin Reinhardt,</t>
  </si>
  <si>
    <t>nyp.33433082311212</t>
  </si>
  <si>
    <t>008679721</t>
  </si>
  <si>
    <t>nyp.33433081638797</t>
  </si>
  <si>
    <t>008679765</t>
  </si>
  <si>
    <t>A critical pronouncing dictionary, and expositor of the English language ... to which is annexed a key to the classical pronunciation of Greek, Latin, and Scripture proper names, &amp;c.</t>
  </si>
  <si>
    <t>nyp.33433081987558</t>
  </si>
  <si>
    <t>008679766</t>
  </si>
  <si>
    <t>The principles of Latin and English grammar; designed to facilitate the study of both languages, by connecting them together.</t>
  </si>
  <si>
    <t>nyp.33433075914410</t>
  </si>
  <si>
    <t>008678739</t>
  </si>
  <si>
    <t>A hand-book of the English language, for the use of students of the universities and higher classes of schools.</t>
  </si>
  <si>
    <t>nyp.33433081987947</t>
  </si>
  <si>
    <t>008678743</t>
  </si>
  <si>
    <t>A dictionary of the English language. Abstracted from the folio edition,</t>
  </si>
  <si>
    <t>v. 1 (A-K)</t>
  </si>
  <si>
    <t>Johnson, Samuel.</t>
  </si>
  <si>
    <t>nyp.33433081987913</t>
  </si>
  <si>
    <t>008678745</t>
  </si>
  <si>
    <t>Johnson's Dictionary of the English language, in miniature. With an alphabetical account of the heathen gods and goddesses; and a list of the cities, boroughs, and market towns, in England and Wales.</t>
  </si>
  <si>
    <t>nyp.33433081987889</t>
  </si>
  <si>
    <t>008678746</t>
  </si>
  <si>
    <t>Johnson's dictionary improved by Todd, abridged ... with the addition of Walker's pronunciation ...</t>
  </si>
  <si>
    <t>nyp.33433075975346</t>
  </si>
  <si>
    <t>008678895</t>
  </si>
  <si>
    <t>nyp.33433081982245</t>
  </si>
  <si>
    <t>008678925</t>
  </si>
  <si>
    <t>Our English,</t>
  </si>
  <si>
    <t>wu.89099408783</t>
  </si>
  <si>
    <t>nyp.33433082312442</t>
  </si>
  <si>
    <t>008679093</t>
  </si>
  <si>
    <t>Everybody's writing-desk book,</t>
  </si>
  <si>
    <t>Nisbet, Charles.</t>
  </si>
  <si>
    <t>nyp.33433075976716</t>
  </si>
  <si>
    <t>008679120</t>
  </si>
  <si>
    <t>American educational annual: a cyclopedia, or reference book for all matters pertaining to education. v. 1, 1875.</t>
  </si>
  <si>
    <t>v. 1 (1875)</t>
  </si>
  <si>
    <t>nyp.33433075986756</t>
  </si>
  <si>
    <t>008679353</t>
  </si>
  <si>
    <t>The teacher : a supplement to the elementary spelling book /</t>
  </si>
  <si>
    <t>nyp.33433082184726</t>
  </si>
  <si>
    <t>008679527</t>
  </si>
  <si>
    <t>A system of Latin prosody and metre, from the best authorities, ancient and modern.</t>
  </si>
  <si>
    <t>nyp.33433069244428</t>
  </si>
  <si>
    <t>008679649</t>
  </si>
  <si>
    <t>English grammar, adapted to the different classes of learners. With an appendix, containing rules and observations for assisting the more advanced students to write with perspicuity and accuracy ...</t>
  </si>
  <si>
    <t>nyp.33433069244436</t>
  </si>
  <si>
    <t>008679650</t>
  </si>
  <si>
    <t>nyp.33433069255051</t>
  </si>
  <si>
    <t>008679651</t>
  </si>
  <si>
    <t>Grammar-land; or, Grammar in fun for the children of Schoolroom-shire ...</t>
  </si>
  <si>
    <t>Nesbitt, M. L.</t>
  </si>
  <si>
    <t>wu.89099896565</t>
  </si>
  <si>
    <t>nyp.33433069244311</t>
  </si>
  <si>
    <t>008679652</t>
  </si>
  <si>
    <t>nyp.33433082311006</t>
  </si>
  <si>
    <t>008675745</t>
  </si>
  <si>
    <t>Evans, Lawton B.</t>
  </si>
  <si>
    <t>nyp.33433069247322</t>
  </si>
  <si>
    <t>008675746</t>
  </si>
  <si>
    <t>The little grammmarian; or, An easy guide to the parts of speech, and familiar illustrations of the leading rules of syntax: in a series of instructive and amusing tales. /</t>
  </si>
  <si>
    <t>Fletcher, William.</t>
  </si>
  <si>
    <t>nyp.33433069248262</t>
  </si>
  <si>
    <t>008675747</t>
  </si>
  <si>
    <t>Constructive exercises in English,</t>
  </si>
  <si>
    <t>nyp.33433069247330</t>
  </si>
  <si>
    <t>008675750</t>
  </si>
  <si>
    <t>An analysis of the English language, or, The elements of sentences in their forms, combinations, and relations : with methods for determining their grammatical, logical, and rhetorical uses : designed for the higher grades of schools /</t>
  </si>
  <si>
    <t>nyp.33433069241895</t>
  </si>
  <si>
    <t>008675793</t>
  </si>
  <si>
    <t>The new Franklin fifth reader : with a new elocutionary treatise, Essentials of reading, by Mark Bailey /</t>
  </si>
  <si>
    <t>Campbell, Loomis J.</t>
  </si>
  <si>
    <t>nyp.33433069246597</t>
  </si>
  <si>
    <t>008675825</t>
  </si>
  <si>
    <t>The Franklin fifth reader : for the use of public and private schools : with an introductory treatise on elocution by Mark Bailey /</t>
  </si>
  <si>
    <t>nyp.33433069241762</t>
  </si>
  <si>
    <t>008675833</t>
  </si>
  <si>
    <t>nyp.33433069256281</t>
  </si>
  <si>
    <t>008675946</t>
  </si>
  <si>
    <t>nyp.33433069247314</t>
  </si>
  <si>
    <t>008675947</t>
  </si>
  <si>
    <t>First lessons in the English language,</t>
  </si>
  <si>
    <t>nyp.33433069256273</t>
  </si>
  <si>
    <t>008675948</t>
  </si>
  <si>
    <t>A new English grammar for schools : being a revised edition of "A practical grammar of the English language" /</t>
  </si>
  <si>
    <t>nyp.33433082311253</t>
  </si>
  <si>
    <t>008675949</t>
  </si>
  <si>
    <t>nyp.33433069238438</t>
  </si>
  <si>
    <t>008676046</t>
  </si>
  <si>
    <t>Culture &amp; anarchy, an essay in political and social criticism;</t>
  </si>
  <si>
    <t>nyp.33433082185335</t>
  </si>
  <si>
    <t>008678165</t>
  </si>
  <si>
    <t>The essentials of phonetics: containing the theory of a universal alphabet, together with its practical application ... in lieu of a second edition of the "Alphabet of nature."</t>
  </si>
  <si>
    <t>nyp.33433082185343</t>
  </si>
  <si>
    <t>008678168</t>
  </si>
  <si>
    <t>An introduction to phonetics (English, French and German) with reading lessons and exercises,</t>
  </si>
  <si>
    <t>nyp.33433082181227</t>
  </si>
  <si>
    <t>008678188</t>
  </si>
  <si>
    <t>Italian composition.</t>
  </si>
  <si>
    <t>nyp.33433082313754</t>
  </si>
  <si>
    <t>008678432</t>
  </si>
  <si>
    <t>English grammar on the productive system : a method of instruction recently adopted in Germany and Switzerland /</t>
  </si>
  <si>
    <t>nyp.33433069242752</t>
  </si>
  <si>
    <t>008675645</t>
  </si>
  <si>
    <t>A vocabulary of such words in the English language as are of dubious or unsettled accentuation, in which the pronunciation of Sheridan, Walker, and other orthoepists, is compared.</t>
  </si>
  <si>
    <t>nyp.33433069242562</t>
  </si>
  <si>
    <t>008675655</t>
  </si>
  <si>
    <t>A selection from Walker's pronouncing dictionary : in which all those words subject to an incorrect pronunciation are brought directly into view ; with original notes designating those which are acknowledged to be exceptions. /</t>
  </si>
  <si>
    <t>White, Lemuel G.</t>
  </si>
  <si>
    <t>nyp.33433069244360</t>
  </si>
  <si>
    <t>008675665</t>
  </si>
  <si>
    <t>English grammar, on the productive system : a method of instruction recently adopted in Germany and Switzerland : designed for schools and academies /</t>
  </si>
  <si>
    <t>nyp.33433081989364</t>
  </si>
  <si>
    <t>008675696</t>
  </si>
  <si>
    <t>Writings;</t>
  </si>
  <si>
    <t>Ormerod, Oliver,</t>
  </si>
  <si>
    <t>nyp.33433081988671</t>
  </si>
  <si>
    <t>008675730</t>
  </si>
  <si>
    <t>Elements of English grammar, deduced from science and practice, adapted to the capacity of learners ...</t>
  </si>
  <si>
    <t>Cardell, William S.</t>
  </si>
  <si>
    <t>nyp.33433069256414</t>
  </si>
  <si>
    <t>008675732</t>
  </si>
  <si>
    <t>Studies in English for evening schools ...</t>
  </si>
  <si>
    <t>nyp.33433069256406</t>
  </si>
  <si>
    <t>008675733</t>
  </si>
  <si>
    <t>Exercises for parsing and analysis,</t>
  </si>
  <si>
    <t>Choate, Augusta.</t>
  </si>
  <si>
    <t>nyp.33433081988317</t>
  </si>
  <si>
    <t>008675736</t>
  </si>
  <si>
    <t>Standard test English</t>
  </si>
  <si>
    <t>nyp.33433082311170</t>
  </si>
  <si>
    <t>008675737</t>
  </si>
  <si>
    <t>A complete graded course in English grammar and composition /</t>
  </si>
  <si>
    <t>Conklin, Benjamin Y.</t>
  </si>
  <si>
    <t>nyp.33433069256349</t>
  </si>
  <si>
    <t>008675739</t>
  </si>
  <si>
    <t>The young composer: a guide to English grammar &amp; composition.</t>
  </si>
  <si>
    <t>nyp.33433082311188</t>
  </si>
  <si>
    <t>008675740</t>
  </si>
  <si>
    <t>A new method with English grammar /</t>
  </si>
  <si>
    <t>Diebel, J. H.</t>
  </si>
  <si>
    <t>nyp.33433081988689</t>
  </si>
  <si>
    <t>008675742</t>
  </si>
  <si>
    <t>Imitation and analysis : English exercises based on Irvings sketch book /</t>
  </si>
  <si>
    <t>Donnelly, Francis P.</t>
  </si>
  <si>
    <t>nyp.33433082310990</t>
  </si>
  <si>
    <t>008675743</t>
  </si>
  <si>
    <t>Eben's Sprachmeister. Handbuch der englischen Sprache für den Schul- und Selbstunterricht.</t>
  </si>
  <si>
    <t>Eben, Carl Theodor,</t>
  </si>
  <si>
    <t>Introduction to the English reader : or, A selection of pieces in prose and poetry, calculated to improve the younger classes of learners, in reading : and to inbue their minds with the love of virtue. With rules and observations for assisting children to read with propriety /</t>
  </si>
  <si>
    <t>nyp.33433069247371</t>
  </si>
  <si>
    <t>008675612</t>
  </si>
  <si>
    <t>Introduction to the English reader; or, A selection of pieces in prose and poetry, calculated to improve the younger classes of learners, in reading; and to imbue their minds with the love of virtue, with rules and observations for assisting children to read with propriety ...</t>
  </si>
  <si>
    <t>nyp.33433081988283</t>
  </si>
  <si>
    <t>008675617</t>
  </si>
  <si>
    <t>The English teacher, or, Private learner's guide : containing a new arrangement of Murray's exercises and key, with the various parts of which, the corresponding notes, rules, and observations in Murray's grammar are incorporated : also, references in promiscuous exercises to the rules by which the errours are to be corrected : revised, arranged, prepared, and particularly adapted to the use of instructors and private learners /</t>
  </si>
  <si>
    <t>Alger, Israel,</t>
  </si>
  <si>
    <t>wu.89099896540</t>
  </si>
  <si>
    <t>nyp.33433081989000</t>
  </si>
  <si>
    <t>008675620</t>
  </si>
  <si>
    <t>Sequel to the English reader : or, Elegant selections in prose and poetry : designed to improve the highest class of learners in reading, to establish a taste for just and accurate composition, and to promote the interests of piety and virtue /</t>
  </si>
  <si>
    <t>nyp.33433069255465</t>
  </si>
  <si>
    <t>008675627</t>
  </si>
  <si>
    <t>Advanced lessons in everyday English,</t>
  </si>
  <si>
    <t>nyp.33433069255481</t>
  </si>
  <si>
    <t>008675630</t>
  </si>
  <si>
    <t>Elements of English grammar,</t>
  </si>
  <si>
    <t>nyp.33433069255036</t>
  </si>
  <si>
    <t>008675633</t>
  </si>
  <si>
    <t>A modern English grammar /</t>
  </si>
  <si>
    <t>nyp.33433081988648</t>
  </si>
  <si>
    <t>008675634</t>
  </si>
  <si>
    <t>Modern English lessons ...</t>
  </si>
  <si>
    <t>nyp.33433081988655</t>
  </si>
  <si>
    <t>008675636</t>
  </si>
  <si>
    <t>nyp.33433082311204</t>
  </si>
  <si>
    <t>008675637</t>
  </si>
  <si>
    <t>nyp.33433069256422</t>
  </si>
  <si>
    <t>008675639</t>
  </si>
  <si>
    <t>A practical and critical grammar of the English language /</t>
  </si>
  <si>
    <t>Butler, Noble,</t>
  </si>
  <si>
    <t>nyp.33433069244337</t>
  </si>
  <si>
    <t>008675643</t>
  </si>
  <si>
    <t>nyp.33433069247389</t>
  </si>
  <si>
    <t>008675589</t>
  </si>
  <si>
    <t>nyp.33433081988630</t>
  </si>
  <si>
    <t>008675590</t>
  </si>
  <si>
    <t>An English grammar and reading book for lower forms in classical schools.</t>
  </si>
  <si>
    <t>Tancock, Osborne William,</t>
  </si>
  <si>
    <t>nyp.33433069244287</t>
  </si>
  <si>
    <t>008675591</t>
  </si>
  <si>
    <t>Gradual lessons in grammar, or, Guide to the construction of the English language, by the analysis and composition of sentences /</t>
  </si>
  <si>
    <t>nyp.33433069242596</t>
  </si>
  <si>
    <t>008675594</t>
  </si>
  <si>
    <t>Manual of English pronunciation and spelling : containing a full alphabetical vocabulary of the language with a preliminary exposition of English orthoëpy and orthography, and designed as a work of reference for general use, and as a text-book in schools /</t>
  </si>
  <si>
    <t>nyp.33433069256646</t>
  </si>
  <si>
    <t>008675595</t>
  </si>
  <si>
    <t>A grammatical institute of the English language : comprising an easy, concise and systematic method of education : designed for the use of English schools in America ... part second ... /</t>
  </si>
  <si>
    <t>nyp.33433081988960</t>
  </si>
  <si>
    <t>008675599</t>
  </si>
  <si>
    <t>The English reader : or, pieces in prose and poetry selected from the best writers /</t>
  </si>
  <si>
    <t>nyp.33433069256554</t>
  </si>
  <si>
    <t>008675601</t>
  </si>
  <si>
    <t>nyp.33433069256547</t>
  </si>
  <si>
    <t>008675602</t>
  </si>
  <si>
    <t>hvd.32044097056865</t>
  </si>
  <si>
    <t>008675604</t>
  </si>
  <si>
    <t>A philosophical and practical grammar of the English language /</t>
  </si>
  <si>
    <t>nyp.33433069256612</t>
  </si>
  <si>
    <t>nyp.33433069256679</t>
  </si>
  <si>
    <t>008675605</t>
  </si>
  <si>
    <t>Rudiments of English grammar : being an abridgment of the improved grammar of the English language /</t>
  </si>
  <si>
    <t>nyp.33433069256604</t>
  </si>
  <si>
    <t>008675606</t>
  </si>
  <si>
    <t>A grammar of the English language : for the use of schools /</t>
  </si>
  <si>
    <t>nyp.33433069255440</t>
  </si>
  <si>
    <t>008675608</t>
  </si>
  <si>
    <t>Ahn's American interpreter. Ahn's amerikanischer Dolmetscher für Deutsche, zum erlernen der englischen Sprache ohne Lehrer. Anleitung zur Aussprache des englischen, Kurzgefasste Grammatik nebst leichten Beispielen, Gespräche, Wörtersammlungen ...</t>
  </si>
  <si>
    <t>nyp.33433069247363</t>
  </si>
  <si>
    <t>008675611</t>
  </si>
  <si>
    <t>008675565</t>
  </si>
  <si>
    <t>English grammar : adapted to the different classes of learners : with an appendix, containing rules and observations for assisting the more advanced students to write with perspicuity and accuracy /</t>
  </si>
  <si>
    <t>nyp.33433081988572</t>
  </si>
  <si>
    <t>008675566</t>
  </si>
  <si>
    <t>nyp.33433081988564</t>
  </si>
  <si>
    <t>008675567</t>
  </si>
  <si>
    <t>English grammar, adapted to the different classes of learners. with an appendix, containing rules and observations for assisting the more advanced students to write with perspicuity and accuracy.</t>
  </si>
  <si>
    <t>nyp.33433069255325</t>
  </si>
  <si>
    <t>008675568</t>
  </si>
  <si>
    <t>An English grammar : comprehending the principles and rules of the language : illustrated by appropriate exercises, and a key to the exercises /</t>
  </si>
  <si>
    <t>hvd.hw26yf</t>
  </si>
  <si>
    <t>008675569</t>
  </si>
  <si>
    <t>nyp.33433069255333</t>
  </si>
  <si>
    <t>nyp.33433069244352</t>
  </si>
  <si>
    <t>008675570</t>
  </si>
  <si>
    <t>English grammar, adapted to the different classes of learners : with an appendix containing rules and observations for assisting the more advanced students to write with perspicuity and accuracy /</t>
  </si>
  <si>
    <t>nyp.33433081988580</t>
  </si>
  <si>
    <t>008675571</t>
  </si>
  <si>
    <t>English grammar, adapted to the different classes of learners with an appendix, containing rules and observations for assisting the more advanced students to write with perspicuity and accuracy.</t>
  </si>
  <si>
    <t>hvd.32044018912147</t>
  </si>
  <si>
    <t>008675572</t>
  </si>
  <si>
    <t>nyp.33433069256844</t>
  </si>
  <si>
    <t>nyp.33433081988598</t>
  </si>
  <si>
    <t>008675574</t>
  </si>
  <si>
    <t>nyp.33433069257420</t>
  </si>
  <si>
    <t>008675577</t>
  </si>
  <si>
    <t>Murray's English grammar simplified : designed to facilitate the study of the English language; comprehending the principles and rules of English grammar, illustrated by appropriate exercises; to which is added a series of questions for examination. Abridged for the use of schools /</t>
  </si>
  <si>
    <t>Fisk, Allen,</t>
  </si>
  <si>
    <t>nyp.33433069244329</t>
  </si>
  <si>
    <t>008675581</t>
  </si>
  <si>
    <t>First book in English grammar /</t>
  </si>
  <si>
    <t>hvd.hn1ezi</t>
  </si>
  <si>
    <t>008675585</t>
  </si>
  <si>
    <t>English grammar on the productive system : a method of instruction recently adopted in Germany and Switzerland : designed for schools and academies /</t>
  </si>
  <si>
    <t>nyp.33433069244006</t>
  </si>
  <si>
    <t>nyp.33433069244345</t>
  </si>
  <si>
    <t>008675586</t>
  </si>
  <si>
    <t>English grammar. The English language in its elements and forms. With a history of its origin and development. Abridged from the octavo edition. Designed for general use in schools and families.</t>
  </si>
  <si>
    <t>nyp.33433081988150</t>
  </si>
  <si>
    <t>hvd.hwkm8g</t>
  </si>
  <si>
    <t>008675498</t>
  </si>
  <si>
    <t>Popular errors in English grammar, particularly in pronunciation, familiarly pointed out : for the use of those persons who want either opportunity or inclination to study this science /</t>
  </si>
  <si>
    <t>Jackson, George.</t>
  </si>
  <si>
    <t>nyp.33433069243172</t>
  </si>
  <si>
    <t>nyp.33433069243230</t>
  </si>
  <si>
    <t>008675507</t>
  </si>
  <si>
    <t>nyp.33433069242513</t>
  </si>
  <si>
    <t>008675517</t>
  </si>
  <si>
    <t>General rules for the pronunciation of the English language, with complete lists of the exceptions,</t>
  </si>
  <si>
    <t>nyp.33433069242554</t>
  </si>
  <si>
    <t>008675519</t>
  </si>
  <si>
    <t>nyp.33433082311220</t>
  </si>
  <si>
    <t>008675520</t>
  </si>
  <si>
    <t>Elementary lessons in English /</t>
  </si>
  <si>
    <t>Knox-Heath, N. L.</t>
  </si>
  <si>
    <t>nyp.33433081988770</t>
  </si>
  <si>
    <t>008675521</t>
  </si>
  <si>
    <t>Graded lessons in English : an elementary English grammar : consisting of one hundred practical lessons, carefully graded and adapted to the class room /</t>
  </si>
  <si>
    <t>nyp.33433069242547</t>
  </si>
  <si>
    <t>008675524</t>
  </si>
  <si>
    <t>The orthoëpist: a pronouncing manual containing about four thousand five hundred words, including a considerable number of the names of foreign authors, artists, etc., that are often mispronounced,</t>
  </si>
  <si>
    <t>nyp.33433069242539</t>
  </si>
  <si>
    <t>008675550</t>
  </si>
  <si>
    <t>Ten thousand words often mispronounced; a rev. and enl. ed. of "7000 words often mispronounced", with a supplement of 3000 additional words; a complete handbook of difficulties in English pronunciation...</t>
  </si>
  <si>
    <t>Phyfe, William Henry P.</t>
  </si>
  <si>
    <t>nyp.33433081990420</t>
  </si>
  <si>
    <t>008675551</t>
  </si>
  <si>
    <t>Twelve thousand words often mispronounced;</t>
  </si>
  <si>
    <t>nyp.33433081990438</t>
  </si>
  <si>
    <t>008675552</t>
  </si>
  <si>
    <t>Twelve thousand words often mispronounced : a complete hand-book of difficulties in English pronunciation, including an unusually large number of proper names and words and phrases from foreign languages /</t>
  </si>
  <si>
    <t>nyp.33433069244386</t>
  </si>
  <si>
    <t>008675563</t>
  </si>
  <si>
    <t>Abridgment of Murray's English Grammar, With an appendix ...</t>
  </si>
  <si>
    <t>nyp.33433069255069</t>
  </si>
  <si>
    <t>An abridgement of L. Murray's English grammar : with an appendix, containing an exemplification of the parts of speech, and exercises in syntax : designed for use of the younger class of learners /</t>
  </si>
  <si>
    <t>nyp.33433069244402</t>
  </si>
  <si>
    <t>008675462</t>
  </si>
  <si>
    <t>English grammar : adapted to the different classes of learners : with an appendix, containing rules and observations, for assisting the more advanced students to write with perspicuity and accuracy /</t>
  </si>
  <si>
    <t>nyp.33433069255192</t>
  </si>
  <si>
    <t>008675465</t>
  </si>
  <si>
    <t>An English grammar : comprehending the principles and rules of the language, illustrated by appropriate exercises, and a key to the exercises /</t>
  </si>
  <si>
    <t>nyp.33433069255200</t>
  </si>
  <si>
    <t>nyp.33433069255077</t>
  </si>
  <si>
    <t>008675466</t>
  </si>
  <si>
    <t>English grammar, adapted to the different classes of learners : with an appendix, containing rules and observations, for assisting the more advanced students to write with perspicuity and accuracy /</t>
  </si>
  <si>
    <t>nyp.33433081988549</t>
  </si>
  <si>
    <t>008675467</t>
  </si>
  <si>
    <t>English grammar, adapted to the different classes of learners : with an appendix containing rules and observations for assisting the more advanced students to write with perspicuity and accuracy... /</t>
  </si>
  <si>
    <t>nyp.33433081988556</t>
  </si>
  <si>
    <t>008675468</t>
  </si>
  <si>
    <t>English grammar, adapted to the different classes of learners. With an appendix, containing rules and observations for assisting the more advanced students to write with perspicuity and accuracy.</t>
  </si>
  <si>
    <t>nyp.33433069243271</t>
  </si>
  <si>
    <t>008675470</t>
  </si>
  <si>
    <t>The New Testament of Our Lord and Saviour Jesus Christ according to the Authorized Version.</t>
  </si>
  <si>
    <t>nyp.33433069243263</t>
  </si>
  <si>
    <t>008675475</t>
  </si>
  <si>
    <t>Pure phonics for home and kindergarten; short essays which present the need and method of teaching the elementrary sounds of the English language to children before they are taught to read script or print,</t>
  </si>
  <si>
    <t>Burnz, Eliza Boardman,</t>
  </si>
  <si>
    <t>hvd.hx6h6a</t>
  </si>
  <si>
    <t>008675478</t>
  </si>
  <si>
    <t>nyp.33433081988184</t>
  </si>
  <si>
    <t>008675430</t>
  </si>
  <si>
    <t>An English grammar for schools : based on the principles and requirements of the grammatical society : Parts 1-2 /</t>
  </si>
  <si>
    <t>nyp.33433081988192</t>
  </si>
  <si>
    <t>nyp.33433069257263</t>
  </si>
  <si>
    <t>008675431</t>
  </si>
  <si>
    <t>nyp.33433069257107</t>
  </si>
  <si>
    <t>008675432</t>
  </si>
  <si>
    <t>A practical grammar of the English language : for the use of schools of every grade /</t>
  </si>
  <si>
    <t>nyp.33433069255424</t>
  </si>
  <si>
    <t>008675433</t>
  </si>
  <si>
    <t>The grammar of present day English,</t>
  </si>
  <si>
    <t>Holliday, Carl,</t>
  </si>
  <si>
    <t>nyp.33433082310735</t>
  </si>
  <si>
    <t>008675435</t>
  </si>
  <si>
    <t>Holmes, Geo. F.</t>
  </si>
  <si>
    <t>hvd.32044102770518</t>
  </si>
  <si>
    <t>008675436</t>
  </si>
  <si>
    <t>nyp.33433082310792</t>
  </si>
  <si>
    <t>nyp.33433069255507</t>
  </si>
  <si>
    <t>008675441</t>
  </si>
  <si>
    <t>English grammar in familiar lectures: embracing a new systematic order of parsing, a new system of punctuation, exercises in false syntax, and a system of philosophical grammar. To which are added a compendium, an appendix, and a key to the exercises, designed for the use of schools and private learners.</t>
  </si>
  <si>
    <t>nyp.33433069256661</t>
  </si>
  <si>
    <t>008675447</t>
  </si>
  <si>
    <t>The key to English grammar : in which the most difficult examples of syntax are illustrated, to abridge the labour of the instructor and facilitate the progress of the learner /</t>
  </si>
  <si>
    <t>Lynde, John.</t>
  </si>
  <si>
    <t>nyp.33433069255242</t>
  </si>
  <si>
    <t>008675448</t>
  </si>
  <si>
    <t>Grammar and composition : for common schools /</t>
  </si>
  <si>
    <t>Lyte, Eliphalet Oram,</t>
  </si>
  <si>
    <t>nyp.33433069256588</t>
  </si>
  <si>
    <t>008675449</t>
  </si>
  <si>
    <t>The essentials of the English sentence,</t>
  </si>
  <si>
    <t>MacEwan, Elias J.</t>
  </si>
  <si>
    <t>nyp.33433069243131</t>
  </si>
  <si>
    <t>008675452</t>
  </si>
  <si>
    <t>Correct standardized pronunciation of words in everyday use; a dictionary.</t>
  </si>
  <si>
    <t>nyp.33433082310974</t>
  </si>
  <si>
    <t>008675454</t>
  </si>
  <si>
    <t>Elements of English grammar : with a postscript, analysis, and an appendix /</t>
  </si>
  <si>
    <t>Morgan, Jonathan,</t>
  </si>
  <si>
    <t>nyp.33433069256653</t>
  </si>
  <si>
    <t>008675455</t>
  </si>
  <si>
    <t>Elementary lessons in historical English grammar, containing accidence and word-formation.</t>
  </si>
  <si>
    <t>nyp.33433069244394</t>
  </si>
  <si>
    <t>008675458</t>
  </si>
  <si>
    <t>nyp.33433081988341</t>
  </si>
  <si>
    <t>008675403</t>
  </si>
  <si>
    <t>Weld's progressive English grammar : illustrated with copious exercises in analysis, parsing, and composition, adapted to schools and academies of every grade /</t>
  </si>
  <si>
    <t>Weld, Allen Hayden,</t>
  </si>
  <si>
    <t>nyp.33433069248205</t>
  </si>
  <si>
    <t>008675408</t>
  </si>
  <si>
    <t>Elementary lessons in English for home and school use. [Part 1]</t>
  </si>
  <si>
    <t>nyp.33433069248130</t>
  </si>
  <si>
    <t>008675410</t>
  </si>
  <si>
    <t>nyp.33433069257222</t>
  </si>
  <si>
    <t>008675415</t>
  </si>
  <si>
    <t>A grammar of the English tongue. To which are added exercises in bad English, to be corrected by the rules of syntax.</t>
  </si>
  <si>
    <t>Coar, Thomas.</t>
  </si>
  <si>
    <t>nyp.33433069257347</t>
  </si>
  <si>
    <t>008675416</t>
  </si>
  <si>
    <t>A grammar of the English language : in a series of letters /</t>
  </si>
  <si>
    <t>nyp.33433069257255</t>
  </si>
  <si>
    <t>008675417</t>
  </si>
  <si>
    <t>A new guide to the English tongue : in five parts /</t>
  </si>
  <si>
    <t>Dilworth, Thomas,</t>
  </si>
  <si>
    <t>nyp.33433081988531</t>
  </si>
  <si>
    <t>008675420</t>
  </si>
  <si>
    <t>Elementary grammar, etymology and syntax. Abridged from the octavo edition of the "English language in its elements and forms." Designed for general use in common schools.</t>
  </si>
  <si>
    <t>Fowler, William Chauncey,</t>
  </si>
  <si>
    <t>njp.32101071985798</t>
  </si>
  <si>
    <t>008675421</t>
  </si>
  <si>
    <t>English grammar : The English language in its elements and forms ; with a history of its origin and development ; designed for use in colleges and schools /</t>
  </si>
  <si>
    <t>nyp.33433081988168</t>
  </si>
  <si>
    <t>hvd.hwk7n6</t>
  </si>
  <si>
    <t>008675422</t>
  </si>
  <si>
    <t>English grammar. The English language in its elements and forms. With a history of its origin and development. Designed for use in colleges and schools.</t>
  </si>
  <si>
    <t>nyp.33433069256869</t>
  </si>
  <si>
    <t>nyp.33433069257081</t>
  </si>
  <si>
    <t>008675424</t>
  </si>
  <si>
    <t>High school exercises in grammar /</t>
  </si>
  <si>
    <t>Frank, Maude Morrison,</t>
  </si>
  <si>
    <t>nyp.33433069257271</t>
  </si>
  <si>
    <t>008675425</t>
  </si>
  <si>
    <t>English grammar /</t>
  </si>
  <si>
    <t>Gjerset, Knut,</t>
  </si>
  <si>
    <t>nyp.33433082310933</t>
  </si>
  <si>
    <t>008675426</t>
  </si>
  <si>
    <t>Greene's analysis. A treatise on the structure of the English language; or, The analysis and classification of sentences and their component parts with illustrations and exercises, adapted to the use of schools,</t>
  </si>
  <si>
    <t>nyp.33433069257123</t>
  </si>
  <si>
    <t>008675428</t>
  </si>
  <si>
    <t>A grammar of the English language /</t>
  </si>
  <si>
    <t>The principles of English grammar : comprising the substance of the most approved English grammars extant, with copious exercises in parsing and syntax : and an appendix of various and useful matters for the use of schools /</t>
  </si>
  <si>
    <t>nyp.33433069257149</t>
  </si>
  <si>
    <t>008675272</t>
  </si>
  <si>
    <t>The principles of English grammar.</t>
  </si>
  <si>
    <t>nyp.33433081638755</t>
  </si>
  <si>
    <t>008675273</t>
  </si>
  <si>
    <t>A critical pronouncing dictionary, and expositor of the English language: in which not only the meaning of every word is explained and the sound of every syllable distinctly shown, but, where words are subject to different pronunciations ...</t>
  </si>
  <si>
    <t>nyp.33433069257230</t>
  </si>
  <si>
    <t>008675284</t>
  </si>
  <si>
    <t>A practical grammar : in which words, phrases, and sentences are classified according to their offices, and their relation to each other. Illustrated by a complete system of diagrams /</t>
  </si>
  <si>
    <t>nyp.33433069247769</t>
  </si>
  <si>
    <t>008675348</t>
  </si>
  <si>
    <t>Practical grammar, based upon the text of Longfellow's "Evangeline" and a selection from Prescott's "Conquest of Mexico,"</t>
  </si>
  <si>
    <t>Sayrs, William Christopher,</t>
  </si>
  <si>
    <t>nyp.33433069247801</t>
  </si>
  <si>
    <t>008675349</t>
  </si>
  <si>
    <t>The teachers' manual of English grammar : consisting of three parts in one volume : Part I. contains the principles of analysis, or parsing : Part II. contains observations upon orthography, etymology, and syntax : Part III. contains the principles of the synthesis, or the idiom of the English language /</t>
  </si>
  <si>
    <t>Spear, Matthew P.</t>
  </si>
  <si>
    <t>wu.89099897423</t>
  </si>
  <si>
    <t>nyp.33433069247751</t>
  </si>
  <si>
    <t>008675351</t>
  </si>
  <si>
    <t>Sentence improvement, a practice book in applied grammar,</t>
  </si>
  <si>
    <t>nyp.33433069247512</t>
  </si>
  <si>
    <t>008675352</t>
  </si>
  <si>
    <t>Everyday English writing,</t>
  </si>
  <si>
    <t>Stoddard, William Leavitt,</t>
  </si>
  <si>
    <t>nyp.33433069248114</t>
  </si>
  <si>
    <t>008675354</t>
  </si>
  <si>
    <t>nyp.33433069248189</t>
  </si>
  <si>
    <t>008675361</t>
  </si>
  <si>
    <t>English for Italians (Lezioni d'inglese per gl'Italiani)</t>
  </si>
  <si>
    <t>Waller, Edith.</t>
  </si>
  <si>
    <t>nyp.33433069248171</t>
  </si>
  <si>
    <t>008675362</t>
  </si>
  <si>
    <t>Sentence and theme : composition for the first year of high school /</t>
  </si>
  <si>
    <t>nyp.33433069247991</t>
  </si>
  <si>
    <t>008675401</t>
  </si>
  <si>
    <t>The elements of English grammar /</t>
  </si>
  <si>
    <t>wu.89099902991</t>
  </si>
  <si>
    <t>hvd.32044097057517</t>
  </si>
  <si>
    <t>008675259</t>
  </si>
  <si>
    <t>The first lines of English grammar : being a brief abstract of the author's larger work, designed for young learners /</t>
  </si>
  <si>
    <t>nyp.33433081988515</t>
  </si>
  <si>
    <t>nyp.33433082310776</t>
  </si>
  <si>
    <t>008675260</t>
  </si>
  <si>
    <t>The first lines of English grammar : being a brief abstract of the author's larger work : designed for young learners /</t>
  </si>
  <si>
    <t>nyp.33433081638748</t>
  </si>
  <si>
    <t>008675263</t>
  </si>
  <si>
    <t>Walker's critical pronouncing dictionary, and expositor of the English language : to which is annexed an abridgment of Walker's key to the pronunciation of Greek, Latin, and scripture proper names.</t>
  </si>
  <si>
    <t>nyp.33433069257164</t>
  </si>
  <si>
    <t>008675265</t>
  </si>
  <si>
    <t>The first lines of English grammar : being a brief abstract of the author's larger work the "Institutes of English grammar" : designed for young learners /</t>
  </si>
  <si>
    <t>nyp.33433082310826</t>
  </si>
  <si>
    <t>008675267</t>
  </si>
  <si>
    <t>The institutes of English grammar, methodically arranged : with examples for parsing, questions for examination, false syntax for correction, exercises for writing, observations for the advanced student, and a key to the oral exercises ; to which are added four appendixes. Designed for the use of schools, academies, and private learners /</t>
  </si>
  <si>
    <t>nyp.33433069257172</t>
  </si>
  <si>
    <t>008675268</t>
  </si>
  <si>
    <t>The institutes of English grammar, methodically arranged : with forms of parsing and correcting, examples for parsing, questions for examination, false syntax for correction, exercises for writing, observations for the advanced student, methods of analysis, and a key to the oral execises, to which are added five appendixes : designed for the use of schools, academies, and private learners /</t>
  </si>
  <si>
    <t>nyp.33433082310925</t>
  </si>
  <si>
    <t>008675269</t>
  </si>
  <si>
    <t>The institutes of English grammar, methodically arranged : with copious language lessons, also a key to the examples of false syntax : designed for the use of schools, academies, and private students /</t>
  </si>
  <si>
    <t>nyp.33433082310743</t>
  </si>
  <si>
    <t>008675271</t>
  </si>
  <si>
    <t>nyp.33433069243941</t>
  </si>
  <si>
    <t>008675252</t>
  </si>
  <si>
    <t>The institutes of English grammar : methodically arranged, with forms for parsing and correcting, examples for parsing, questions for examination, false syntax for correction, exercises for writing, observations for the advanced student, five methods of analysis, and a key to the oral exercises : to which are added four appendixes : designed for the use of schools, academies, and private learners /</t>
  </si>
  <si>
    <t>nyp.33433069243958</t>
  </si>
  <si>
    <t>008675253</t>
  </si>
  <si>
    <t>The institutes of English grammar, methodically arranged : with forms of parsing and correcting, examples for parsing, questions for examination, false syntax for correction, exercises for writing, observations for the advanced student, five methods of analysis, and a key to the oral exercises : to which are added four appendixes : designed for the use of schools, academies, and private learners /</t>
  </si>
  <si>
    <t>nyp.33433069257180</t>
  </si>
  <si>
    <t>008675254</t>
  </si>
  <si>
    <t>The institutes of English grammar, methodically arranged : with forms of parsing and correcting, examples for parsing, questions for examination, false syntax for correction, exercises for writing, observations for the advanced student, methods of analysis, and a key to the oral exercises : to which are added four appendixes : designed for the use of schools, academies, and private learners /</t>
  </si>
  <si>
    <t>nyp.33433082310909</t>
  </si>
  <si>
    <t>008675255</t>
  </si>
  <si>
    <t>The institutes of English grammar, methodically arranged : with forms of parsing and correcting, examples for parsing, questions for examination, false syntax for correction, exercises for writing, observations for the advanced student, methods of analysis, and a key to the oral exercises, to which are added five appendixes : designed for the use of schools, academies, and private learners /</t>
  </si>
  <si>
    <t>nyp.33433082310727</t>
  </si>
  <si>
    <t>008675258</t>
  </si>
  <si>
    <t>Brown's Small grammar improved : the first lines of English grammar; being a brief abstract of the author's larger work, the "Institutes of English grammar." Designed for young learners /</t>
  </si>
  <si>
    <t>Key to the exercises adapted to Murray's English grammar : Calculated to enable private learners to become their own instructors in grammar and composition /</t>
  </si>
  <si>
    <t>nyp.33433081988440</t>
  </si>
  <si>
    <t>008675200</t>
  </si>
  <si>
    <t>Key to the exercises, adapted to Murray's English grammar : calculated to enable private learners to become their own instructers [sic], in grammar and composition /</t>
  </si>
  <si>
    <t>nyp.33433069247942</t>
  </si>
  <si>
    <t>008675202</t>
  </si>
  <si>
    <t>Key to the exercises adapted to Murray's English grammar, calculated to enable private learners to become their own instructors in grammar and composition.</t>
  </si>
  <si>
    <t>nyp.33433069247900</t>
  </si>
  <si>
    <t>008675224</t>
  </si>
  <si>
    <t>Essentials of English, first-2nd book,</t>
  </si>
  <si>
    <t>inu.30000109083349</t>
  </si>
  <si>
    <t>008675225</t>
  </si>
  <si>
    <t>The juvenile expositor : or, Sequel to the common spelling-book ; containing a collection of the most useful words in the English language, clearly explained, and adapted to the comprehension of young persons ; being an introduction to Walker's dictionary ; with a course of reading lessons in prose and verse... ; to which is added the abridgment of Murray's English grammar, with his latest improvements, additions, and corrections ; with an additional appendix... /</t>
  </si>
  <si>
    <t>nyp.33433081988424</t>
  </si>
  <si>
    <t>nyp.33433069255184</t>
  </si>
  <si>
    <t>008675234</t>
  </si>
  <si>
    <t>The grammar of English grammars, with an introduction, historical and critical;</t>
  </si>
  <si>
    <t>nyp.33433069247686</t>
  </si>
  <si>
    <t>008675235</t>
  </si>
  <si>
    <t>English exercises ... With which the corresponding notes, rules, and observations in Murray's grammar are incorporated; also references in promiscuous exercises to the rules by which the errours are to be corrected.</t>
  </si>
  <si>
    <t>nyp.33433069257248</t>
  </si>
  <si>
    <t>008675239</t>
  </si>
  <si>
    <t>Inductive studies in English grammar,</t>
  </si>
  <si>
    <t>Harper, William Rainey,</t>
  </si>
  <si>
    <t>nyp.33433082310834</t>
  </si>
  <si>
    <t>008675245</t>
  </si>
  <si>
    <t>An English grammar for the higher grades in grammar schools : adapted from "Essentials of English grammar" /</t>
  </si>
  <si>
    <t>nyp.33433082310867</t>
  </si>
  <si>
    <t>008675246</t>
  </si>
  <si>
    <t>The accusative with infinitive and some kindred constructions in English ...</t>
  </si>
  <si>
    <t>Zeitlin, Jacob,</t>
  </si>
  <si>
    <t>nyp.33433069256307</t>
  </si>
  <si>
    <t>pt. 1</t>
  </si>
  <si>
    <t>nyp.33433081968475</t>
  </si>
  <si>
    <t>008675171</t>
  </si>
  <si>
    <t>The new and complete dictionary of the English language. To which is prefixed, a comprehensive grammar.</t>
  </si>
  <si>
    <t>nyp.33433081968483</t>
  </si>
  <si>
    <t>v. 2 (N-Z)</t>
  </si>
  <si>
    <t>nyp.33433069247710</t>
  </si>
  <si>
    <t>008675181</t>
  </si>
  <si>
    <t>School grammar /</t>
  </si>
  <si>
    <t>Maxwell, William Henry,</t>
  </si>
  <si>
    <t>nyp.33433069247967</t>
  </si>
  <si>
    <t>008675182</t>
  </si>
  <si>
    <t>The Mother tongue, book I-2</t>
  </si>
  <si>
    <t>nyp.33433069247975</t>
  </si>
  <si>
    <t>nyp.33433069247876</t>
  </si>
  <si>
    <t>008675184</t>
  </si>
  <si>
    <t>An abridgement of Murray's English grammar and exercises : with improvements designed as a text book for the use of schools in the United States /</t>
  </si>
  <si>
    <t>nyp.33433075914642</t>
  </si>
  <si>
    <t>008675186</t>
  </si>
  <si>
    <t>A supplement to the Imperial dictionary, English, technological, and scientific : an extensive collection of words, terms, and phrases ... together with numerous obsolete, obsolescent, and Scottish words ... not included in previous English dictionaries /</t>
  </si>
  <si>
    <t>nyp.33433069247413</t>
  </si>
  <si>
    <t>008675187</t>
  </si>
  <si>
    <t>The gradual reader : first step ; or, Exercises in articulation designed to develop and strengthen the organs of speech, and to facilitate the correct utterance of the elementary sounds and their combinations with reading lessons for pupils in younger classes /</t>
  </si>
  <si>
    <t>Tower, David B.</t>
  </si>
  <si>
    <t>nyp.33433069247868</t>
  </si>
  <si>
    <t>008675189</t>
  </si>
  <si>
    <t>English exercises : adapted to the grammar lately published by L. Murray ... Designed for the benefit of private learners, as well as for the use of schools /</t>
  </si>
  <si>
    <t>nyp.33433069247884</t>
  </si>
  <si>
    <t>008675191</t>
  </si>
  <si>
    <t>English exercises, adapted to Murray's English grammar : consisting of exercises ... and violations of the rules respecting perspicuous and accurate writing, designed for the benefit of private learners, as well as for the use of schools /</t>
  </si>
  <si>
    <t>nyp.33433069247652</t>
  </si>
  <si>
    <t>008675196</t>
  </si>
  <si>
    <t>English exercises, adapted to Murray's English grammar ... Designed for the benefit of private learners, as well as for the use of schools.</t>
  </si>
  <si>
    <t>nyp.33433081988457</t>
  </si>
  <si>
    <t>008675198</t>
  </si>
  <si>
    <t>Practical lessons in the use of English for grammar schools, with supplement.</t>
  </si>
  <si>
    <t>nyp.33433069247736</t>
  </si>
  <si>
    <t>008675040</t>
  </si>
  <si>
    <t>Conversations on English grammar : explaining the principles and rules of the language : illustrated by appropriate exercises, abridged and adapted to the use of schools /</t>
  </si>
  <si>
    <t>nyp.33433075914667</t>
  </si>
  <si>
    <t>008675049</t>
  </si>
  <si>
    <t>Essay on the archaeology of our popular phrases : terms and nursery rhymes /</t>
  </si>
  <si>
    <t>nyp.33433075914675</t>
  </si>
  <si>
    <t>nyp.33433082310701</t>
  </si>
  <si>
    <t>008675055</t>
  </si>
  <si>
    <t>A glossary : or, Collection of words, phrases, names, and allusions to customs, proverbs, etc., which have been thought to require illustration, in the words of English authors, particularly Shakespeare, and his contemporaries /</t>
  </si>
  <si>
    <t>nyp.33433082310719</t>
  </si>
  <si>
    <t>nyp.33433081968426</t>
  </si>
  <si>
    <t>008675064</t>
  </si>
  <si>
    <t>Historical outlines of English accidence, comprising chapters on the history and development of the language, and on word formation.</t>
  </si>
  <si>
    <t>nyp.33433081989471</t>
  </si>
  <si>
    <t>008675073</t>
  </si>
  <si>
    <t>The juvenile expositor, or, American school class-book, no. 4, improved and enlarged : embracing radical and derivative orthography : with concise and appropriate definitions ... together with a grammar ... /</t>
  </si>
  <si>
    <t>nyp.33433082312343</t>
  </si>
  <si>
    <t>008675077</t>
  </si>
  <si>
    <t>On transferred appellations of human beings</t>
  </si>
  <si>
    <t>Reinius, Josef,</t>
  </si>
  <si>
    <t>nyp.33433081638821</t>
  </si>
  <si>
    <t>008675098</t>
  </si>
  <si>
    <t>An etymological manual of the English and French languages /</t>
  </si>
  <si>
    <t>nyp.33433081968434</t>
  </si>
  <si>
    <t>008675140</t>
  </si>
  <si>
    <t>On the study of words : lectures addressed (originally) to the pupils of the diocesan training-school, Winchester /</t>
  </si>
  <si>
    <t>nyp.33433069247629</t>
  </si>
  <si>
    <t>008675160</t>
  </si>
  <si>
    <t>Studies in English composition : with lessons in language and rhetoric /</t>
  </si>
  <si>
    <t>nyp.33433082311246</t>
  </si>
  <si>
    <t>008675164</t>
  </si>
  <si>
    <t>The elements of English grammar.</t>
  </si>
  <si>
    <t>nyp.33433069256323</t>
  </si>
  <si>
    <t>008675165</t>
  </si>
  <si>
    <t>nyp.33433069256315</t>
  </si>
  <si>
    <t>008675166</t>
  </si>
  <si>
    <t>Lessons in English : grammar and composition /</t>
  </si>
  <si>
    <t>Long, C. C.</t>
  </si>
  <si>
    <t>nyp.33433069256299</t>
  </si>
  <si>
    <t>008675167</t>
  </si>
  <si>
    <t>New language exercises for primary schools /</t>
  </si>
  <si>
    <t>pt. 2</t>
  </si>
  <si>
    <t>Johnson's Dictionary of the English language, in miniature : to which are added, an alphabetical account of the heathen deities, and a copious chronological table of remarkable events, discoveries and inventions /</t>
  </si>
  <si>
    <t>nyp.33433081987939</t>
  </si>
  <si>
    <t>008674981</t>
  </si>
  <si>
    <t>Johnson's English dictionary, as improved by Todd and abridged by Chalmers; with Walker's pronouncing dictionary, combined, to which is added Walker's key to the classical pronounciation of Greek, Latin and Scripture proper names</t>
  </si>
  <si>
    <t>nyp.33433081987905</t>
  </si>
  <si>
    <t>008674984</t>
  </si>
  <si>
    <t>Johnson's English dictionary,</t>
  </si>
  <si>
    <t>nyp.33433069257362</t>
  </si>
  <si>
    <t>008674985</t>
  </si>
  <si>
    <t>Johnson's dictionary of the English language in miniature. To which are added, an alphabetical account of the heathen deities, and a copious chronological table of remarkable events, discoveries and inventions in Europe.</t>
  </si>
  <si>
    <t>nyp.33433081968327</t>
  </si>
  <si>
    <t>008674996</t>
  </si>
  <si>
    <t>Word gossip: A series of familiar essays on words and their pecularities.</t>
  </si>
  <si>
    <t>Blackley, William Lewery,</t>
  </si>
  <si>
    <t>nyp.33433081968384</t>
  </si>
  <si>
    <t>008674999</t>
  </si>
  <si>
    <t>The Scholar's companion, or, A guide to the orthography pronunciation and derivation of the English language : containing besides several other important improvements, extensive tables of words, deduced from their Greek and Latin roots : designed for schools and academies, and also for students in elocution, arranged on the basis of the fifteenth London edition of Butter's Etymological spelling-book and expositor /</t>
  </si>
  <si>
    <t>nyp.33433081968392</t>
  </si>
  <si>
    <t>008675000</t>
  </si>
  <si>
    <t>The scholar's companion ; containing exercises in the orthography, derivation, and classification of English words.</t>
  </si>
  <si>
    <t>Bailey, Rufus William,</t>
  </si>
  <si>
    <t>nyp.33433082312392</t>
  </si>
  <si>
    <t>008675033</t>
  </si>
  <si>
    <t>A Hand-book of Anglo-Saxon derivatives : on the basis of the hand-book of Anglo-Saxon root-words /</t>
  </si>
  <si>
    <t>nyp.33433069256760</t>
  </si>
  <si>
    <t>008675035</t>
  </si>
  <si>
    <t>Progressive course in English : Teachers' manual /</t>
  </si>
  <si>
    <t>Hoenshel, E. J.</t>
  </si>
  <si>
    <t>nyp.33433069256489</t>
  </si>
  <si>
    <t>008675039</t>
  </si>
  <si>
    <t>A rhetorical grammar : in which the common improprieties in reading and speaking are detected and the true sources of elegant pronunciation are pointed out. With a complete analysis of the voice ... and the several figures of rhetoric. To which are added outlines of composition, or plain rules for writing orations and speaking them in public /</t>
  </si>
  <si>
    <t>nyp.33433081620621</t>
  </si>
  <si>
    <t>008673826</t>
  </si>
  <si>
    <t>Quintilian's Institutes of the orator, in twelve books.</t>
  </si>
  <si>
    <t>nyp.33433075867808</t>
  </si>
  <si>
    <t>008673907</t>
  </si>
  <si>
    <t>Grammatica Anglicana et Danica concentrata. Eller Engelske og Danske Grammatika i et kort Begreb ...</t>
  </si>
  <si>
    <t>Arnold, Theodor.</t>
  </si>
  <si>
    <t>nyp.33433082177118</t>
  </si>
  <si>
    <t>008674180</t>
  </si>
  <si>
    <t>The historical study of the mother tongue : an introduction to philological method /</t>
  </si>
  <si>
    <t>nyp.33433082313226</t>
  </si>
  <si>
    <t>008674267</t>
  </si>
  <si>
    <t>A grammar of the Latin language.</t>
  </si>
  <si>
    <t>Zumpt, Karl Gottlob,</t>
  </si>
  <si>
    <t>nyp.33433082286091</t>
  </si>
  <si>
    <t>008674601</t>
  </si>
  <si>
    <t>The Yersin phono-rhythmic method of French prounciation, accent, and diction; French and English,</t>
  </si>
  <si>
    <t>loc.ark:/13960/t9183sv63</t>
  </si>
  <si>
    <t>008674781</t>
  </si>
  <si>
    <t>Outline of work in elementary language. /</t>
  </si>
  <si>
    <t>Morey, Amelia.</t>
  </si>
  <si>
    <t>nyp.33433081982260</t>
  </si>
  <si>
    <t>njp.32101066874569</t>
  </si>
  <si>
    <t>008674791</t>
  </si>
  <si>
    <t>The rudiments of Latin and English grammar.</t>
  </si>
  <si>
    <t>nyp.33433082259817</t>
  </si>
  <si>
    <t>njp.32101071985855</t>
  </si>
  <si>
    <t>008674810</t>
  </si>
  <si>
    <t>nyp.33433081982195</t>
  </si>
  <si>
    <t>hvd.hwp9cq</t>
  </si>
  <si>
    <t>008674821</t>
  </si>
  <si>
    <t>English language.</t>
  </si>
  <si>
    <t>nyp.33433081982203</t>
  </si>
  <si>
    <t>nyp.33433081982393</t>
  </si>
  <si>
    <t>008674841</t>
  </si>
  <si>
    <t>Exercises in orthography : or, easy, instructive and entertaining lessons, selected from the best writers, designed to assist young persons to spell with accuracy and effect /</t>
  </si>
  <si>
    <t>Good, Peter P.</t>
  </si>
  <si>
    <t>nyp.33433081982427</t>
  </si>
  <si>
    <t>008674844</t>
  </si>
  <si>
    <t>Hazen's complete spelling-book for all grades of public and private schools. Containing three parts adapted to primary, intermediate, grammar and high schools.</t>
  </si>
  <si>
    <t>Hazen, M. W.</t>
  </si>
  <si>
    <t>nyp.33433081987871</t>
  </si>
  <si>
    <t>008674976</t>
  </si>
  <si>
    <t>An essay on criticism. Written in the year MDCCIX.</t>
  </si>
  <si>
    <t>nyp.33433074870100</t>
  </si>
  <si>
    <t>008666224</t>
  </si>
  <si>
    <t>From nowhere to the North Pole : a Noah's ark-æological narrative /</t>
  </si>
  <si>
    <t>nyp.33433074925839</t>
  </si>
  <si>
    <t>008668384</t>
  </si>
  <si>
    <t>Lexiphanes, a dialogue. Imitated from Lucian, and suited to the present times. Being an attempt to restore the English tongue to its ancient purity, and to correct, as well as expose, the affected style ... of our English Lexiphanes, the Rambler.</t>
  </si>
  <si>
    <t>Campbell, Archibald,</t>
  </si>
  <si>
    <t>hvd.32044018707141</t>
  </si>
  <si>
    <t>008668512</t>
  </si>
  <si>
    <t>The tour of Doctor Syntax, in search of the picturesque, a poem,</t>
  </si>
  <si>
    <t>nyp.33433074931647</t>
  </si>
  <si>
    <t>008668515</t>
  </si>
  <si>
    <t>The three tours of Doctor Syntax : [poems] : in search of 1. the picturesque, 2. of consolation, 3. of a wife : the text complete.</t>
  </si>
  <si>
    <t>nyp.33433074950746</t>
  </si>
  <si>
    <t>008668758</t>
  </si>
  <si>
    <t>Critical and miscellaneous essays:</t>
  </si>
  <si>
    <t>nyp.33433074950753</t>
  </si>
  <si>
    <t>nyp.33433074950761</t>
  </si>
  <si>
    <t>nyp.33433074950779</t>
  </si>
  <si>
    <t>nyp.33433074960331</t>
  </si>
  <si>
    <t>008669346</t>
  </si>
  <si>
    <t>Reviews, essays, and poems /</t>
  </si>
  <si>
    <t>nyp.33433074931613</t>
  </si>
  <si>
    <t>008670598</t>
  </si>
  <si>
    <t>The [first to the third] tour of Doctor Syntax ... A poem.</t>
  </si>
  <si>
    <t>nyp.33433074931803</t>
  </si>
  <si>
    <t>nyp.33433074931639</t>
  </si>
  <si>
    <t>008670678</t>
  </si>
  <si>
    <t>The tour of Doctor Syntax in search of the picturesque.</t>
  </si>
  <si>
    <t>nyp.33433082522891</t>
  </si>
  <si>
    <t>008673019</t>
  </si>
  <si>
    <t>A practical manual of elocution : embracing voice and gesture ; designed for schools, academies and colleges, as well as for private learners /</t>
  </si>
  <si>
    <t>nyp.33433082522578</t>
  </si>
  <si>
    <t>008673021</t>
  </si>
  <si>
    <t>Principles of elocution : containing numerous rules, observations, and exercises, on pronunciation, pauses, inflections, accent, and emphasis; also copious extracts in prose and poetry, calculated to assist the teacher, and to improve the pupil in reading and recitation /</t>
  </si>
  <si>
    <t>Ewing, Thomas.</t>
  </si>
  <si>
    <t>nyp.33433082523600</t>
  </si>
  <si>
    <t>008673089</t>
  </si>
  <si>
    <t>008662543</t>
  </si>
  <si>
    <t>Evangeline. Courtship of Miles Standish. Favorite poems.</t>
  </si>
  <si>
    <t>hvd.hnkx5w</t>
  </si>
  <si>
    <t>008662598</t>
  </si>
  <si>
    <t>nyp.33433074834882</t>
  </si>
  <si>
    <t>008662623</t>
  </si>
  <si>
    <t>Letters to a young lady on a course of English poetry /</t>
  </si>
  <si>
    <t>hvd.32044011235348</t>
  </si>
  <si>
    <t>008662672</t>
  </si>
  <si>
    <t>Lectures on English poetry; to the time of Milton.</t>
  </si>
  <si>
    <t>Busby, Stanhope.</t>
  </si>
  <si>
    <t>nyp.33433074834924</t>
  </si>
  <si>
    <t>nyp.33433074849468</t>
  </si>
  <si>
    <t>008662704</t>
  </si>
  <si>
    <t>Horæ lyricæ : poems, chiefly of the lyric kind, in three books, sacred : I. To devotion and piety, II. To virtue, honour and friendship, III. To the memory of the dead /</t>
  </si>
  <si>
    <t>Watts, Isaac,</t>
  </si>
  <si>
    <t>nyp.33433074838024</t>
  </si>
  <si>
    <t>008662715</t>
  </si>
  <si>
    <t>nyp.33433074838032</t>
  </si>
  <si>
    <t>nyp.33433074838040</t>
  </si>
  <si>
    <t>hvd.32044009877606</t>
  </si>
  <si>
    <t>008662719</t>
  </si>
  <si>
    <t>Horæ Lyricæ and divine songs /</t>
  </si>
  <si>
    <t>hvd.hwtwr9</t>
  </si>
  <si>
    <t>008663306</t>
  </si>
  <si>
    <t>Philip van Artevelde; a dramatic romance, in two parts.</t>
  </si>
  <si>
    <t>nyp.33433074828306</t>
  </si>
  <si>
    <t>008664460</t>
  </si>
  <si>
    <t>Reading and the mind, with something to read ...</t>
  </si>
  <si>
    <t>nyp.33433074785258</t>
  </si>
  <si>
    <t>008664499</t>
  </si>
  <si>
    <t>A history of English literature, in a series of biographical sketches.</t>
  </si>
  <si>
    <t>nyp.33433074785233</t>
  </si>
  <si>
    <t>008664503</t>
  </si>
  <si>
    <t>A history of English literature in a series of biographical sketches.</t>
  </si>
  <si>
    <t>nyp.33433076011273</t>
  </si>
  <si>
    <t>008665126</t>
  </si>
  <si>
    <t>English poetry; its principles and progress, with representative masterpieces and notes,</t>
  </si>
  <si>
    <t>nyp.33433074834957</t>
  </si>
  <si>
    <t>008665204</t>
  </si>
  <si>
    <t>The English poets : selections with critical introductions /</t>
  </si>
  <si>
    <t>v. 1 (Chaucer to Donne)</t>
  </si>
  <si>
    <t>nyp.33433074834965</t>
  </si>
  <si>
    <t>v. 2 (Ben Jonson to Dryden)</t>
  </si>
  <si>
    <t>nyp.33433074834973</t>
  </si>
  <si>
    <t>v. 3 (Browning to Rupert Brooke)</t>
  </si>
  <si>
    <t>nyp.33433074834981</t>
  </si>
  <si>
    <t>v. 4 (Wordsworth to Tennyson)</t>
  </si>
  <si>
    <t>nyp.33433074834163</t>
  </si>
  <si>
    <t>008665380</t>
  </si>
  <si>
    <t>Poetry for schools; designed for reading and recitation. The whole selected from the best poets in the English language.</t>
  </si>
  <si>
    <t>Robbins, Eliza,</t>
  </si>
  <si>
    <t>nyp.33433074855697</t>
  </si>
  <si>
    <t>008665467</t>
  </si>
  <si>
    <t>The poetical works of Oliver Goldsmith ... To which is prefixed an account of the author's life.</t>
  </si>
  <si>
    <t>nyp.33433074852371</t>
  </si>
  <si>
    <t>008665504</t>
  </si>
  <si>
    <t>Chapters in the history of English literature, from 1509 to the close of the Elizabethan period.</t>
  </si>
  <si>
    <t>Crofts, Ellen.</t>
  </si>
  <si>
    <t>nyp.33433075802011</t>
  </si>
  <si>
    <t>008661338</t>
  </si>
  <si>
    <t>nyp.33433075801997</t>
  </si>
  <si>
    <t>008661339</t>
  </si>
  <si>
    <t>nyp.33433074785506</t>
  </si>
  <si>
    <t>008661437</t>
  </si>
  <si>
    <t>History of the English language and literature /</t>
  </si>
  <si>
    <t>nyp.33433074834841</t>
  </si>
  <si>
    <t>008661512</t>
  </si>
  <si>
    <t>The English poets: Lessing, Rousseau; essays,</t>
  </si>
  <si>
    <t>nyp.33433074834338</t>
  </si>
  <si>
    <t>008661634</t>
  </si>
  <si>
    <t>Political verse /</t>
  </si>
  <si>
    <t>nyp.33433074834320</t>
  </si>
  <si>
    <t>008661642</t>
  </si>
  <si>
    <t>wu.89099138869</t>
  </si>
  <si>
    <t>008661909</t>
  </si>
  <si>
    <t>The home book of verse; American and English, 1580-1912, with an appendix containing a few well-known poems in other languages.</t>
  </si>
  <si>
    <t>wu.89099138885</t>
  </si>
  <si>
    <t>wu.89099138901</t>
  </si>
  <si>
    <t>wu.89099138927</t>
  </si>
  <si>
    <t>wu.89099138943</t>
  </si>
  <si>
    <t>wu.89099138968</t>
  </si>
  <si>
    <t>wu.89099138984</t>
  </si>
  <si>
    <t>nyp.33433074840228</t>
  </si>
  <si>
    <t>008661942</t>
  </si>
  <si>
    <t>Great English poets.</t>
  </si>
  <si>
    <t>Hill, Julian.</t>
  </si>
  <si>
    <t>nyp.33433074840103</t>
  </si>
  <si>
    <t>008661954</t>
  </si>
  <si>
    <t>The history of English poetry : from the close of the eleventh century to the commencement of the eighteenth century.</t>
  </si>
  <si>
    <t>nyp.33433074840111</t>
  </si>
  <si>
    <t>nyp.33433074840129</t>
  </si>
  <si>
    <t>nyp.33433074840145</t>
  </si>
  <si>
    <t>008662011</t>
  </si>
  <si>
    <t>English meditative lyrics,</t>
  </si>
  <si>
    <t>nyp.33433074844808</t>
  </si>
  <si>
    <t>008662066</t>
  </si>
  <si>
    <t>Longer English poems, with notes philological and explanatory and an introduction on the teaching of English.</t>
  </si>
  <si>
    <t>loc.ark:/13960/t7gq7t237</t>
  </si>
  <si>
    <t>008662287</t>
  </si>
  <si>
    <t>The middle English penitential lyric; a study and collection of early religious verse,</t>
  </si>
  <si>
    <t>Patterson, Frank Allen,</t>
  </si>
  <si>
    <t>nyp.33433074786405</t>
  </si>
  <si>
    <t>008662386</t>
  </si>
  <si>
    <t>A short history of English literature.</t>
  </si>
  <si>
    <t>nyp.33433074786447</t>
  </si>
  <si>
    <t>008662438</t>
  </si>
  <si>
    <t>Introduction to the study of English literature,</t>
  </si>
  <si>
    <t>nyp.33433076078702</t>
  </si>
  <si>
    <t>008662444</t>
  </si>
  <si>
    <t>The English reader, or, Pieces in prose and poetry selected from the best writers : designed to assist young persons to read with propriety and effect, to improve their language and sentiments, and to inculcate some of the most important principles of piety and virtue ...</t>
  </si>
  <si>
    <t>nyp.33433082500418</t>
  </si>
  <si>
    <t>The progressive composition lessons; book two, fifth and sixth years,</t>
  </si>
  <si>
    <t>v. 2, p. 1</t>
  </si>
  <si>
    <t>Brautigam, Ida M.</t>
  </si>
  <si>
    <t>nyp.33433082511902</t>
  </si>
  <si>
    <t>v. 2, p. 2</t>
  </si>
  <si>
    <t>nyp.33433082512280</t>
  </si>
  <si>
    <t>008659619</t>
  </si>
  <si>
    <t>Elements of rhetoric and English composition; first high school course,</t>
  </si>
  <si>
    <t>nyp.33433082512272</t>
  </si>
  <si>
    <t>008659622</t>
  </si>
  <si>
    <t>nyp.33433082513627</t>
  </si>
  <si>
    <t>008659635</t>
  </si>
  <si>
    <t>nyp.33433082512173</t>
  </si>
  <si>
    <t>008659636</t>
  </si>
  <si>
    <t>Writing through reading, a suggestive method of writing English, with directions and exercises,</t>
  </si>
  <si>
    <t>nyp.33433082513601</t>
  </si>
  <si>
    <t>008659638</t>
  </si>
  <si>
    <t>The essentials of English composition.</t>
  </si>
  <si>
    <t>hvd.hn23gl</t>
  </si>
  <si>
    <t>008660080</t>
  </si>
  <si>
    <t>nyp.33433082522875</t>
  </si>
  <si>
    <t>nyp.33433082522701</t>
  </si>
  <si>
    <t>008660083</t>
  </si>
  <si>
    <t>Elocutionary studies and new recitations,</t>
  </si>
  <si>
    <t>nyp.33433082522560</t>
  </si>
  <si>
    <t>008660095</t>
  </si>
  <si>
    <t>nyp.33433082522636</t>
  </si>
  <si>
    <t>008660100</t>
  </si>
  <si>
    <t>The reader's guide, containing a notice of the elementary sounds in the English language; instructions for reading both prose and verse, with numerous examples for illustration, and lessons for practice.</t>
  </si>
  <si>
    <t>Hall, John,</t>
  </si>
  <si>
    <t>nyp.33433082522529</t>
  </si>
  <si>
    <t>008660292</t>
  </si>
  <si>
    <t>nyp.33433082523006</t>
  </si>
  <si>
    <t>008660295</t>
  </si>
  <si>
    <t>A manual of elocution, founded upon the philosophy of the human voice. With classified illustrations suggested by and arranged to meet the practical difficulties of instruction.</t>
  </si>
  <si>
    <t>nyp.33433066604590</t>
  </si>
  <si>
    <t>008660298</t>
  </si>
  <si>
    <t>Ross, William T.</t>
  </si>
  <si>
    <t>nyp.33433074827837</t>
  </si>
  <si>
    <t>008660690</t>
  </si>
  <si>
    <t>Reading and the mind : with Something to read /</t>
  </si>
  <si>
    <t>nyp.33433074812524</t>
  </si>
  <si>
    <t>008660738</t>
  </si>
  <si>
    <t>Poetry in song, and some other studies in literature with a few pieces of verse,</t>
  </si>
  <si>
    <t>Dewey, Thomas Emmet,</t>
  </si>
  <si>
    <t>loc.ark:/13960/t9280zf6z</t>
  </si>
  <si>
    <t>008660784</t>
  </si>
  <si>
    <t>nyp.33433074785894</t>
  </si>
  <si>
    <t>008660890</t>
  </si>
  <si>
    <t>nyp.33433074785241</t>
  </si>
  <si>
    <t>008660896</t>
  </si>
  <si>
    <t>nyp.33433074785910</t>
  </si>
  <si>
    <t>008660929</t>
  </si>
  <si>
    <t>nyp.33433074785852</t>
  </si>
  <si>
    <t>008660939</t>
  </si>
  <si>
    <t>Common-school literature, English and American : with several hundred extracts to be memorized /</t>
  </si>
  <si>
    <t>nyp.33433074785225</t>
  </si>
  <si>
    <t>008660988</t>
  </si>
  <si>
    <t>nyp.33433082502406</t>
  </si>
  <si>
    <t>008659286</t>
  </si>
  <si>
    <t>nyp.33433082512363</t>
  </si>
  <si>
    <t>008659346</t>
  </si>
  <si>
    <t>Composition and rhetoric for schools,</t>
  </si>
  <si>
    <t>nyp.33433082521471</t>
  </si>
  <si>
    <t>008659347</t>
  </si>
  <si>
    <t>Poetry as a representative art ...</t>
  </si>
  <si>
    <t>nyp.33433082511340</t>
  </si>
  <si>
    <t>008659352</t>
  </si>
  <si>
    <t>nyp.33433082511753</t>
  </si>
  <si>
    <t>008659387</t>
  </si>
  <si>
    <t>The art of rhetoric made easy: or, The elements of oratory briefly stated, and fitted for the practice of the studious youth of Great Britain and Ireland: in two books. The first comprehending the principles of that excellent art, conformable to, and supported by the authority of the most accurate orators and rhetoricians, both ancient and modern ... The second containing the substance of Longinus's celebrated treatise On the sublime. In both which all technical terms are fully explained.</t>
  </si>
  <si>
    <t>nyp.33433082511746</t>
  </si>
  <si>
    <t>008659388</t>
  </si>
  <si>
    <t>Rhetorical method; a concise treatment of the topics belonging to rhetoric and composition, prepared for use in schools and academies.</t>
  </si>
  <si>
    <t>Jameson, Henry W.</t>
  </si>
  <si>
    <t>nyp.33433082511373</t>
  </si>
  <si>
    <t>008659423</t>
  </si>
  <si>
    <t>Lectures on rhetoric and belles lettres; chiefly from the lectures of Dr. Blair.</t>
  </si>
  <si>
    <t>Mills, Abraham,</t>
  </si>
  <si>
    <t>nyp.33433082521562</t>
  </si>
  <si>
    <t>008659436</t>
  </si>
  <si>
    <t>A rhyming dictionary: answering at the same time the purposes of spelling and pronouncing the English language ...</t>
  </si>
  <si>
    <t>nyp.33433082521273</t>
  </si>
  <si>
    <t>008659466</t>
  </si>
  <si>
    <t>Famous poems explained; helps to reading with the understanding, with biographical notes of the authors represented,</t>
  </si>
  <si>
    <t>Barbe, Waitman,</t>
  </si>
  <si>
    <t>nyp.33433082511571</t>
  </si>
  <si>
    <t>008659467</t>
  </si>
  <si>
    <t>nyp.33433082511563</t>
  </si>
  <si>
    <t>008659476</t>
  </si>
  <si>
    <t>nyp.33433082511282</t>
  </si>
  <si>
    <t>008659539</t>
  </si>
  <si>
    <t>A grammar of rhetoric and polite literature ...</t>
  </si>
  <si>
    <t>nyp.33433082511803</t>
  </si>
  <si>
    <t>008659576</t>
  </si>
  <si>
    <t>Complete rhetoric,</t>
  </si>
  <si>
    <t>Welsh, Alfred H.</t>
  </si>
  <si>
    <t>nyp.33433082511910</t>
  </si>
  <si>
    <t>008659585</t>
  </si>
  <si>
    <t>English composition; adapted to the wants of high schools, preparatory schools, and academies,</t>
  </si>
  <si>
    <t>nyp.33433082511779</t>
  </si>
  <si>
    <t>008659599</t>
  </si>
  <si>
    <t>nyp.33433082511894</t>
  </si>
  <si>
    <t>008659615</t>
  </si>
  <si>
    <t>008658424</t>
  </si>
  <si>
    <t>nyp.33433082511316</t>
  </si>
  <si>
    <t>008658430</t>
  </si>
  <si>
    <t>Lessons in English; language, composition, rhetoric, literature.</t>
  </si>
  <si>
    <t>Lockwood, Sara Elisabeth Husted.</t>
  </si>
  <si>
    <t>nyp.33433082512488</t>
  </si>
  <si>
    <t>008658432</t>
  </si>
  <si>
    <t>The problem of elementary composition; suggestions for its solution,</t>
  </si>
  <si>
    <t>Spalding, Elizabeth H.</t>
  </si>
  <si>
    <t>nyp.33433082512322</t>
  </si>
  <si>
    <t>008658438</t>
  </si>
  <si>
    <t>nyp.33433087360628</t>
  </si>
  <si>
    <t>008658553</t>
  </si>
  <si>
    <t>Poetry, modern romance and rhetoric,</t>
  </si>
  <si>
    <t>Moir, George,</t>
  </si>
  <si>
    <t>nyp.33433082502836</t>
  </si>
  <si>
    <t>008658631</t>
  </si>
  <si>
    <t>nyp.33433082502828</t>
  </si>
  <si>
    <t>008658885</t>
  </si>
  <si>
    <t>Elements of criticism,</t>
  </si>
  <si>
    <t>nyp.33433082515648</t>
  </si>
  <si>
    <t>008658890</t>
  </si>
  <si>
    <t>An abridgment of lectures on rhetoric ... with appropriate questions to each chapter,</t>
  </si>
  <si>
    <t>nyp.33433082515705</t>
  </si>
  <si>
    <t>008658894</t>
  </si>
  <si>
    <t>nyp.33433082502612</t>
  </si>
  <si>
    <t>008659134</t>
  </si>
  <si>
    <t>Composition--rhetoric--literature; a four years' course for secondary schools,</t>
  </si>
  <si>
    <t>nyp.33433082504964</t>
  </si>
  <si>
    <t>008659157</t>
  </si>
  <si>
    <t>English composition; eight lectures given at the Lowell Institute,</t>
  </si>
  <si>
    <t>nyp.33433082502505</t>
  </si>
  <si>
    <t>008659170</t>
  </si>
  <si>
    <t>Elements of rhetoric and literary criticism ... For the use of common schools and academies.</t>
  </si>
  <si>
    <t>nyp.33433082511555</t>
  </si>
  <si>
    <t>008659177</t>
  </si>
  <si>
    <t>Elements of rhetoric and literary criticism, with copious practical exercises and examples, for the use of common schools and academies.</t>
  </si>
  <si>
    <t>nyp.33433082502364</t>
  </si>
  <si>
    <t>008659199</t>
  </si>
  <si>
    <t>Rhetoric and English composition,</t>
  </si>
  <si>
    <t>nyp.33433082512231</t>
  </si>
  <si>
    <t>008659214</t>
  </si>
  <si>
    <t>Fisher, Dorothy Canfield,</t>
  </si>
  <si>
    <t>nyp.33433082512181</t>
  </si>
  <si>
    <t>008659221</t>
  </si>
  <si>
    <t>Handbook of business English,</t>
  </si>
  <si>
    <t>nyp.33433082513569</t>
  </si>
  <si>
    <t>008659226</t>
  </si>
  <si>
    <t>Neal, Robert Wilson.</t>
  </si>
  <si>
    <t>nyp.33433082502307</t>
  </si>
  <si>
    <t>008659229</t>
  </si>
  <si>
    <t>A briefer practical rhetoric,</t>
  </si>
  <si>
    <t>nyp.33433082513528</t>
  </si>
  <si>
    <t>008659236</t>
  </si>
  <si>
    <t>Rhetoric in practice,</t>
  </si>
  <si>
    <t>Newcomer, Alphonso G.</t>
  </si>
  <si>
    <t>nyp.33433082513700</t>
  </si>
  <si>
    <t>008659244</t>
  </si>
  <si>
    <t>The principles of composition,</t>
  </si>
  <si>
    <t>nyp.33433082502448</t>
  </si>
  <si>
    <t>008659278</t>
  </si>
  <si>
    <t>An essay on elocution: with elucidatory passages from various authors ...</t>
  </si>
  <si>
    <t>nyp.33433082513270</t>
  </si>
  <si>
    <t>008659283</t>
  </si>
  <si>
    <t>The new century speaker, writer and etiquette; a standard work on elocution, composition and etiquette; the best selections of the greatest writers of this and other countries ... Programs for special occasions ...</t>
  </si>
  <si>
    <t>Hollinshed, T. Edward.</t>
  </si>
  <si>
    <t>nyp.33433082502950</t>
  </si>
  <si>
    <t>008655592</t>
  </si>
  <si>
    <t>An abridgment of Elements of criticism /</t>
  </si>
  <si>
    <t>nyp.33433082502984</t>
  </si>
  <si>
    <t>008655598</t>
  </si>
  <si>
    <t>nyp.33433082502778</t>
  </si>
  <si>
    <t>008655606</t>
  </si>
  <si>
    <t>nyp.33433082502786</t>
  </si>
  <si>
    <t>nyp.33433082502760</t>
  </si>
  <si>
    <t>008655609</t>
  </si>
  <si>
    <t>nyp.33433082503255</t>
  </si>
  <si>
    <t>008655613</t>
  </si>
  <si>
    <t>nyp.33433082502794</t>
  </si>
  <si>
    <t>008655614</t>
  </si>
  <si>
    <t>nyp.33433082502810</t>
  </si>
  <si>
    <t>008655618</t>
  </si>
  <si>
    <t>nyp.33433082502554</t>
  </si>
  <si>
    <t>008655642</t>
  </si>
  <si>
    <t>nyp.33433082502679</t>
  </si>
  <si>
    <t>008655647</t>
  </si>
  <si>
    <t>Composition and rhetoric based on literary models /</t>
  </si>
  <si>
    <t>nyp.33433076035397</t>
  </si>
  <si>
    <t>008655765</t>
  </si>
  <si>
    <t>Truth : a New Year's gift for scribblers.</t>
  </si>
  <si>
    <t>nyp.33433082510136</t>
  </si>
  <si>
    <t>008655788</t>
  </si>
  <si>
    <t>nyp.33433082510144</t>
  </si>
  <si>
    <t>nyp.33433082510151</t>
  </si>
  <si>
    <t>008655791</t>
  </si>
  <si>
    <t>Essays moral and literary.</t>
  </si>
  <si>
    <t>Knox, Vicesimus,</t>
  </si>
  <si>
    <t>nyp.33433082510169</t>
  </si>
  <si>
    <t>nyp.33433082504899</t>
  </si>
  <si>
    <t>008655812</t>
  </si>
  <si>
    <t>Informal oral composition,</t>
  </si>
  <si>
    <t>Wilson, George P.</t>
  </si>
  <si>
    <t>nyp.33433082500483</t>
  </si>
  <si>
    <t>008656287</t>
  </si>
  <si>
    <t>nyp.33433082500392</t>
  </si>
  <si>
    <t>008656299</t>
  </si>
  <si>
    <t>hvd.hwkt1s</t>
  </si>
  <si>
    <t>008656302</t>
  </si>
  <si>
    <t>nyp.33433082500368</t>
  </si>
  <si>
    <t>008656303</t>
  </si>
  <si>
    <t>Evangeline: : a tale of Acadie. /</t>
  </si>
  <si>
    <t>nyp.33433066638218</t>
  </si>
  <si>
    <t>008656316</t>
  </si>
  <si>
    <t>nyp.33433082503610</t>
  </si>
  <si>
    <t>008658025</t>
  </si>
  <si>
    <t>Studies in structure and style (based on seven modern English essays)</t>
  </si>
  <si>
    <t>nyp.33433082518048</t>
  </si>
  <si>
    <t>008658409</t>
  </si>
  <si>
    <t>Lectures on rhetoric and belles lettres ... To which are added, copious questions; and an analysis of each lecture A. Mills ...</t>
  </si>
  <si>
    <t>nyp.33433082506209</t>
  </si>
  <si>
    <t>008658411</t>
  </si>
  <si>
    <t>Dr. Blair's lectures on rhetoric; abridged. With questions.</t>
  </si>
  <si>
    <t>nyp.33433082515689</t>
  </si>
  <si>
    <t>008658413</t>
  </si>
  <si>
    <t>Lectures on rhetoric, abridged, with questions.</t>
  </si>
  <si>
    <t>nyp.33433082502356</t>
  </si>
  <si>
    <t>008658418</t>
  </si>
  <si>
    <t>nyp.33433082511662</t>
  </si>
  <si>
    <t>008658423</t>
  </si>
  <si>
    <t>A first book in writing English.</t>
  </si>
  <si>
    <t>Lewis, Edwin Herbert.</t>
  </si>
  <si>
    <t>nyp.33433082511647</t>
  </si>
  <si>
    <t>008654716</t>
  </si>
  <si>
    <t>nyp.33433082512082</t>
  </si>
  <si>
    <t>008654717</t>
  </si>
  <si>
    <t>The foundations of rhetoric.</t>
  </si>
  <si>
    <t>nyp.33433082512041</t>
  </si>
  <si>
    <t>008654723</t>
  </si>
  <si>
    <t>Kimball's business English, with lessons on business letter writing, capitalization, and punctuation; designed for use in commercial schools, high schools, academies, normal schools, and higher grades of the common schools,</t>
  </si>
  <si>
    <t>Kimball, Gustavus Sylvester,</t>
  </si>
  <si>
    <t>nyp.33433082512066</t>
  </si>
  <si>
    <t>008654736</t>
  </si>
  <si>
    <t>Specimens of prose composition;</t>
  </si>
  <si>
    <t>Nutter, Charles Read,</t>
  </si>
  <si>
    <t>nyp.33433082513551</t>
  </si>
  <si>
    <t>008654739</t>
  </si>
  <si>
    <t>Rhetoric and oratory,</t>
  </si>
  <si>
    <t>O'Conor, J. F. X.</t>
  </si>
  <si>
    <t>nyp.33433082513676</t>
  </si>
  <si>
    <t>008654748</t>
  </si>
  <si>
    <t>Elementary English composition,</t>
  </si>
  <si>
    <t>nyp.33433082513643</t>
  </si>
  <si>
    <t>008654759</t>
  </si>
  <si>
    <t>Theme-building /</t>
  </si>
  <si>
    <t>hvd.32044102845963</t>
  </si>
  <si>
    <t>008654768</t>
  </si>
  <si>
    <t>Elements of rhetoric : comprising the substance of the article in the Encyclopaedia metropolitana with additions, &amp;c. /</t>
  </si>
  <si>
    <t>nyp.33433082511811</t>
  </si>
  <si>
    <t>nyp.33433082513304</t>
  </si>
  <si>
    <t>008654865</t>
  </si>
  <si>
    <t>Punctuation with chapters on hyphenization, capitalization, and spelling;</t>
  </si>
  <si>
    <t>nyp.33433082513759</t>
  </si>
  <si>
    <t>nyp.33433082502885</t>
  </si>
  <si>
    <t>008654871</t>
  </si>
  <si>
    <t>Easy exercises in composition : designed for the use of beginners /</t>
  </si>
  <si>
    <t>Frost, John,</t>
  </si>
  <si>
    <t>nyp.33433082503818</t>
  </si>
  <si>
    <t>008654910</t>
  </si>
  <si>
    <t>College course in writing from models,</t>
  </si>
  <si>
    <t>Young, Frances Berkeley,</t>
  </si>
  <si>
    <t>nyp.33433082503917</t>
  </si>
  <si>
    <t>008654918</t>
  </si>
  <si>
    <t>nyp.33433082502877</t>
  </si>
  <si>
    <t>008654921</t>
  </si>
  <si>
    <t>nyp.33433082508312</t>
  </si>
  <si>
    <t>008654926</t>
  </si>
  <si>
    <t>Modern Parnassus; or, The new art of poetry, a poem, designed to supersede the rules of Aristotle, Horace, Longinus, Vida, Boileau, and Pope ...</t>
  </si>
  <si>
    <t>nyp.33433082510086</t>
  </si>
  <si>
    <t>008654994</t>
  </si>
  <si>
    <t>nyp.33433082510094</t>
  </si>
  <si>
    <t>nyp.33433082510102</t>
  </si>
  <si>
    <t>hvd.hxjhxr</t>
  </si>
  <si>
    <t>008654997</t>
  </si>
  <si>
    <t>An analytical inquiry into the principles of taste.</t>
  </si>
  <si>
    <t>Knight, Richard Payne,</t>
  </si>
  <si>
    <t>nyp.33433082502919</t>
  </si>
  <si>
    <t>008655333</t>
  </si>
  <si>
    <t>The essentials of prose composition /</t>
  </si>
  <si>
    <t>nyp.33433082299425</t>
  </si>
  <si>
    <t>008655496</t>
  </si>
  <si>
    <t>Elements of rhetoric : comprising the substance of the article in the Encyclopaedia Metropolitana, with additions, &amp;c. /</t>
  </si>
  <si>
    <t>nyp.33433082523303</t>
  </si>
  <si>
    <t>008654643</t>
  </si>
  <si>
    <t>The art of oratorical composition : based upon the precepts and models of the old masters /</t>
  </si>
  <si>
    <t>Coppens, Charles,</t>
  </si>
  <si>
    <t>nyp.33433082511795</t>
  </si>
  <si>
    <t>008654651</t>
  </si>
  <si>
    <t>English studies in interpretation and composition for high schools,</t>
  </si>
  <si>
    <t>Woodley, M. S.</t>
  </si>
  <si>
    <t>nyp.33433082511787</t>
  </si>
  <si>
    <t>008654653</t>
  </si>
  <si>
    <t>The writer's handbook, a guide to the art of composition, embracing a general treatise on composition and style; instruction in English composition, with exercises for paraphrasing; and an elaborate letter-writer's vademecum, in which are numerous rules and suggestions relating to the epistolary art.</t>
  </si>
  <si>
    <t>nyp.33433082512413</t>
  </si>
  <si>
    <t>008654661</t>
  </si>
  <si>
    <t>nyp.33433082512405</t>
  </si>
  <si>
    <t>008654666</t>
  </si>
  <si>
    <t>Rhetoric and higher English.</t>
  </si>
  <si>
    <t>Bell, G. H.</t>
  </si>
  <si>
    <t>nyp.33433082512264</t>
  </si>
  <si>
    <t>008654688</t>
  </si>
  <si>
    <t>Exercises in rhetoric and English composition (advanced course)</t>
  </si>
  <si>
    <t>nyp.33433082512504</t>
  </si>
  <si>
    <t>008654689</t>
  </si>
  <si>
    <t>Exercises in rhetoric and English composition /</t>
  </si>
  <si>
    <t>nyp.33433082512009</t>
  </si>
  <si>
    <t>008654690</t>
  </si>
  <si>
    <t>Exercises in rhetoric and English composition : advanced course /</t>
  </si>
  <si>
    <t>nyp.33433082512108</t>
  </si>
  <si>
    <t>008654693</t>
  </si>
  <si>
    <t>The study of English,</t>
  </si>
  <si>
    <t>Crawford, Douglas Gordon.</t>
  </si>
  <si>
    <t>nyp.33433082512140</t>
  </si>
  <si>
    <t>008654705</t>
  </si>
  <si>
    <t>Outlines of rhetoric : embodied in rules, illustrative examples, and a progressive course of prose composition /</t>
  </si>
  <si>
    <t>nyp.33433082512132</t>
  </si>
  <si>
    <t>008654706</t>
  </si>
  <si>
    <t>nyp.33433082512223</t>
  </si>
  <si>
    <t>008654707</t>
  </si>
  <si>
    <t>nyp.33433082513577</t>
  </si>
  <si>
    <t>008654709</t>
  </si>
  <si>
    <t>The century handbook of writing /</t>
  </si>
  <si>
    <t>nyp.33433082513510</t>
  </si>
  <si>
    <t>008654714</t>
  </si>
  <si>
    <t>One hundred lessons in English ; a text-book embracing the essentials of practical English, for use in commercial schools, high schools, and others desiring a short course /</t>
  </si>
  <si>
    <t>Grove, Glen Arnold,</t>
  </si>
  <si>
    <t>nyp.33433082512199</t>
  </si>
  <si>
    <t>008654715</t>
  </si>
  <si>
    <t>Short studies in composition /</t>
  </si>
  <si>
    <t>Heydrick, Benjamin A.</t>
  </si>
  <si>
    <t>nyp.33433082512090</t>
  </si>
  <si>
    <t>The orator's manual; a practical and philosophical treatise on vocal culture, emphasis and gesture, together with selections for declamation and reading.</t>
  </si>
  <si>
    <t>nyp.33433082513932</t>
  </si>
  <si>
    <t>008654489</t>
  </si>
  <si>
    <t>The philosophy of rhetoric,</t>
  </si>
  <si>
    <t>hvd.hw2izf</t>
  </si>
  <si>
    <t>008654510</t>
  </si>
  <si>
    <t>The young ladies' elocutionary reader : containing a selection of reading lessons /</t>
  </si>
  <si>
    <t>Russell, Anna U.</t>
  </si>
  <si>
    <t>nyp.33433066604582</t>
  </si>
  <si>
    <t>nyp.33433082523568</t>
  </si>
  <si>
    <t>008654541</t>
  </si>
  <si>
    <t>A rhetorical grammar : in which improprieties in reading and speaking are detected, and the true sources of elegant pronunciation are pointed out : with a complete analysis of the voice, showing its specific modifications, and how they may be applied to different species of sentences and the several figures of rhetoric : to which are added outlines of composition, or plain rules for writing orations and speaking them in public /</t>
  </si>
  <si>
    <t>hvd.hwhik4</t>
  </si>
  <si>
    <t>008654607</t>
  </si>
  <si>
    <t>nyp.33433082523592</t>
  </si>
  <si>
    <t>nyp.33433082511449</t>
  </si>
  <si>
    <t>008654609</t>
  </si>
  <si>
    <t>A modern composition and rhetoric (brief course) containing the principles of correct, artistic and effective English for schools,</t>
  </si>
  <si>
    <t>nyp.33433082512017</t>
  </si>
  <si>
    <t>008654612</t>
  </si>
  <si>
    <t>A progressive course in English for secondary schools : literature, composition, rhetoric, grammar /</t>
  </si>
  <si>
    <t>Stebbins, Charles M.</t>
  </si>
  <si>
    <t>nyp.33433082512330</t>
  </si>
  <si>
    <t>008654617</t>
  </si>
  <si>
    <t>Elementary English composition for high schools and academies,</t>
  </si>
  <si>
    <t>Sykes, Frederick Henry,</t>
  </si>
  <si>
    <t>nyp.33433082511936</t>
  </si>
  <si>
    <t>008654625</t>
  </si>
  <si>
    <t>The teacher's assistant in English composition, or, Easy rules for writing themes and composing exercises : on subjects proper for the improvement of youth of both sexes at school : to which are added hints for correcting and improving juvenile composition /</t>
  </si>
  <si>
    <t>nyp.33433082511944</t>
  </si>
  <si>
    <t>nyp.33433082511837</t>
  </si>
  <si>
    <t>008654628</t>
  </si>
  <si>
    <t>Elements of rhetoric : comprising the substance of the article in the Encyclopaedia metropolitana ; with additions, &amp;c.</t>
  </si>
  <si>
    <t>nyp.33433082511829</t>
  </si>
  <si>
    <t>008654629</t>
  </si>
  <si>
    <t>A manual of elocution founded upon the philosophy of the human voice : with classified illustrations : suggested by and arranged to meet the practical difficulties of instruction /</t>
  </si>
  <si>
    <t>Mitchell, M. S.</t>
  </si>
  <si>
    <t>hvd.32044019028323</t>
  </si>
  <si>
    <t>008654456</t>
  </si>
  <si>
    <t>Orthophony: or, Vocal culture in elocution; a manual of elementary exercises, adapted to Dr. Rush's "Philosophy of the human voice," and designed as an introduction to Russell's "American elocutionist."</t>
  </si>
  <si>
    <t>hvd.32044105427553</t>
  </si>
  <si>
    <t>nyp.33433066604756</t>
  </si>
  <si>
    <t>nyp.33433066604723</t>
  </si>
  <si>
    <t>008654458</t>
  </si>
  <si>
    <t>The English reader; or, Pieces in prose and verse from the best writers; designed to assist young persons to read with propriety and effect; improve their language and sentiments and to inculate the most important principles of piety and virtue, with a few preliminary observations on the principles of good reading.</t>
  </si>
  <si>
    <t>nyp.33433082513924</t>
  </si>
  <si>
    <t>008654467</t>
  </si>
  <si>
    <t>The Columbian orator : containing a variety of original and selected pieces; together with rules, calculated to improve youth and others in the ornamental and useful art of eloquence /</t>
  </si>
  <si>
    <t>Bingham, Caleb,</t>
  </si>
  <si>
    <t>hvd.hwnqc2</t>
  </si>
  <si>
    <t>008654476</t>
  </si>
  <si>
    <t>Analysis of the principles of rhetorical delivery : as applied to reading and speaking /</t>
  </si>
  <si>
    <t>njp.32101063584310</t>
  </si>
  <si>
    <t>nyp.33433066604657</t>
  </si>
  <si>
    <t>ien.35556006195317</t>
  </si>
  <si>
    <t>008654479</t>
  </si>
  <si>
    <t>The rhetorical reader : consisting of instructions for regulating the voice, with a rhetorical notation, illustrating inflection, emphasis, and modulation, and a course of rhetorical exercises : designed for the use of academies and high-schools /</t>
  </si>
  <si>
    <t>nyp.33433066604640</t>
  </si>
  <si>
    <t>nyp.33433066604632</t>
  </si>
  <si>
    <t>008654481</t>
  </si>
  <si>
    <t>nyp.33433066604624</t>
  </si>
  <si>
    <t>008654483</t>
  </si>
  <si>
    <t>Manual of reading, in four parts: orthophony, class methods, gesture, and elocution. Designed for teachers and students.</t>
  </si>
  <si>
    <t>hvd.hw1xq8</t>
  </si>
  <si>
    <t>008654484</t>
  </si>
  <si>
    <t>nyp.33433082513874</t>
  </si>
  <si>
    <t>nyp.33433066604616</t>
  </si>
  <si>
    <t>008654488</t>
  </si>
  <si>
    <t>Lessons in elocution : or, A selection of pieces in prose and verse for the improvement of youth in reading and speaking /</t>
  </si>
  <si>
    <t>nyp.33433082528054</t>
  </si>
  <si>
    <t>008654369</t>
  </si>
  <si>
    <t>Lessons in elocution, or, a selection of pieces in prose and verse for the improvement of youth in reading and speaking. To which are prefixed elements of gesture...Also an appendix containing lessons on a new plan.</t>
  </si>
  <si>
    <t>nyp.33433082522628</t>
  </si>
  <si>
    <t>008654372</t>
  </si>
  <si>
    <t>A drill book for practice of the principles of vocal physiology, and acquiring the art of elocution and oratory</t>
  </si>
  <si>
    <t>Griffith, Allen Ayrault.</t>
  </si>
  <si>
    <t>nyp.33433082522974</t>
  </si>
  <si>
    <t>008654384</t>
  </si>
  <si>
    <t>A natural system of elocution and oratory : founded on an analysis of human constitution, considered in its three-fold nature--mental, physiological and expressional /</t>
  </si>
  <si>
    <t>Hyde, Thomas A.</t>
  </si>
  <si>
    <t>nyp.33433082512496</t>
  </si>
  <si>
    <t>008654388</t>
  </si>
  <si>
    <t>A grammar of composition : including a practical review of the principles of rhetoric, a series of exercises in rhetorical analysis, and six introductory courses of composition.</t>
  </si>
  <si>
    <t>nyp.33433082522594</t>
  </si>
  <si>
    <t>008654391</t>
  </si>
  <si>
    <t>Practice of speech ; and Successful selections /</t>
  </si>
  <si>
    <t>King, Byron W.</t>
  </si>
  <si>
    <t>nyp.33433082522669</t>
  </si>
  <si>
    <t>008654444</t>
  </si>
  <si>
    <t>Simplified elocution : a comprehensive system of vocal and physical gymnastics. Containing explicit instructions for the cultivation of the speaking voice ... To which is added a complete speaker, consisting of selections in poetry and prose suitable for recitations.</t>
  </si>
  <si>
    <t>nyp.33433082522750</t>
  </si>
  <si>
    <t>008654448</t>
  </si>
  <si>
    <t>Reading as a fine art /c by Ernest Legouvé ; translated from the ninth ed. by Abby Langdon Alger.</t>
  </si>
  <si>
    <t>nyp.33433082522537</t>
  </si>
  <si>
    <t>008654450</t>
  </si>
  <si>
    <t>Studies in elocution; a wide and choice selection of poetry and prose for reading and recitation; with an introductory essay on the art of elocution and a scheme of vocal exercises for public speakers, and for use in colleges, schools and elocution classes.</t>
  </si>
  <si>
    <t>Lowry, Alfred S.</t>
  </si>
  <si>
    <t>nyp.33433082522990</t>
  </si>
  <si>
    <t>008654455</t>
  </si>
  <si>
    <t>hvd.hwsk6e</t>
  </si>
  <si>
    <t>008654352</t>
  </si>
  <si>
    <t>nyp.33433082522552</t>
  </si>
  <si>
    <t>nyp.33433082511761</t>
  </si>
  <si>
    <t>008654354</t>
  </si>
  <si>
    <t>Advanced course of composition and rhetoric: a series of practical lessons on the origin, history and peculiarities of the English language ... Adapted to self instruction, and the use of schools and colleges.</t>
  </si>
  <si>
    <t>nyp.33433082511506</t>
  </si>
  <si>
    <t>008654355</t>
  </si>
  <si>
    <t>Advanced course of composition and rhetoric : a series of practical lessons on the origin, history, and peculiarities of the English language ... /</t>
  </si>
  <si>
    <t>nyp.33433082511498</t>
  </si>
  <si>
    <t>008654360</t>
  </si>
  <si>
    <t>Advanced course of composition and rhetoric : a series of practical lessons on the origin, history and peculiarities of the English language ... /</t>
  </si>
  <si>
    <t>hvd.hn1s4h</t>
  </si>
  <si>
    <t>008654362</t>
  </si>
  <si>
    <t>First lessons in composition, in which the principles of the art are developed in connection with the principles of grammar; embracing full directions on the subject of punctuation; with copious exercises. 200th thousand.</t>
  </si>
  <si>
    <t>nyp.33433082511464</t>
  </si>
  <si>
    <t>hvd.hn1rv5</t>
  </si>
  <si>
    <t>008654363</t>
  </si>
  <si>
    <t>First lessons in composition : in which the principles of the art are developed in connection with the principles of grammar : embracing full directions on the subject of punctuation : with copious exercises /</t>
  </si>
  <si>
    <t>nyp.33433082511886</t>
  </si>
  <si>
    <t>nyp.33433082511878</t>
  </si>
  <si>
    <t>008654364</t>
  </si>
  <si>
    <t>First lessons in composition, in which the principles of the art are developed ... / by G. P. Quackenbos ...</t>
  </si>
  <si>
    <t>nyp.33433082528088</t>
  </si>
  <si>
    <t>008654365</t>
  </si>
  <si>
    <t>Lessons in elocution, or, A selection of pieces in prose and verse : for the improvement of youth in reading and speaking /</t>
  </si>
  <si>
    <t>nyp.33433082528062</t>
  </si>
  <si>
    <t>008654366</t>
  </si>
  <si>
    <t>Lessons in elocution: or, A selection of pieces in prose and verse, for the improvement of youth in reading and speaking.</t>
  </si>
  <si>
    <t>hvd.32044097056766</t>
  </si>
  <si>
    <t>008654367</t>
  </si>
  <si>
    <t>Lessons in elocution : or, A selection of pieces, in prose and verse, for the improvement of youth in reading and speaking ...</t>
  </si>
  <si>
    <t>nyp.33433082528070</t>
  </si>
  <si>
    <t>nyp.33433082528096</t>
  </si>
  <si>
    <t>008654368</t>
  </si>
  <si>
    <t>008654331</t>
  </si>
  <si>
    <t>A practical system of rhetoric : or, The principles and rules of style, inferred from examples of writing, to which is added a historical dissertation on English style /</t>
  </si>
  <si>
    <t>nyp.33433082511589</t>
  </si>
  <si>
    <t>008654335</t>
  </si>
  <si>
    <t>Aids to English composition, prepared for students of all grades : embracing specimens and examples of school and college exercises, and most of the higher departments of English composition, both in prose and verse /</t>
  </si>
  <si>
    <t>hvd.32044102846003</t>
  </si>
  <si>
    <t>008654336</t>
  </si>
  <si>
    <t>Aids to English composition, prepared for students of all grades; embracing specimens and examples of school and college exercises and most of the higher departments of English composition, both in prose and verse.</t>
  </si>
  <si>
    <t>nyp.33433082511431</t>
  </si>
  <si>
    <t>uva.x000448181</t>
  </si>
  <si>
    <t>nyp.33433082511423</t>
  </si>
  <si>
    <t>008654337</t>
  </si>
  <si>
    <t>Aids to English composition : prepared for students of all grades : embracing specimens and examples of of school and college exercises and most of the higher departments of English composition, both in prose and verse /</t>
  </si>
  <si>
    <t>uva.x030732041</t>
  </si>
  <si>
    <t>nyp.33433082511415</t>
  </si>
  <si>
    <t>008654338</t>
  </si>
  <si>
    <t>Aids to English composition : prepared for students of all grades : embracing specimens and examples of school and college exercises and most of the higher departments of English composition, both in prose and verse /</t>
  </si>
  <si>
    <t>hvd.32044097075543</t>
  </si>
  <si>
    <t>008654339</t>
  </si>
  <si>
    <t>nyp.33433082511860</t>
  </si>
  <si>
    <t>nyp.33433082511852</t>
  </si>
  <si>
    <t>008654340</t>
  </si>
  <si>
    <t>nyp.33433082511845</t>
  </si>
  <si>
    <t>008654341</t>
  </si>
  <si>
    <t>nyp.33433082511266</t>
  </si>
  <si>
    <t>008654342</t>
  </si>
  <si>
    <t>hvd.hn1eu9</t>
  </si>
  <si>
    <t>008654350</t>
  </si>
  <si>
    <t>Exercises in rhetorical reading : with a series of introductory lessons, particularly designed to familiarize readers with the pauses and other marks in general use, and lead them to the practice of modulation and inflection of voice /</t>
  </si>
  <si>
    <t>nyp.33433082528187</t>
  </si>
  <si>
    <t>nyp.33433082522545</t>
  </si>
  <si>
    <t>008654351</t>
  </si>
  <si>
    <t>An essay on elocution : with elucidatory passages from various authors to which are added remarks on reading prose and verse, with suggestions to instructors of the art.</t>
  </si>
  <si>
    <t>A system of oratory, delivered in a course of lectures publicly read at Gresham College, London: : to which is prefixed an inaugural oration, spoken in Latin, before the commencement of the lectures, according to the usual custom. /</t>
  </si>
  <si>
    <t>nyp.33433082523238</t>
  </si>
  <si>
    <t>hvd.hwhiu9</t>
  </si>
  <si>
    <t>008654302</t>
  </si>
  <si>
    <t>A grammar of elocution : containing the principles of the arts of reading and speaking : illustrated by appropriate exercises and examples : adapted to colleges, schools, and private instruction, the whole arranged in the order in which it is taught in Harvard University /</t>
  </si>
  <si>
    <t>nyp.33433082522925</t>
  </si>
  <si>
    <t>nyp.33433082522917</t>
  </si>
  <si>
    <t>008654304</t>
  </si>
  <si>
    <t>Essays and postscripts on elocution,</t>
  </si>
  <si>
    <t>nyp.33433082523188</t>
  </si>
  <si>
    <t>008654322</t>
  </si>
  <si>
    <t>Elocution; or, Mental and vocal philosophy: involving the principles of reading and speaking; and designed for the development and cultivation of both body and mind, illustrated by two or three hundred choice anecdotes; three thousand oratorical and poetical readings; five thousand proverbs, maxims and laconics, and several hundred elegant engravings.</t>
  </si>
  <si>
    <t>nyp.33433082522941</t>
  </si>
  <si>
    <t>008654323</t>
  </si>
  <si>
    <t>Clear speaking and good reading /</t>
  </si>
  <si>
    <t>Burrell, Arthur,</t>
  </si>
  <si>
    <t>nyp.33433082511670</t>
  </si>
  <si>
    <t>008654326</t>
  </si>
  <si>
    <t>A practical system of rhetoric, or, The principles and rules of style : inferred from examples of writing /</t>
  </si>
  <si>
    <t>Newman, Samuel P.</t>
  </si>
  <si>
    <t>nyp.33433082522867</t>
  </si>
  <si>
    <t>008654327</t>
  </si>
  <si>
    <t>The phonetic speaker : consisting of the principles and exercises in the author's system of elocution, with additions; the whole in the new alphabet /</t>
  </si>
  <si>
    <t>nyp.33433082511720</t>
  </si>
  <si>
    <t>008654328</t>
  </si>
  <si>
    <t>A practical system of rhetoric, or, The principles and rules of style, inferred from examples of writing.</t>
  </si>
  <si>
    <t>nyp.33433082522883</t>
  </si>
  <si>
    <t>008654329</t>
  </si>
  <si>
    <t>hvd.32044102845906</t>
  </si>
  <si>
    <t>008654330</t>
  </si>
  <si>
    <t>A practical system of rhetoric, or, The principles and rules of style, inferred from examples of writing, to which is added a historical dissertation on English style.</t>
  </si>
  <si>
    <t>nyp.33433082511605</t>
  </si>
  <si>
    <t>nyp.33433082511597</t>
  </si>
  <si>
    <t>The elements of reading and oratory /</t>
  </si>
  <si>
    <t>nyp.33433082511613</t>
  </si>
  <si>
    <t>008654201</t>
  </si>
  <si>
    <t>A text-book on rhetoric : supplementing the development of the science with exhaustive practice in composition : a course of practical lessons adapted for use in high schools and academies in the lower classes of college /</t>
  </si>
  <si>
    <t>nyp.33433082511654</t>
  </si>
  <si>
    <t>008654203</t>
  </si>
  <si>
    <t>nyp.33433082504527</t>
  </si>
  <si>
    <t>008654205</t>
  </si>
  <si>
    <t>The progressive speaker; containing the best readings and recitations for all occasions from the most celebrated authors ... Programmes for special occasions, together with a treatise on elocution ... How to organize and conduct literary societies ... Embellished with more than 100 superb illustrations.</t>
  </si>
  <si>
    <t>nyp.33433082511696</t>
  </si>
  <si>
    <t>008654207</t>
  </si>
  <si>
    <t>Elementary composition and rhetoric /</t>
  </si>
  <si>
    <t>nyp.33433082504584</t>
  </si>
  <si>
    <t>008654210</t>
  </si>
  <si>
    <t>The science and art of elocution, embracing a comprehensive and systematic series of exercises for gesture, calisthenics and the cultivation of the voice,</t>
  </si>
  <si>
    <t>nyp.33433082504642</t>
  </si>
  <si>
    <t>008654212</t>
  </si>
  <si>
    <t>Shoemaker, J. W.,</t>
  </si>
  <si>
    <t>nyp.33433082504725</t>
  </si>
  <si>
    <t>008654228</t>
  </si>
  <si>
    <t>Practical elocution : for use in colleges and schools and by private students /</t>
  </si>
  <si>
    <t>nyp.33433082522859</t>
  </si>
  <si>
    <t>008654247</t>
  </si>
  <si>
    <t>The science and art of elocution and oratory : containing specimens of the eloquence of the pulpit, the bar, the stage, the legislative hall, and the battlefield /</t>
  </si>
  <si>
    <t>Putnam, Worthy.</t>
  </si>
  <si>
    <t>nyp.33433082523170</t>
  </si>
  <si>
    <t>008654258</t>
  </si>
  <si>
    <t>The philosophy of the human voice: embracing its physiological history; together with a system of principles, by which criticism in the art of elocution may be rendered intelligible, and instruction, definite and comprehensive. To which is added A brief analysis of song and recitative.</t>
  </si>
  <si>
    <t>nyp.33433082497144</t>
  </si>
  <si>
    <t>008654265</t>
  </si>
  <si>
    <t>New elocution and vocal culture,</t>
  </si>
  <si>
    <t>nyp.33433082523220</t>
  </si>
  <si>
    <t>008654292</t>
  </si>
  <si>
    <t>nyp.33433082512439</t>
  </si>
  <si>
    <t>008654167</t>
  </si>
  <si>
    <t>nyp.33433082512025</t>
  </si>
  <si>
    <t>008654169</t>
  </si>
  <si>
    <t>A help to young writers,</t>
  </si>
  <si>
    <t>nyp.33433082512355</t>
  </si>
  <si>
    <t>008654172</t>
  </si>
  <si>
    <t>New composition and rhetoric for schools /</t>
  </si>
  <si>
    <t>nyp.33433082512348</t>
  </si>
  <si>
    <t>008654174</t>
  </si>
  <si>
    <t>The principles of rhetoric /</t>
  </si>
  <si>
    <t>nyp.33433082511357</t>
  </si>
  <si>
    <t>008654178</t>
  </si>
  <si>
    <t>The elements of rhetoric and composition: a text-book for schools and colleges,</t>
  </si>
  <si>
    <t>nyp.33433082511290</t>
  </si>
  <si>
    <t>008654181</t>
  </si>
  <si>
    <t>Theme-book in English composition,</t>
  </si>
  <si>
    <t>nyp.33433082523121</t>
  </si>
  <si>
    <t>008654182</t>
  </si>
  <si>
    <t>How to speak, designed as a textbook for the business man and woman,</t>
  </si>
  <si>
    <t>Lawrence, Edwin Gordon,</t>
  </si>
  <si>
    <t>nyp.33433082511324</t>
  </si>
  <si>
    <t>008654185</t>
  </si>
  <si>
    <t>Two-book course in English /</t>
  </si>
  <si>
    <t>nyp.33433082511332</t>
  </si>
  <si>
    <t>nyp.33433082511712</t>
  </si>
  <si>
    <t>008654187</t>
  </si>
  <si>
    <t>The elements of English composition : containing practical instructions for writing the English language with perspicuity and elegance : designed, in the progress of education, to succeed to the study of English grammar, and of the Latin and Greek classics /</t>
  </si>
  <si>
    <t>nyp.33433082523071</t>
  </si>
  <si>
    <t>008654188</t>
  </si>
  <si>
    <t>Principles of public speaking, comprising the techniques of articulation, phrasing, emphasis; the cure of vocal defects; the elements of gesture ... with many exercises, forms, and practice selections.</t>
  </si>
  <si>
    <t>nyp.33433082511381</t>
  </si>
  <si>
    <t>008654189</t>
  </si>
  <si>
    <t>The elements of English composition : serving as a sequel to the study of grammar /</t>
  </si>
  <si>
    <t>nyp.33433082511639</t>
  </si>
  <si>
    <t>008654192</t>
  </si>
  <si>
    <t>A grammar of rhetoric, and polite literature: comprehending the principles of language and style ... with rules, for the study of composition and eloquence: illustrated by appropriate examples, selected chiefly from the British classics ...</t>
  </si>
  <si>
    <t>nyp.33433082511621</t>
  </si>
  <si>
    <t>008654199</t>
  </si>
  <si>
    <t>A text-book on rhetoric : supplementing the development of the science with exhaustive practice in composition : a course of practical lessons adapted for use in high schools and academies and in the lower classes of colleges /</t>
  </si>
  <si>
    <t>nyp.33433082523386</t>
  </si>
  <si>
    <t>008654200</t>
  </si>
  <si>
    <t>Elements of rhetoric and literary criticism, with copious practical exercises and examples. For the use of common schools and academies. Including, also, a succinct history of the English language, and of British and American literature from the earliest to the present times. On the basis of the recent works of Alexander Reid and Robert Connel; with large additions from other sources.</t>
  </si>
  <si>
    <t>nyp.33433082515820</t>
  </si>
  <si>
    <t>nyp.33433082511548</t>
  </si>
  <si>
    <t>008654125</t>
  </si>
  <si>
    <t>Elements of rhetoric and literary criticism : with copious practical exercises and examples : for the use of common schools and academies /</t>
  </si>
  <si>
    <t>nyp.33433082502380</t>
  </si>
  <si>
    <t>008654131</t>
  </si>
  <si>
    <t>The forms of discourse with an introductory chapter on style /</t>
  </si>
  <si>
    <t>Cairns, William B.,</t>
  </si>
  <si>
    <t>nyp.33433082502372</t>
  </si>
  <si>
    <t>008654134</t>
  </si>
  <si>
    <t>Introduction to rhetoric,</t>
  </si>
  <si>
    <t>nyp.33433082502331</t>
  </si>
  <si>
    <t>008654136</t>
  </si>
  <si>
    <t>Elements of rhetoric and English composition; second high school course,</t>
  </si>
  <si>
    <t>nyp.33433082502299</t>
  </si>
  <si>
    <t>008654139</t>
  </si>
  <si>
    <t>A practical rhetoric : for instruction in English composition and revision in colleges and intermediate schools /</t>
  </si>
  <si>
    <t>nyp.33433082511514</t>
  </si>
  <si>
    <t>008654141</t>
  </si>
  <si>
    <t>Literary composition; a practicable method of learning to write effectively,</t>
  </si>
  <si>
    <t>hvd.32044102769999</t>
  </si>
  <si>
    <t>008654145</t>
  </si>
  <si>
    <t>Elements of rhetoric : designed as a manual of instruction /</t>
  </si>
  <si>
    <t>Coppée, Henry,</t>
  </si>
  <si>
    <t>nyp.33433082502349</t>
  </si>
  <si>
    <t>nyp.33433082502315</t>
  </si>
  <si>
    <t>008654151</t>
  </si>
  <si>
    <t>Rhetorical praxis : the principles of rhetoric, exemplified and applied in copious exercises for systematic practice ; chiefly in the development of the thought ; for use in schools and colleges /</t>
  </si>
  <si>
    <t>nyp.33433082502414</t>
  </si>
  <si>
    <t>008654156</t>
  </si>
  <si>
    <t>Outlines of composition and rhetoric,</t>
  </si>
  <si>
    <t>nyp.33433082502422</t>
  </si>
  <si>
    <t>008654158</t>
  </si>
  <si>
    <t>Practical composition : with numerous models and exercises /</t>
  </si>
  <si>
    <t>Harper, Mary J.</t>
  </si>
  <si>
    <t>nyp.33433082512454</t>
  </si>
  <si>
    <t>008654162</t>
  </si>
  <si>
    <t>First lessons in composition /</t>
  </si>
  <si>
    <t>nyp.33433082512447</t>
  </si>
  <si>
    <t>008654164</t>
  </si>
  <si>
    <t>A manual of composition and rhetoric : a text-book for schools and colleges /</t>
  </si>
  <si>
    <t>nyp.33433082515788</t>
  </si>
  <si>
    <t>008653931</t>
  </si>
  <si>
    <t>nyp.33433082515812</t>
  </si>
  <si>
    <t>008653932</t>
  </si>
  <si>
    <t>Lectures on rhetoric and belles lettres : chiefly from the kectures of Dr. Blair /</t>
  </si>
  <si>
    <t>nyp.33433082515556</t>
  </si>
  <si>
    <t>008653933</t>
  </si>
  <si>
    <t>nyp.33433082515770</t>
  </si>
  <si>
    <t>008653934</t>
  </si>
  <si>
    <t>Lectures on rhetoric and belles lettres : /</t>
  </si>
  <si>
    <t>nyp.33433082518584</t>
  </si>
  <si>
    <t>008653987</t>
  </si>
  <si>
    <t>Points about poetry,</t>
  </si>
  <si>
    <t>French, Donald Graham,</t>
  </si>
  <si>
    <t>nyp.33433082521497</t>
  </si>
  <si>
    <t>008654005</t>
  </si>
  <si>
    <t>The nature and elements of poetry /</t>
  </si>
  <si>
    <t>nyp.33433082521596</t>
  </si>
  <si>
    <t>008654027</t>
  </si>
  <si>
    <t>The rhyming dictionary of the English language : in which the whole language is arranged according to its terminations : with a copious introduction to the various uses of the work, and an index of allowable rhymes, with authorities for their usage from our best poets /</t>
  </si>
  <si>
    <t>nyp.33433082497680</t>
  </si>
  <si>
    <t>008654028</t>
  </si>
  <si>
    <t>Introduction to the literature of Europe in the fifteenth, sixteenth and seventeenth centuries /</t>
  </si>
  <si>
    <t>nyp.33433082497698</t>
  </si>
  <si>
    <t>nyp.33433082497706</t>
  </si>
  <si>
    <t>nyp.33433082497714</t>
  </si>
  <si>
    <t>nyp.33433082497052</t>
  </si>
  <si>
    <t>008654039</t>
  </si>
  <si>
    <t>uc1.$b393559</t>
  </si>
  <si>
    <t>uc2.ark:/13960/t53f4q13p</t>
  </si>
  <si>
    <t>nyp.33433082513031</t>
  </si>
  <si>
    <t>008654046</t>
  </si>
  <si>
    <t>A dissertation on romance and minstrelsy.</t>
  </si>
  <si>
    <t>nyp.33433082515671</t>
  </si>
  <si>
    <t>008654102</t>
  </si>
  <si>
    <t>nyp.33433082515697</t>
  </si>
  <si>
    <t>008654103</t>
  </si>
  <si>
    <t>uva.x001023928</t>
  </si>
  <si>
    <t>ien.35556006124887</t>
  </si>
  <si>
    <t>008654105</t>
  </si>
  <si>
    <t>nyp.33433082515713</t>
  </si>
  <si>
    <t>nyp.33433082515721</t>
  </si>
  <si>
    <t>008654107</t>
  </si>
  <si>
    <t>nyp.33433082515804</t>
  </si>
  <si>
    <t>008654114</t>
  </si>
  <si>
    <t>Lectures on rhetoric and belles lettres,</t>
  </si>
  <si>
    <t>nyp.33433082515762</t>
  </si>
  <si>
    <t>008654115</t>
  </si>
  <si>
    <t>Lectures on rhetoric,</t>
  </si>
  <si>
    <t>nyp.33433082527494</t>
  </si>
  <si>
    <t>008654117</t>
  </si>
  <si>
    <t>Knowles' Elocutionist : a first-class rhetorical reader and recitation book, containing the only essential principles of elocution, directions for managing the voice, etc., simplified and expanded on a novel plan, with numerous pieces for reading and declamation, designed for the use of schools and colleges /</t>
  </si>
  <si>
    <t>Knowles, James Sheridan,</t>
  </si>
  <si>
    <t>hvd.hn5x8e</t>
  </si>
  <si>
    <t>008654123</t>
  </si>
  <si>
    <t>008637390</t>
  </si>
  <si>
    <t>Lives of the most eminent English poets /</t>
  </si>
  <si>
    <t>hvd.hxg8he</t>
  </si>
  <si>
    <t>008637684</t>
  </si>
  <si>
    <t>hvd.hxg8hf</t>
  </si>
  <si>
    <t>nyp.33433082540307</t>
  </si>
  <si>
    <t>nyp.33433082540315</t>
  </si>
  <si>
    <t>nyp.33433082540588</t>
  </si>
  <si>
    <t>008637686</t>
  </si>
  <si>
    <t>The lives of the English poets.</t>
  </si>
  <si>
    <t>nyp.33433082540596</t>
  </si>
  <si>
    <t>nyp.33433082199955</t>
  </si>
  <si>
    <t>008637687</t>
  </si>
  <si>
    <t>The lives of the English poets : with critical observations on their works and lives of sundry eminent persons /</t>
  </si>
  <si>
    <t>nyp.33433082198643</t>
  </si>
  <si>
    <t>008637688</t>
  </si>
  <si>
    <t>The lives of the English poets /</t>
  </si>
  <si>
    <t>nyp.33433082199963</t>
  </si>
  <si>
    <t>008638506</t>
  </si>
  <si>
    <t>Lives of the British poets /</t>
  </si>
  <si>
    <t>nyp.33433082199971</t>
  </si>
  <si>
    <t>nyp.33433082199989</t>
  </si>
  <si>
    <t>nyp.33433082199997</t>
  </si>
  <si>
    <t>uva.x002056040</t>
  </si>
  <si>
    <t>uva.x004078217</t>
  </si>
  <si>
    <t>nyp.33433082473459</t>
  </si>
  <si>
    <t>008642822</t>
  </si>
  <si>
    <t>nyp.33433082473467</t>
  </si>
  <si>
    <t>nyp.33433071358208</t>
  </si>
  <si>
    <t>008645400</t>
  </si>
  <si>
    <t>The history of England from the accession of James II. From the last London edition. v. 1.</t>
  </si>
  <si>
    <t>nyp.33433082509559</t>
  </si>
  <si>
    <t>008653849</t>
  </si>
  <si>
    <t>nyp.33433082509567</t>
  </si>
  <si>
    <t>nyp.33433082509575</t>
  </si>
  <si>
    <t>nyp.33433087359307</t>
  </si>
  <si>
    <t>008653899</t>
  </si>
  <si>
    <t>Introduction to the literature of Europe, in the fifteenth, sixteenth, and seventeenth centuries /</t>
  </si>
  <si>
    <t>nyp.33433087359414</t>
  </si>
  <si>
    <t>nyp.33433087359521</t>
  </si>
  <si>
    <t>nyp.33433087359638</t>
  </si>
  <si>
    <t>nyp.33433084713845</t>
  </si>
  <si>
    <t>008653900</t>
  </si>
  <si>
    <t>nyp.33433084713969</t>
  </si>
  <si>
    <t>nyp.33433082515119</t>
  </si>
  <si>
    <t>008653906</t>
  </si>
  <si>
    <t>Elements of literature, or, An introduction to the study of rhetoric and belles lettres /</t>
  </si>
  <si>
    <t>Ansley, Eustace A.</t>
  </si>
  <si>
    <t>nyp.33433082515598</t>
  </si>
  <si>
    <t>008653909</t>
  </si>
  <si>
    <t>An abridgment of lectures on rhetoric /</t>
  </si>
  <si>
    <t>nyp.33433082515580</t>
  </si>
  <si>
    <t>008653910</t>
  </si>
  <si>
    <t>An abridgement of lectures on rhetoric /</t>
  </si>
  <si>
    <t>nyp.33433082515614</t>
  </si>
  <si>
    <t>008653911</t>
  </si>
  <si>
    <t>An abridgment of Lectures on rhetoric,</t>
  </si>
  <si>
    <t>nyp.33433082515630</t>
  </si>
  <si>
    <t>008653912</t>
  </si>
  <si>
    <t>nyp.33433082515663</t>
  </si>
  <si>
    <t>008653913</t>
  </si>
  <si>
    <t>dul1.ark:/13960/t2698302j</t>
  </si>
  <si>
    <t>008653914</t>
  </si>
  <si>
    <t>nyp.33433082515507</t>
  </si>
  <si>
    <t>nyp.33433082515515</t>
  </si>
  <si>
    <t>nyp.33433082515549</t>
  </si>
  <si>
    <t>008653927</t>
  </si>
  <si>
    <t>nyp.33433082515606</t>
  </si>
  <si>
    <t>008653929</t>
  </si>
  <si>
    <t>hvd.32044102845807</t>
  </si>
  <si>
    <t>008653930</t>
  </si>
  <si>
    <t>nyp.33433082515796</t>
  </si>
  <si>
    <t>Foster, H. C.</t>
  </si>
  <si>
    <t>nyp.33433068249097</t>
  </si>
  <si>
    <t>008626190</t>
  </si>
  <si>
    <t>Instructions in reading the Liturgy of the United Church of England and Ireland; offered to the attention of the younger clergy and candidates for Holy orders: With an appendix on pronunciation ...</t>
  </si>
  <si>
    <t>Howlett, John Henry,</t>
  </si>
  <si>
    <t>nyp.33433069251381</t>
  </si>
  <si>
    <t>008628587</t>
  </si>
  <si>
    <t>The Spelling experimenter and phonetic investigator /</t>
  </si>
  <si>
    <t>nyp.33433070243377</t>
  </si>
  <si>
    <t>008628599</t>
  </si>
  <si>
    <t>nyp.33433069240954</t>
  </si>
  <si>
    <t>008628602</t>
  </si>
  <si>
    <t>A Hand-book of the engrafted words of the English language : embracing the choice on the basis of the Hand-book of the Anglo-Saxon root-words : in three parts /</t>
  </si>
  <si>
    <t>nyp.33433069240988</t>
  </si>
  <si>
    <t>008628606</t>
  </si>
  <si>
    <t>Epea pteroenta, or, The diversions of Purley ...</t>
  </si>
  <si>
    <t>Tooke, John Horne,</t>
  </si>
  <si>
    <t>nyp.33433069240996</t>
  </si>
  <si>
    <t>nyp.33433069240921</t>
  </si>
  <si>
    <t>008628607</t>
  </si>
  <si>
    <t>Epea pteroenta = or, The diversions of Purley /</t>
  </si>
  <si>
    <t>nyp.33433069240939</t>
  </si>
  <si>
    <t>nyp.33433068992035</t>
  </si>
  <si>
    <t>008634145</t>
  </si>
  <si>
    <t>Architecture among the poets /</t>
  </si>
  <si>
    <t>Statham, H. Heathcote</t>
  </si>
  <si>
    <t>nyp.33433069254419</t>
  </si>
  <si>
    <t>008634822</t>
  </si>
  <si>
    <t>Studies in English.</t>
  </si>
  <si>
    <t>v. 1-2 (1910-11)</t>
  </si>
  <si>
    <t>nyp.33433069254039</t>
  </si>
  <si>
    <t>008634826</t>
  </si>
  <si>
    <t>Our language, a journal of spelling reform and other language topics.</t>
  </si>
  <si>
    <t>v. 1-3 (1891-94)</t>
  </si>
  <si>
    <t>nyp.33433069252538</t>
  </si>
  <si>
    <t>008634827</t>
  </si>
  <si>
    <t>The Plowshaer; an exemplication of alphabetic reform.</t>
  </si>
  <si>
    <t>v. 4-5 (1852-53)</t>
  </si>
  <si>
    <t>nyp.33433069252843</t>
  </si>
  <si>
    <t>v. 6-23 (1854-71)</t>
  </si>
  <si>
    <t>nyp.33433069251399</t>
  </si>
  <si>
    <t>008634828</t>
  </si>
  <si>
    <t>Something new : comprising a new and perfect alphabet containing forty distinct characters, calculated to illustrate all the various sounds of the human voice ... designed also to facilitate the acquisition of any foreign language, by furnishing a graphic representation of the simple elements of all words; and thus removing all uncertainty of pronunciation /</t>
  </si>
  <si>
    <t>v. 1 (1830-32)</t>
  </si>
  <si>
    <t>Barton, Michael H.</t>
  </si>
  <si>
    <t>nyp.33433059330963</t>
  </si>
  <si>
    <t>008636230</t>
  </si>
  <si>
    <t>nyp.33433082540265</t>
  </si>
  <si>
    <t>008637389</t>
  </si>
  <si>
    <t>nyp.33433082540273</t>
  </si>
  <si>
    <t>nyp.33433082540281</t>
  </si>
  <si>
    <t>nyp.33433082199930</t>
  </si>
  <si>
    <t>A rhyming dictionary: answering at the same time, the purposes of spelling and pronouncing the English language ... and ... an index of allowable rhymes, with authorities ...</t>
  </si>
  <si>
    <t>nyp.33433069239584</t>
  </si>
  <si>
    <t>nyp.33433074389036</t>
  </si>
  <si>
    <t>008620926</t>
  </si>
  <si>
    <t>Practical cosmophonography; a system of writing and printing all the principal languages, with their exact pronunciation, by means of an original universal phonetic alphabet, based upon philological principles, and representing analogically all the component elements of the human voice, as they occur in different tongues and dialects ...</t>
  </si>
  <si>
    <t>nyp.33433069253114</t>
  </si>
  <si>
    <t>008620952</t>
  </si>
  <si>
    <t>Gladys; or, The story ov Penbirth,</t>
  </si>
  <si>
    <t>Bengough, Julia M.</t>
  </si>
  <si>
    <t>nyp.33433069251407</t>
  </si>
  <si>
    <t>008620954</t>
  </si>
  <si>
    <t>Furst fonetic redur.</t>
  </si>
  <si>
    <t>nyp.33433070243351</t>
  </si>
  <si>
    <t>008620956</t>
  </si>
  <si>
    <t>The scholar's companion; or, A guide to the orthography, pronunciation, and derivation of the English language ... Arranged on the basis of the 15th London ed. of Butter's Etymological spelling book and expositor.</t>
  </si>
  <si>
    <t>nyp.33433069240673</t>
  </si>
  <si>
    <t>008620957</t>
  </si>
  <si>
    <t>A stem dictionary of the English language, for use in elementary schools,</t>
  </si>
  <si>
    <t>nyp.33433069240624</t>
  </si>
  <si>
    <t>008620960</t>
  </si>
  <si>
    <t>An analysis of English words; designed for the higher classes in schools and academies, and forming part of Sanders' American educational series.</t>
  </si>
  <si>
    <t>nyp.33433069240533</t>
  </si>
  <si>
    <t>008620989</t>
  </si>
  <si>
    <t>An analysis of the derivative words in the English language; or, A key to their precise analytic definitions, prefixes and suffixes, designed to furnish an easy ... method of acquiring a knowledge of their ... parts.</t>
  </si>
  <si>
    <t>nyp.33433069240525</t>
  </si>
  <si>
    <t>008620990</t>
  </si>
  <si>
    <t>An analysis of the derivative words in the English language; or, A key to their precise analytic definitions,</t>
  </si>
  <si>
    <t>hvd.hxg971</t>
  </si>
  <si>
    <t>008621158</t>
  </si>
  <si>
    <t>The rhetoric, poetic, and Nicomachean ethics of Aristotle,</t>
  </si>
  <si>
    <t>hvd.hxvmpk</t>
  </si>
  <si>
    <t>nyp.33433022672947</t>
  </si>
  <si>
    <t>nyp.33433022672954</t>
  </si>
  <si>
    <t>v. 2 (1818)</t>
  </si>
  <si>
    <t>nyp.33433067416853</t>
  </si>
  <si>
    <t>008622623</t>
  </si>
  <si>
    <t>An excursion among the poets.</t>
  </si>
  <si>
    <t>Johnson's dictionary of the English language, in miniature. With many additional words from Todd, and other authors; containing also a collection of phrases, from the Latin, French, Italian, and Spanish; a selection of Scotticisms, vulgar Anglicisms, and grammatical improprieties; alphabetically arranged; a copious chronological and historical table; and a list of heathen deities.</t>
  </si>
  <si>
    <t>nyp.33433070243112</t>
  </si>
  <si>
    <t>008620584</t>
  </si>
  <si>
    <t>Johnson's dictionary,</t>
  </si>
  <si>
    <t>nyp.33433069253023</t>
  </si>
  <si>
    <t>008620590</t>
  </si>
  <si>
    <t>The American instructor ... to succeed the English and other spelling-books ... interspersed with ... reading lessons ...</t>
  </si>
  <si>
    <t>Bentley, Rensselaer.</t>
  </si>
  <si>
    <t>nyp.33433070230176</t>
  </si>
  <si>
    <t>008620597</t>
  </si>
  <si>
    <t>A new and comprehensive dictionary of the English language as spoken and written,</t>
  </si>
  <si>
    <t>Clarke, Hyde,</t>
  </si>
  <si>
    <t>nyp.33433069254153</t>
  </si>
  <si>
    <t>008620734</t>
  </si>
  <si>
    <t>Practical rhetoric and composition: a complete and practical discussion of capital letters, punctuation, letter-writing, style, and composition. With copious exercises in both criticism and construction.</t>
  </si>
  <si>
    <t>nyp.33433069254161</t>
  </si>
  <si>
    <t>008620736</t>
  </si>
  <si>
    <t>nyp.33433069253932</t>
  </si>
  <si>
    <t>008620739</t>
  </si>
  <si>
    <t>Fundamentals of the English language, or, Orthography and orthoepy. Designed for both teachers and pupils, and adapted to the wants of public schools, normal schools, colleges and private students,</t>
  </si>
  <si>
    <t>Irish, Frank Van Buren.</t>
  </si>
  <si>
    <t>nyp.33433069253254</t>
  </si>
  <si>
    <t>008620740</t>
  </si>
  <si>
    <t>Elements of the English language; or, Analytical orthography: designed to teach the philosophy of orthography and orthoepy. Adapted to schools.</t>
  </si>
  <si>
    <t>nyp.33433061816835</t>
  </si>
  <si>
    <t>008620877</t>
  </si>
  <si>
    <t>The method of teaching and studying the belles lettres; or, An introduction to languages, poetry, rhetorick, history, moral philosophy, physicks, &amp;c. ... /</t>
  </si>
  <si>
    <t>nyp.33433070230218</t>
  </si>
  <si>
    <t>008620917</t>
  </si>
  <si>
    <t>A critical pronouncing dictionary and expositor of the English language ...</t>
  </si>
  <si>
    <t>nyp.33433069240723</t>
  </si>
  <si>
    <t>008620918</t>
  </si>
  <si>
    <t>nyp.33433069239576</t>
  </si>
  <si>
    <t>008620921</t>
  </si>
  <si>
    <t>Introduction to the English reader, or, A selection of pieces in prose and poetry : calculated to improve the younger classes of learners in reading and to imbue their minds with the love of virtue : to which are added, rules and observations for assisting children to read with propriety /</t>
  </si>
  <si>
    <t>nyp.33433074373600</t>
  </si>
  <si>
    <t>008620060</t>
  </si>
  <si>
    <t>A specimen of the conformity of the European languages, particularly the English with the oriental languages, especially the Persian; in the order of the alphabet ...</t>
  </si>
  <si>
    <t>Weston, Stephen,</t>
  </si>
  <si>
    <t>nyp.33433074392089</t>
  </si>
  <si>
    <t>008620084</t>
  </si>
  <si>
    <t>Pronouncing vocabulary of geographical and personal names. The geographical list embraces all the names worthy of note in the known world ... The personal names comprise those of the most celebrated men of ancient and modern times ... To which is added a complete list of scriptural names ...</t>
  </si>
  <si>
    <t>nyp.33433070242700</t>
  </si>
  <si>
    <t>008620230</t>
  </si>
  <si>
    <t>A selection of one hundred of Perrin's fables ... /</t>
  </si>
  <si>
    <t>nyp.33433070238922</t>
  </si>
  <si>
    <t>008620332</t>
  </si>
  <si>
    <t>The royal dictionary, French and English, and English and French; extracted from the writings of the best authors in both languages, formerly composed for the use of His late Royal Highness the Duke of Glocester,</t>
  </si>
  <si>
    <t>Boyer, Abel,</t>
  </si>
  <si>
    <t>nyp.33433075910418</t>
  </si>
  <si>
    <t>008620366</t>
  </si>
  <si>
    <t>French orthoëpy; or, The certain guide to an accurate French pronunciation ...</t>
  </si>
  <si>
    <t>Gaillard, Joseph D.</t>
  </si>
  <si>
    <t>nyp.33433069253841</t>
  </si>
  <si>
    <t>008620551</t>
  </si>
  <si>
    <t>Punctuation, with chapters on hyphenization, capitalization and spelling,</t>
  </si>
  <si>
    <t>Teall, Francis Horace,</t>
  </si>
  <si>
    <t>nyp.33433069253569</t>
  </si>
  <si>
    <t>008620552</t>
  </si>
  <si>
    <t>The teaching of English in the elementary and the secondary school.</t>
  </si>
  <si>
    <t>nyp.33433069252827</t>
  </si>
  <si>
    <t>008620557</t>
  </si>
  <si>
    <t>Word primer. A beginner's book in oral and written spelling.</t>
  </si>
  <si>
    <t>nyp.33433069253445</t>
  </si>
  <si>
    <t>008620567</t>
  </si>
  <si>
    <t>The philosophy of language; or, Language as an exact science, subjectively and analytically arranged.</t>
  </si>
  <si>
    <t>Cruttenden, David Henry,</t>
  </si>
  <si>
    <t>wu.89099427411</t>
  </si>
  <si>
    <t>nyp.33433070243138</t>
  </si>
  <si>
    <t>008620582</t>
  </si>
  <si>
    <t>The English reader, or, Pieces in prose and poetry : selected from the best writers ; designed to assist young persons to read with propriety and effect ; improve their language and sentiments ; and to inculcate some of the most important principles of piety and virtue : with a few preliminary observations on the principles of good reading /</t>
  </si>
  <si>
    <t>nyp.33433069241473</t>
  </si>
  <si>
    <t>008619841</t>
  </si>
  <si>
    <t>Murray's English reader: or, Pieces in prose and poetry, selected from the best writers ... With a few preliminary observations on the principles of good reading; improved by the addition of a concordant and synonymising vocabulary ... divided, defined, and pronounced according to the principles of John Walker ... Walker's pronouncing key, which governs the vocabulary, is prefixed to this work /</t>
  </si>
  <si>
    <t>nyp.33433069241556</t>
  </si>
  <si>
    <t>008619843</t>
  </si>
  <si>
    <t>The English reader, or, Pieces in prose and poetry : selected from the best writers : designed to assist young persons to read with propriety and effect, to improve their language and sentiments, and to inculcate some of the most important principles of piety and virtue : with a few preliminary observations on the principles of good reading /</t>
  </si>
  <si>
    <t>nyp.33433069241499</t>
  </si>
  <si>
    <t>008619845</t>
  </si>
  <si>
    <t>The English reader; or, Pieces in prose and poetry, from the best writers.</t>
  </si>
  <si>
    <t>nyp.33433069241572</t>
  </si>
  <si>
    <t>008619847</t>
  </si>
  <si>
    <t>The English reader; or Pieces in prose and poetry selected from the best writers ... with a few preliminary observations on the principles of good reading.</t>
  </si>
  <si>
    <t>nyp.33433069241580</t>
  </si>
  <si>
    <t>008619848</t>
  </si>
  <si>
    <t>The English reader : or Pieces in prose and poetry selected from the best writers. Designed to assist young persons to read with propriety and effect; to improve their language and sentiments; and to inculcate some of the most important principles of piety and virtue. With a few preliminary observations on the principles of good reading /</t>
  </si>
  <si>
    <t>nyp.33433069241440</t>
  </si>
  <si>
    <t>008619849</t>
  </si>
  <si>
    <t>The model etymology, with sentences showing the correct use of words ; and a key, giving the prefix, root, and suffix /</t>
  </si>
  <si>
    <t>nyp.33433070230226</t>
  </si>
  <si>
    <t>008619756</t>
  </si>
  <si>
    <t>A critical pronouncing dictionary, and expositor of the English language : in which the meaning of every word is explained ... /</t>
  </si>
  <si>
    <t>nyp.33433070230200</t>
  </si>
  <si>
    <t>008619757</t>
  </si>
  <si>
    <t>A critical pronouncing dictionary, and expositor of the English language.</t>
  </si>
  <si>
    <t>nyp.33433069239600</t>
  </si>
  <si>
    <t>008619758</t>
  </si>
  <si>
    <t>Walker's Critical pronouncing dictionary and expositor of the English language.</t>
  </si>
  <si>
    <t>nyp.33433070230192</t>
  </si>
  <si>
    <t>008619759</t>
  </si>
  <si>
    <t>A rhyming dictionary: answering at the same time, the purposes of spelling and pronouncing the English language, a plan not hitherto attempted.</t>
  </si>
  <si>
    <t>nyp.33433075924039</t>
  </si>
  <si>
    <t>008619762</t>
  </si>
  <si>
    <t>International encyclopædic dictionary : a new original and exhaustive work of references to all English words ... being also a comprehensive encyclopædia of all the arts and sciences ... /</t>
  </si>
  <si>
    <t>v. 4 (STR-ZYT)</t>
  </si>
  <si>
    <t>hvd.hx51ze</t>
  </si>
  <si>
    <t>008619788</t>
  </si>
  <si>
    <t>The American phonetic dictionary of the English language.</t>
  </si>
  <si>
    <t>Smalley, Daniel S.</t>
  </si>
  <si>
    <t>nyp.33433075923916</t>
  </si>
  <si>
    <t>nyp.33433069241721</t>
  </si>
  <si>
    <t>008619789</t>
  </si>
  <si>
    <t>nyp.33433069241457</t>
  </si>
  <si>
    <t>008619822</t>
  </si>
  <si>
    <t>The English reader, or, Pieces in prose and poetry : selected from the best writers, designed to assist young persons to read with propriety and effect ... /</t>
  </si>
  <si>
    <t>nyp.33433069241408</t>
  </si>
  <si>
    <t>008619823</t>
  </si>
  <si>
    <t>The English reader, or, Pieces in prose and poetry : from the best writers : designed to assist young persons to read with propriety and effect, improve their language and sentiments, and to inculcate the most important principles of piety and virtue : with a few preliminary observations on the principles of good reading /</t>
  </si>
  <si>
    <t>nyp.33433069241432</t>
  </si>
  <si>
    <t>008619825</t>
  </si>
  <si>
    <t>The English reader : or pieces in prose and poetry selected from the best writers... /</t>
  </si>
  <si>
    <t>nyp.33433069241523</t>
  </si>
  <si>
    <t>008619826</t>
  </si>
  <si>
    <t>008619709</t>
  </si>
  <si>
    <t>A hand-book of Anglo-Saxon root-words : in three parts /</t>
  </si>
  <si>
    <t>hvd.hwp99z</t>
  </si>
  <si>
    <t>008619714</t>
  </si>
  <si>
    <t>Roots and ramifications; or, Extracts from various books explanatory of the derivation or meaning of divers words.</t>
  </si>
  <si>
    <t>nyp.33433069240699</t>
  </si>
  <si>
    <t>nyp.33433069240632</t>
  </si>
  <si>
    <t>008619716</t>
  </si>
  <si>
    <t>The analyzer and expositor : containing exercises in English etymology, definition, and reading /</t>
  </si>
  <si>
    <t>Picket, Albert,</t>
  </si>
  <si>
    <t>nyp.33433069240590</t>
  </si>
  <si>
    <t>008619719</t>
  </si>
  <si>
    <t>An etymological manual of the English language; comprising the prefixes, affixes and principal Latin, Greek, and Saxon roots of the English language.</t>
  </si>
  <si>
    <t>Smeaton, William.</t>
  </si>
  <si>
    <t>nyp.33433069240582</t>
  </si>
  <si>
    <t>008619721</t>
  </si>
  <si>
    <t>A new system of English etymology: consisting of a pupil's manual and a teacher's class-book.</t>
  </si>
  <si>
    <t>nyp.33433069240574</t>
  </si>
  <si>
    <t>008619727</t>
  </si>
  <si>
    <t>English etymologies /</t>
  </si>
  <si>
    <t>Talbot, William Henry Fox,</t>
  </si>
  <si>
    <t>nyp.33433069240913</t>
  </si>
  <si>
    <t>008619728</t>
  </si>
  <si>
    <t>Antiquitates curiosæ; the etymology of many remarkable old sayings, proverbs, and singular customs explained.</t>
  </si>
  <si>
    <t>Taylor, Joseph,</t>
  </si>
  <si>
    <t>nyp.33433069240889</t>
  </si>
  <si>
    <t>008619731</t>
  </si>
  <si>
    <t>Language in the making; a word study,</t>
  </si>
  <si>
    <t>Thoma, Wilhelmina M.</t>
  </si>
  <si>
    <t>nyp.33433069240871</t>
  </si>
  <si>
    <t>008619732</t>
  </si>
  <si>
    <t>The first book of etymology: designed to promote precision in the use, and facilitate the acquisition of a knowledge of the English language. For beginners. On the basis of "The first book of etymology,</t>
  </si>
  <si>
    <t>hvd.hn1c7s</t>
  </si>
  <si>
    <t>008619735</t>
  </si>
  <si>
    <t>An analysis of the derivative words in the English language; or, A key to their precise analytic definitions, by prefixes and suffixes ...</t>
  </si>
  <si>
    <t>nyp.33433069240541</t>
  </si>
  <si>
    <t>nyp.33433069240566</t>
  </si>
  <si>
    <t>008619736</t>
  </si>
  <si>
    <t>An analysis of derivative words in the English language, or, A key to their precise analytic definitions by prefixes and suffixes /</t>
  </si>
  <si>
    <t>nyp.33433069240798</t>
  </si>
  <si>
    <t>008619739</t>
  </si>
  <si>
    <t>nyp.33433069240822</t>
  </si>
  <si>
    <t>008619740</t>
  </si>
  <si>
    <t>Trench, Richard Chevevix,</t>
  </si>
  <si>
    <t>nyp.33433069240780</t>
  </si>
  <si>
    <t>008619742</t>
  </si>
  <si>
    <t>nyp.33433069240848</t>
  </si>
  <si>
    <t>008619743</t>
  </si>
  <si>
    <t>A dictionary of the English language : in which the words are deduced from their originals, and illustrated in their different significations, by examples from the best writers, to which are prefixed a history of the language, and an English grammar /</t>
  </si>
  <si>
    <t>v. 4, S-Z</t>
  </si>
  <si>
    <t>nyp.33433070243401</t>
  </si>
  <si>
    <t>v. 3, L-R</t>
  </si>
  <si>
    <t>nyp.33433070243419</t>
  </si>
  <si>
    <t>v. 2, D-K</t>
  </si>
  <si>
    <t>nyp.33433070243427</t>
  </si>
  <si>
    <t>v. 1, A-D</t>
  </si>
  <si>
    <t>nyp.33433070243104</t>
  </si>
  <si>
    <t>008619697</t>
  </si>
  <si>
    <t>A dictionary of the English language: in which the words are deduced from their originals, explained in their different meanings, and authorised by the names of the writers in whose works they are found.</t>
  </si>
  <si>
    <t>nyp.33433069252942</t>
  </si>
  <si>
    <t>008619700</t>
  </si>
  <si>
    <t>Secund fönetic redur.</t>
  </si>
  <si>
    <t>nyp.33433069252520</t>
  </si>
  <si>
    <t>008619701</t>
  </si>
  <si>
    <t>Vocal sounds /</t>
  </si>
  <si>
    <t>Tucker, Abraham,</t>
  </si>
  <si>
    <t>nyp.33433069252918</t>
  </si>
  <si>
    <t>008619702</t>
  </si>
  <si>
    <t>A handbook of the engrafted words of the English language, embracing those of Gothic, Celtic, French, Latin, and Greek origin on the basis of the hand-books of the Anglo-Saxon root-words and derivatives...</t>
  </si>
  <si>
    <t>nyp.33433070243385</t>
  </si>
  <si>
    <t>008619703</t>
  </si>
  <si>
    <t>The Scholar's companion : containing exercises in the orthography, derivation, and classification of English words : arranged on the basis of Butter's Etymological expositor.</t>
  </si>
  <si>
    <t>nyp.33433070243369</t>
  </si>
  <si>
    <t>008619704</t>
  </si>
  <si>
    <t>The Scholar's companion : containing exercises in the orthography, derivation, and classification of English words : arranged on the basis of Butter's Etymological expositer.</t>
  </si>
  <si>
    <t>nyp.33433069240749</t>
  </si>
  <si>
    <t>008619706</t>
  </si>
  <si>
    <t>The etymologic interpreter, or, An explanatory and pronouncing dictionary of the English language : to which is prefixed an introduction containing a full development of the principles of etymology and grammar, &amp;c. &amp;c. &amp;c. /</t>
  </si>
  <si>
    <t>nyp.33433075921035</t>
  </si>
  <si>
    <t>008619708</t>
  </si>
  <si>
    <t>Dufief's Nature displayed in her mode of teaching language to man: being A new and infallible method of acquiring a languages. Adapted to the Spanish.</t>
  </si>
  <si>
    <t>Spanish, v. 1</t>
  </si>
  <si>
    <t>Dufief, N. G.</t>
  </si>
  <si>
    <t>nyp.33433069240681</t>
  </si>
  <si>
    <t>Orthography, orthoepy, and punctuation, embodying the essential facts of the English language, with concise rules for punctuation and the use of capital letters; a text-book and book of reference for schools, colleges, and private students,</t>
  </si>
  <si>
    <t>Winchell, S. R.</t>
  </si>
  <si>
    <t>nyp.33433069253247</t>
  </si>
  <si>
    <t>008619674</t>
  </si>
  <si>
    <t>Wright's orthography : a hand-book of analytical orthography designed to teach the philosophy of orthography and orthoepy /</t>
  </si>
  <si>
    <t>nyp.33433069253213</t>
  </si>
  <si>
    <t>008619676</t>
  </si>
  <si>
    <t>Practical orthography, or, The art of teaching spelling by writing : containing an improved method of dictating : with exercises for practice : and collections of words of difficult, irregular and variable spelling ... /</t>
  </si>
  <si>
    <t>Bearcroft, William.</t>
  </si>
  <si>
    <t>nyp.33433069253676</t>
  </si>
  <si>
    <t>008619685</t>
  </si>
  <si>
    <t>The critical pronouncing spelling-book : containing the rudiments of the English language, to which are prefixed the principles of English pronunciation : compiled for the use of schools in the United States and Great Britain /</t>
  </si>
  <si>
    <t>Burhans, Hezekiah.</t>
  </si>
  <si>
    <t>hvd.hwskkz</t>
  </si>
  <si>
    <t>008619687</t>
  </si>
  <si>
    <t>A treatise on phonology: comprising a perfect alphabet for the English language; a specimen exhibition of the absurdities of our present system of orthography; Comstock's, Pitman's, and the Cincinnati alphabet, contrasted; a lecture on phonetics, by Prof. McLaine; the pamphoneticon, and recommendations of Comstock's alphabet.</t>
  </si>
  <si>
    <t>nyp.33433069252702</t>
  </si>
  <si>
    <t>nyp.33433069253171</t>
  </si>
  <si>
    <t>008619689</t>
  </si>
  <si>
    <t>Cobb's new spelling book : in six parts ... /</t>
  </si>
  <si>
    <t>nyp.33433069253338</t>
  </si>
  <si>
    <t>008619691</t>
  </si>
  <si>
    <t>The pronouncing spelling book : adapted to Walkers_x0013__x0003_ Critical pronouncing dictionary, in which the precise sound of every syllable is accurately conveyed in a manner perfectly intelligible to every capacity, by placing over such letters as lose their sounds, those letters whose sounds they receive /</t>
  </si>
  <si>
    <t>Cummings, J. A.</t>
  </si>
  <si>
    <t>nyp.33433070243393</t>
  </si>
  <si>
    <t>008619693</t>
  </si>
  <si>
    <t>The "Standard-alphebet" problem or the preliminary subject of a general phonic system, considered on the basis of some important facts in the Sechwana language of South Africa ...</t>
  </si>
  <si>
    <t>Moffat, Robert,</t>
  </si>
  <si>
    <t>nyp.33433075910947</t>
  </si>
  <si>
    <t>008619594</t>
  </si>
  <si>
    <t>Trial of William Roger in the High Court of Justiciary, Edinburgh, on the charge of falsehood, fraud &amp; wilful imposition, with an appendix /</t>
  </si>
  <si>
    <t>Roger, William,</t>
  </si>
  <si>
    <t>hvd.32044097079818</t>
  </si>
  <si>
    <t>008619605</t>
  </si>
  <si>
    <t>Manual, analytical and synthetical, of orthography and definition /</t>
  </si>
  <si>
    <t>hvd.hw236b</t>
  </si>
  <si>
    <t>nyp.33433069251373</t>
  </si>
  <si>
    <t>nyp.33433069251472</t>
  </si>
  <si>
    <t>008619609</t>
  </si>
  <si>
    <t>A business spelling book for use in high schools and business colleges /</t>
  </si>
  <si>
    <t>nyp.33433069252892</t>
  </si>
  <si>
    <t>008619616</t>
  </si>
  <si>
    <t>Word lessons : a complete speller adapted for use in the higher primary, intermediate, and grammar grades : designed to teach the correct spelling, pronunciation and use of such words only as are most common in current literature, and as are most likely to be misspelled, mispronounced, or misused, and to awaken new interest in the study of synonyms and of word analysis /</t>
  </si>
  <si>
    <t>nyp.33433069253288</t>
  </si>
  <si>
    <t>008619624</t>
  </si>
  <si>
    <t>Dictation exercises /</t>
  </si>
  <si>
    <t>Sewell, Elizabeth Missing,</t>
  </si>
  <si>
    <t>uva.x001164511</t>
  </si>
  <si>
    <t>nyp.33433069252785</t>
  </si>
  <si>
    <t>008619628</t>
  </si>
  <si>
    <t>The language-speller; a correlation of language work with spelling,</t>
  </si>
  <si>
    <t>hvd.hn24z4</t>
  </si>
  <si>
    <t>008619650</t>
  </si>
  <si>
    <t>Town's new speller and definer : containing a new and complete key to pronunciation, an introduction to the "Analysis of derivative words in the English language", dictation exercises, and various other improvements /</t>
  </si>
  <si>
    <t>nyp.33433069252819</t>
  </si>
  <si>
    <t>nyp.33433069254385</t>
  </si>
  <si>
    <t>008619652</t>
  </si>
  <si>
    <t>Lectures on the English language /</t>
  </si>
  <si>
    <t>nyp.33433069240004</t>
  </si>
  <si>
    <t>008619655</t>
  </si>
  <si>
    <t>German orthography and phonology; a treatise with a word-list,</t>
  </si>
  <si>
    <t>nyp.33433069254252</t>
  </si>
  <si>
    <t>008619656</t>
  </si>
  <si>
    <t>Manual of good English,</t>
  </si>
  <si>
    <t>MacCracken, H. N.</t>
  </si>
  <si>
    <t>nyp.33433069253924</t>
  </si>
  <si>
    <t>008619672</t>
  </si>
  <si>
    <t>Barrett, Solomon.</t>
  </si>
  <si>
    <t>loc.ark:/13960/t8rb7jp5x</t>
  </si>
  <si>
    <t>008619539</t>
  </si>
  <si>
    <t>Blessing Esau; experiments in high school English-teaching,</t>
  </si>
  <si>
    <t>Randall, Julia Davenport.</t>
  </si>
  <si>
    <t>nyp.33433069253403</t>
  </si>
  <si>
    <t>nyp.33433069253387</t>
  </si>
  <si>
    <t>008619543</t>
  </si>
  <si>
    <t>English for coming Americans; a rational system for teaching English to foreigners</t>
  </si>
  <si>
    <t>nyp.33433069253700</t>
  </si>
  <si>
    <t>008619552</t>
  </si>
  <si>
    <t>English grammar in familiar lectures : accompanied by a compendium, embracing a new systematick order of parsing, a new system of punctuation, exercises in false syntax, and a system of philosophical grammar in notes : to which are added, an appendix and a key to the exercises : designed for the use of schools and private learners /</t>
  </si>
  <si>
    <t>nyp.33433069254435</t>
  </si>
  <si>
    <t>008619565</t>
  </si>
  <si>
    <t>Analytical outlines of the English language, or A cursory examination of its materials and structure ... In the form of familiar dialogues, intended to accompany grammatical studies.</t>
  </si>
  <si>
    <t>Lewis, John,</t>
  </si>
  <si>
    <t>nyp.33433069252587</t>
  </si>
  <si>
    <t>008619572</t>
  </si>
  <si>
    <t>Putnam's minute-a-day English : for busy people /</t>
  </si>
  <si>
    <t>Carr, Edwin Hamlin.</t>
  </si>
  <si>
    <t>nyp.33433074391404</t>
  </si>
  <si>
    <t>008619576</t>
  </si>
  <si>
    <t>English visible speech in twelve lessons.</t>
  </si>
  <si>
    <t>nyp.33433074391370</t>
  </si>
  <si>
    <t>008619578</t>
  </si>
  <si>
    <t>The mechanism of speech; lectures delivered before the American association to promote the teaching of speech to the deaf, to which is appended a paper Vowell theories read before the National Academy of Arts and Sciences.</t>
  </si>
  <si>
    <t>nyp.33433074391321</t>
  </si>
  <si>
    <t>008619586</t>
  </si>
  <si>
    <t>The Ives first book /</t>
  </si>
  <si>
    <t>nyp.33433074391446</t>
  </si>
  <si>
    <t>008619587</t>
  </si>
  <si>
    <t>The human speech sounds : tracing the evolution of the forty-three speech sounds in the human voice through all their series, classes, kinds and forms to the limit of audible distinction, describing their organic formations, together with the positions of the mouth parts--</t>
  </si>
  <si>
    <t>nyp.33433075910764</t>
  </si>
  <si>
    <t>008619589</t>
  </si>
  <si>
    <t>Simplicité : a reader of French pronunciation /</t>
  </si>
  <si>
    <t>Tuckerman, Julius,</t>
  </si>
  <si>
    <t>nyp.33433061705152</t>
  </si>
  <si>
    <t>008619227</t>
  </si>
  <si>
    <t>A grammar of the French language : with practical exercises /</t>
  </si>
  <si>
    <t>Wanostrocht, N.</t>
  </si>
  <si>
    <t>nyp.33433075910061</t>
  </si>
  <si>
    <t>008619345</t>
  </si>
  <si>
    <t>Study and practice of French; handbook of pronunciation for advanced grades,</t>
  </si>
  <si>
    <t>Boname, Louise Catherine.</t>
  </si>
  <si>
    <t>nyp.33433075910335</t>
  </si>
  <si>
    <t>008619351</t>
  </si>
  <si>
    <t>A self-teaching reader, for the study of the pronunciation of the French language : after a plan entirely new ; which will enable the American or English student to acquire with facility a correct pronunciation, with or without the assistance of a teacher /</t>
  </si>
  <si>
    <t>Laporte, Théodore Charles,</t>
  </si>
  <si>
    <t>nyp.33433070241934</t>
  </si>
  <si>
    <t>008619374</t>
  </si>
  <si>
    <t>Practical study of French pronunciation.</t>
  </si>
  <si>
    <t>Tesson, Louis.</t>
  </si>
  <si>
    <t>nyp.33433070241975</t>
  </si>
  <si>
    <t>008619375</t>
  </si>
  <si>
    <t>A new pronouncing French primer, or, The scholars' guide to the accurate pronunciation and orthography of the French language ... /</t>
  </si>
  <si>
    <t>Tronchin, Bernard.</t>
  </si>
  <si>
    <t>hvd.32044014553341</t>
  </si>
  <si>
    <t>008619403</t>
  </si>
  <si>
    <t>An essay on the pronunciation of the Greek language.</t>
  </si>
  <si>
    <t>Pennington, George James.</t>
  </si>
  <si>
    <t>nyp.33433075911895</t>
  </si>
  <si>
    <t>hvd.32044102772365</t>
  </si>
  <si>
    <t>008619410</t>
  </si>
  <si>
    <t>Introduction to Greek prosody : in three parts, with an appendix on the metres of Horace : adapted to the use of beginners /</t>
  </si>
  <si>
    <t>Wilson, Peter,</t>
  </si>
  <si>
    <t>nyp.33433074394259</t>
  </si>
  <si>
    <t>nyp.33433069253809</t>
  </si>
  <si>
    <t>008619492</t>
  </si>
  <si>
    <t>nyp.33433069253650</t>
  </si>
  <si>
    <t>008619503</t>
  </si>
  <si>
    <t>Games and rhymes for language teaching in the first four grades,</t>
  </si>
  <si>
    <t>nyp.33433069253593</t>
  </si>
  <si>
    <t>008619515</t>
  </si>
  <si>
    <t>The psychology and pedagogy of reading, with a review of the history of reading and writing and of methods, texts, and hygiene in reading.</t>
  </si>
  <si>
    <t>nyp.33433069254310</t>
  </si>
  <si>
    <t>008619522</t>
  </si>
  <si>
    <t>nyp.33433069254302</t>
  </si>
  <si>
    <t>008619532</t>
  </si>
  <si>
    <t>The principles of language : containing a full grammatical analysis of English poetry, confirmed by syllogistic reasoning and logical induction : with corrections in syntax and copious examples in prosody /</t>
  </si>
  <si>
    <t>nyp.33433074845656</t>
  </si>
  <si>
    <t>v. 49, p. 2 (Thomson, Hammond, Collins)</t>
  </si>
  <si>
    <t>nyp.33433074845664</t>
  </si>
  <si>
    <t>v. 50, p. 1 (Young)</t>
  </si>
  <si>
    <t>nyp.33433074845672</t>
  </si>
  <si>
    <t>v. 51, p. 2 (Young)</t>
  </si>
  <si>
    <t>nyp.33433074845680</t>
  </si>
  <si>
    <t>v. 52, p. 3 (Young)</t>
  </si>
  <si>
    <t>nyp.33433074845698</t>
  </si>
  <si>
    <t>v. 53 (Dyer, Mallet)</t>
  </si>
  <si>
    <t>nyp.33433074845706</t>
  </si>
  <si>
    <t>v. 54 (Shenstone)</t>
  </si>
  <si>
    <t>nyp.33433074845714</t>
  </si>
  <si>
    <t>v. 55 (Akenside)</t>
  </si>
  <si>
    <t>nyp.33433074845722</t>
  </si>
  <si>
    <t>v. 56 (Lyttelton, West, Gray)</t>
  </si>
  <si>
    <t>nyp.33433074845730</t>
  </si>
  <si>
    <t>v. 57, p. 1 (Index)</t>
  </si>
  <si>
    <t>nyp.33433074845748</t>
  </si>
  <si>
    <t>v. 48, p. 2 (Index)</t>
  </si>
  <si>
    <t>hvd.hwpab9</t>
  </si>
  <si>
    <t>008618361</t>
  </si>
  <si>
    <t>hvd.hwpac3</t>
  </si>
  <si>
    <t>hvd.hwpac4</t>
  </si>
  <si>
    <t>hvd.hwpac5</t>
  </si>
  <si>
    <t>nyp.33433067366736</t>
  </si>
  <si>
    <t>nyp.33433067366744</t>
  </si>
  <si>
    <t>nyp.33433067366751</t>
  </si>
  <si>
    <t>nyp.33433074389465</t>
  </si>
  <si>
    <t>008618826</t>
  </si>
  <si>
    <t>De institutione oratoria, libri duodecim.</t>
  </si>
  <si>
    <t>nyp.33433074389473</t>
  </si>
  <si>
    <t>nyp.33433074380837</t>
  </si>
  <si>
    <t>008618924</t>
  </si>
  <si>
    <t>The philosophy of words. A popular introduction to the science of language,</t>
  </si>
  <si>
    <t>Garlanda, Federico,</t>
  </si>
  <si>
    <t>nyp.33433074393871</t>
  </si>
  <si>
    <t>008619103</t>
  </si>
  <si>
    <t>Modern philology : its discoveries, history and influence ... /</t>
  </si>
  <si>
    <t>hvd.32044009787730</t>
  </si>
  <si>
    <t>008619121</t>
  </si>
  <si>
    <t>Philological studies : with English illustrations /</t>
  </si>
  <si>
    <t>hvd.32044038398632</t>
  </si>
  <si>
    <t>hvd.32044105427801</t>
  </si>
  <si>
    <t>nyp.33433074373634</t>
  </si>
  <si>
    <t>nyp.33433074388798</t>
  </si>
  <si>
    <t>008619128</t>
  </si>
  <si>
    <t>Precis de grammaire comparée de l'anglais et de l'allemand, rapportés a leur commune origine et rapprochés des langues classiques.</t>
  </si>
  <si>
    <t>hvd.hn1s5z</t>
  </si>
  <si>
    <t>008619132</t>
  </si>
  <si>
    <t>A system of Latin versification : in a series of progressive exercises, including specimens of translation from English and German poetry into Latin verse : for the use of schools and colleges /</t>
  </si>
  <si>
    <t>nyp.33433075921969</t>
  </si>
  <si>
    <t>008619133</t>
  </si>
  <si>
    <t>Latin prosody made easy. /</t>
  </si>
  <si>
    <t>Carey, John,</t>
  </si>
  <si>
    <t>nyp.33433075920839</t>
  </si>
  <si>
    <t>008619189</t>
  </si>
  <si>
    <t>A new Spanish grammar; or, The elements of the Spanish language: containing an easy and compendious method to speak and write it correctly.</t>
  </si>
  <si>
    <t>Pueyo, Raymundo del.</t>
  </si>
  <si>
    <t>nyp.33433070241702</t>
  </si>
  <si>
    <t>008619222</t>
  </si>
  <si>
    <t>v. 16, p. 4 (Dryden)</t>
  </si>
  <si>
    <t>nyp.33433074845094</t>
  </si>
  <si>
    <t>v. 17, p. 1 (Dryden's Virgil)</t>
  </si>
  <si>
    <t>nyp.33433074845102</t>
  </si>
  <si>
    <t>v. 18, p. 2 (Virgil, Dryden, Samuel Johnson)</t>
  </si>
  <si>
    <t>nyp.33433074845110</t>
  </si>
  <si>
    <t>v. 19, p. 3 (Dryden's Virgil)</t>
  </si>
  <si>
    <t>nyp.33433074845128</t>
  </si>
  <si>
    <t>v. 20 (Garth, King)</t>
  </si>
  <si>
    <t>nyp.33433074845136</t>
  </si>
  <si>
    <t>v. 21 (Philips, Smith, Pomfret)</t>
  </si>
  <si>
    <t>nyp.33433074845144</t>
  </si>
  <si>
    <t>v. 22 (Hughes)</t>
  </si>
  <si>
    <t>nyp.33433074845151</t>
  </si>
  <si>
    <t>v. 23 (Addison)</t>
  </si>
  <si>
    <t>nyp.33433074845169</t>
  </si>
  <si>
    <t>v. 24 (Creation, Blackmore)</t>
  </si>
  <si>
    <t>nyp.33433074845177</t>
  </si>
  <si>
    <t>v. 25 (Buckingham, Lansdowne)</t>
  </si>
  <si>
    <t>nyp.33433074845185</t>
  </si>
  <si>
    <t>v. 26 (Rowe, Tickell)</t>
  </si>
  <si>
    <t>nyp.33433074845193</t>
  </si>
  <si>
    <t>v. 27, p. 1 (Rowe's Lucan)</t>
  </si>
  <si>
    <t>nyp.33433074845201</t>
  </si>
  <si>
    <t>v. 29 (Congreve, Fenton)</t>
  </si>
  <si>
    <t>nyp.33433074845219</t>
  </si>
  <si>
    <t>v. 30, p. 1 (Prior)</t>
  </si>
  <si>
    <t>nyp.33433074845227</t>
  </si>
  <si>
    <t>v. 31, p. 2 (Prior)</t>
  </si>
  <si>
    <t>nyp.33433074845235</t>
  </si>
  <si>
    <t>v. 32, p. 1 (Pope)</t>
  </si>
  <si>
    <t>nyp.33433074845243</t>
  </si>
  <si>
    <t>v. 33, p. 2 (Pope)</t>
  </si>
  <si>
    <t>nyp.33433074845250</t>
  </si>
  <si>
    <t>v. 34, p. 3 (Pope)</t>
  </si>
  <si>
    <t>nyp.33433074845458</t>
  </si>
  <si>
    <t>v. 6, p. 1 (Butler)</t>
  </si>
  <si>
    <t>nyp.33433074845466</t>
  </si>
  <si>
    <t>v. 5, p. 3 (Milton)</t>
  </si>
  <si>
    <t>nyp.33433074845474</t>
  </si>
  <si>
    <t>v. 4, p. 2 (Milton)</t>
  </si>
  <si>
    <t>nyp.33433074845482</t>
  </si>
  <si>
    <t>v. 3, p. 1 (Milton)</t>
  </si>
  <si>
    <t>nyp.33433074845490</t>
  </si>
  <si>
    <t>v. 2, pt. 2 (Cowley)</t>
  </si>
  <si>
    <t>nyp.33433074845508</t>
  </si>
  <si>
    <t>v. 1, Cowley pt. 1</t>
  </si>
  <si>
    <t>nyp.33433074845516</t>
  </si>
  <si>
    <t>v. 35 (Pope's Homer The Iliad)</t>
  </si>
  <si>
    <t>nyp.33433074845524</t>
  </si>
  <si>
    <t>v. 36, p. 2 (Homer, The Iliad)</t>
  </si>
  <si>
    <t>nyp.33433074845532</t>
  </si>
  <si>
    <t>v. 37 (Pope's Homer)</t>
  </si>
  <si>
    <t>nyp.33433074845540</t>
  </si>
  <si>
    <t>v. 38, p. 2 (Homer, The Odyssey)</t>
  </si>
  <si>
    <t>nyp.33433074845557</t>
  </si>
  <si>
    <t>v. 39, p. 1 (Swift)</t>
  </si>
  <si>
    <t>nyp.33433074845565</t>
  </si>
  <si>
    <t>v. 40, p. 2 (Swift)</t>
  </si>
  <si>
    <t>nyp.33433074845573</t>
  </si>
  <si>
    <t>v. 41, p. 1 (Gay)</t>
  </si>
  <si>
    <t>nyp.33433074845581</t>
  </si>
  <si>
    <t>v. 42, p. 2 (Gay)</t>
  </si>
  <si>
    <t>nyp.33433074845599</t>
  </si>
  <si>
    <t>v. 43 (Broome, Pitt)</t>
  </si>
  <si>
    <t>nyp.33433074845607</t>
  </si>
  <si>
    <t>v. 44 (Parnell, Philips)</t>
  </si>
  <si>
    <t>nyp.33433074845615</t>
  </si>
  <si>
    <t>v. 45 (Savage)</t>
  </si>
  <si>
    <t>nyp.33433074845623</t>
  </si>
  <si>
    <t>v. 46 (Watts)</t>
  </si>
  <si>
    <t>nyp.33433074845631</t>
  </si>
  <si>
    <t>v. 47 (Somerville)</t>
  </si>
  <si>
    <t>nyp.33433074845649</t>
  </si>
  <si>
    <t>v. 48, p. 1 (thomson)</t>
  </si>
  <si>
    <t>nyp.33433067299184</t>
  </si>
  <si>
    <t>v. 22</t>
  </si>
  <si>
    <t>nyp.33433067299192</t>
  </si>
  <si>
    <t>v. 23</t>
  </si>
  <si>
    <t>nyp.33433067299200</t>
  </si>
  <si>
    <t>v. 24</t>
  </si>
  <si>
    <t>nyp.33433067299218</t>
  </si>
  <si>
    <t>v. 25</t>
  </si>
  <si>
    <t>nyp.33433067299226</t>
  </si>
  <si>
    <t>v. 26</t>
  </si>
  <si>
    <t>nyp.33433067299234</t>
  </si>
  <si>
    <t>v. 27</t>
  </si>
  <si>
    <t>nyp.33433067299242</t>
  </si>
  <si>
    <t>v. 28</t>
  </si>
  <si>
    <t>nyp.33433067299259</t>
  </si>
  <si>
    <t>v. 29</t>
  </si>
  <si>
    <t>nyp.33433067299267</t>
  </si>
  <si>
    <t>v. 30</t>
  </si>
  <si>
    <t>nyp.33433067299275</t>
  </si>
  <si>
    <t>v. 31</t>
  </si>
  <si>
    <t>nyp.33433067299283</t>
  </si>
  <si>
    <t>v. 32</t>
  </si>
  <si>
    <t>nyp.33433067299291</t>
  </si>
  <si>
    <t>v. 33</t>
  </si>
  <si>
    <t>nyp.33433067299309</t>
  </si>
  <si>
    <t>v. 34</t>
  </si>
  <si>
    <t>nyp.33433067299317</t>
  </si>
  <si>
    <t>v. 35</t>
  </si>
  <si>
    <t>nyp.33433067299325</t>
  </si>
  <si>
    <t>v. 36</t>
  </si>
  <si>
    <t>nyp.33433067299333</t>
  </si>
  <si>
    <t>v. 37</t>
  </si>
  <si>
    <t>nyp.33433067299341</t>
  </si>
  <si>
    <t>v. 38</t>
  </si>
  <si>
    <t>nyp.33433067299358</t>
  </si>
  <si>
    <t>v. 39</t>
  </si>
  <si>
    <t>nyp.33433067299366</t>
  </si>
  <si>
    <t>v. 40</t>
  </si>
  <si>
    <t>nyp.33433067299374</t>
  </si>
  <si>
    <t>v. 41</t>
  </si>
  <si>
    <t>nyp.33433067299382</t>
  </si>
  <si>
    <t>v. 42</t>
  </si>
  <si>
    <t>nyp.33433067299390</t>
  </si>
  <si>
    <t>v. 43</t>
  </si>
  <si>
    <t>nyp.33433067299408</t>
  </si>
  <si>
    <t>v. 44</t>
  </si>
  <si>
    <t>nyp.33433067299416</t>
  </si>
  <si>
    <t>v. 45</t>
  </si>
  <si>
    <t>nyp.33433067299424</t>
  </si>
  <si>
    <t>v. 46</t>
  </si>
  <si>
    <t>nyp.33433067299432</t>
  </si>
  <si>
    <t>v. 47</t>
  </si>
  <si>
    <t>nyp.33433067299440</t>
  </si>
  <si>
    <t>v. 48</t>
  </si>
  <si>
    <t>nyp.33433067299457</t>
  </si>
  <si>
    <t>v. 49</t>
  </si>
  <si>
    <t>nyp.33433067299465</t>
  </si>
  <si>
    <t>v. 50</t>
  </si>
  <si>
    <t>nyp.33433067299473</t>
  </si>
  <si>
    <t>v. 51</t>
  </si>
  <si>
    <t>nyp.33433067299481</t>
  </si>
  <si>
    <t>v. 52</t>
  </si>
  <si>
    <t>nyp.33433067299499</t>
  </si>
  <si>
    <t>v. 53</t>
  </si>
  <si>
    <t>nyp.33433067299507</t>
  </si>
  <si>
    <t>v. 54</t>
  </si>
  <si>
    <t>nyp.33433067299515</t>
  </si>
  <si>
    <t>v. 55</t>
  </si>
  <si>
    <t>nyp.33433067299523</t>
  </si>
  <si>
    <t>v. 56</t>
  </si>
  <si>
    <t>nyp.33433067299531</t>
  </si>
  <si>
    <t>v. 57</t>
  </si>
  <si>
    <t>nyp.33433067299549</t>
  </si>
  <si>
    <t>v. 59</t>
  </si>
  <si>
    <t>nyp.33433067299556</t>
  </si>
  <si>
    <t>v. 60</t>
  </si>
  <si>
    <t>nyp.33433067299564</t>
  </si>
  <si>
    <t>v. 61</t>
  </si>
  <si>
    <t>nyp.33433067299580</t>
  </si>
  <si>
    <t>v. 63</t>
  </si>
  <si>
    <t>nyp.33433067299598</t>
  </si>
  <si>
    <t>v. 64</t>
  </si>
  <si>
    <t>nyp.33433067299606</t>
  </si>
  <si>
    <t>v. 65</t>
  </si>
  <si>
    <t>nyp.33433067299614</t>
  </si>
  <si>
    <t>v. 66</t>
  </si>
  <si>
    <t>nyp.33433067299622</t>
  </si>
  <si>
    <t>v. 67</t>
  </si>
  <si>
    <t>nyp.33433074845011</t>
  </si>
  <si>
    <t>v. 7, p. 2 (Butler)</t>
  </si>
  <si>
    <t>nyp.33433074845029</t>
  </si>
  <si>
    <t>v. 8 (Waller)</t>
  </si>
  <si>
    <t>nyp.33433074845037</t>
  </si>
  <si>
    <t>v. 9 (Denham, Spratt)</t>
  </si>
  <si>
    <t>nyp.33433074845045</t>
  </si>
  <si>
    <t>v. 11 (Otway, Duke, Dorset)</t>
  </si>
  <si>
    <t>nyp.33433074845052</t>
  </si>
  <si>
    <t>v. 13, p. 1 (Dryden)</t>
  </si>
  <si>
    <t>nyp.33433074845060</t>
  </si>
  <si>
    <t>v. 14, p. 2 (Dryden)</t>
  </si>
  <si>
    <t>nyp.33433074845078</t>
  </si>
  <si>
    <t>v. 15, p. 3 (Dryden)</t>
  </si>
  <si>
    <t>nyp.33433074845086</t>
  </si>
  <si>
    <t>Ahn, F.</t>
  </si>
  <si>
    <t>nyp.33433038666669</t>
  </si>
  <si>
    <t>008613911</t>
  </si>
  <si>
    <t>nyp.33433074834791</t>
  </si>
  <si>
    <t>008613999</t>
  </si>
  <si>
    <t>Excelsior, or, The realms of poesie / by Alastor.</t>
  </si>
  <si>
    <t>Orton, James,</t>
  </si>
  <si>
    <t>nyp.33433074384102</t>
  </si>
  <si>
    <t>008614960</t>
  </si>
  <si>
    <t>Primitive music; an inquiry into the origin and development of music, songs, instruments, dances, and pantomimes of savage races. With musical examples.</t>
  </si>
  <si>
    <t>nyp.33433081600128</t>
  </si>
  <si>
    <t>008615049</t>
  </si>
  <si>
    <t>nyp.33433074840186</t>
  </si>
  <si>
    <t>008615375</t>
  </si>
  <si>
    <t>nyp.33433059335103</t>
  </si>
  <si>
    <t>008616016</t>
  </si>
  <si>
    <t>Lectures on the English poets /</t>
  </si>
  <si>
    <t>nyp.33433061845875</t>
  </si>
  <si>
    <t>008616919</t>
  </si>
  <si>
    <t>Biographical sketches of eminent British poets, chronologically arranged from Chaucer to Burns, with criticisms on their work, selected from the most distinguished writers.</t>
  </si>
  <si>
    <t>nyp.33433067277214</t>
  </si>
  <si>
    <t>008617120</t>
  </si>
  <si>
    <t>The lives of the English poets: and a criticism of their work.</t>
  </si>
  <si>
    <t>nyp.33433070243492</t>
  </si>
  <si>
    <t>008617169</t>
  </si>
  <si>
    <t>An analytical dictionary of the English language, in which the words are explained in the order of their natural affinity, independent of alphabetical arrangement ...</t>
  </si>
  <si>
    <t>nyp.33433067364764</t>
  </si>
  <si>
    <t>008618253</t>
  </si>
  <si>
    <t>The history of the rise and progress of poetry, through it's several species. /</t>
  </si>
  <si>
    <t>nyp.33433082502521</t>
  </si>
  <si>
    <t>008618283</t>
  </si>
  <si>
    <t>A history of criticism and literary taste in Europe from the earliest texts to the present day,</t>
  </si>
  <si>
    <t>nyp.33433082502539</t>
  </si>
  <si>
    <t>nyp.33433067298970</t>
  </si>
  <si>
    <t>008618324</t>
  </si>
  <si>
    <t>The works of the English poets. With prefaces, biographical and critical,</t>
  </si>
  <si>
    <t>nyp.33433067298988</t>
  </si>
  <si>
    <t>nyp.33433067298996</t>
  </si>
  <si>
    <t>nyp.33433067299002</t>
  </si>
  <si>
    <t>nyp.33433067299010</t>
  </si>
  <si>
    <t>nyp.33433067299028</t>
  </si>
  <si>
    <t>nyp.33433067299036</t>
  </si>
  <si>
    <t>nyp.33433067299044</t>
  </si>
  <si>
    <t>nyp.33433067299051</t>
  </si>
  <si>
    <t>nyp.33433067299069</t>
  </si>
  <si>
    <t>nyp.33433067299077</t>
  </si>
  <si>
    <t>nyp.33433067299085</t>
  </si>
  <si>
    <t>nyp.33433067299101</t>
  </si>
  <si>
    <t>nyp.33433067299119</t>
  </si>
  <si>
    <t>nyp.33433067299127</t>
  </si>
  <si>
    <t>nyp.33433067299135</t>
  </si>
  <si>
    <t>v. 17</t>
  </si>
  <si>
    <t>nyp.33433067299143</t>
  </si>
  <si>
    <t>v. 18</t>
  </si>
  <si>
    <t>nyp.33433067299150</t>
  </si>
  <si>
    <t>v. 19</t>
  </si>
  <si>
    <t>nyp.33433067299168</t>
  </si>
  <si>
    <t>v. 20</t>
  </si>
  <si>
    <t>nyp.33433067299176</t>
  </si>
  <si>
    <t>v. 21</t>
  </si>
  <si>
    <t>The advance of English poetry in the twentieth century.</t>
  </si>
  <si>
    <t>nyp.33433043382500</t>
  </si>
  <si>
    <t>008612132</t>
  </si>
  <si>
    <t>How to pronounce the names in Shakespeare; the pronunciation of the names in the dramatis personae of each of Shakespeare's plays, also the pronunciation and explanation of place names and the names of all persons, mythological characters, etc., found in the text, with forewords by E.H. Sothern and Thomas W. Churchill and with a list of the dramas arranged alphabetically indicating the pronunciation of the names of the characters in the plays,</t>
  </si>
  <si>
    <t>Irvine, Theodora Ursula.</t>
  </si>
  <si>
    <t>nyp.33433043836661</t>
  </si>
  <si>
    <t>008612480</t>
  </si>
  <si>
    <t>An improved grammar of the English language /</t>
  </si>
  <si>
    <t>njp.32101045239017</t>
  </si>
  <si>
    <t>008612481</t>
  </si>
  <si>
    <t>The Canadian elocutionist : designed for the use of colleges, schools and for self instruction, together with a copious selection, in prose and poetry, of pieces adapted for reading, recitation and practice /</t>
  </si>
  <si>
    <t>Howard, Anna K.</t>
  </si>
  <si>
    <t>nyp.33433043836794</t>
  </si>
  <si>
    <t>nyp.33433043890163</t>
  </si>
  <si>
    <t>008612603</t>
  </si>
  <si>
    <t>An essay on elocution, designed for the use of schools and private learners.</t>
  </si>
  <si>
    <t>nyp.33433044080525</t>
  </si>
  <si>
    <t>008612714</t>
  </si>
  <si>
    <t>nyp.33433081602561</t>
  </si>
  <si>
    <t>008612767</t>
  </si>
  <si>
    <t>The three tours of Doctor Syntax : in search of 1. The picturesque, 2. Of consolation, 3. Of a wife : the text complete.</t>
  </si>
  <si>
    <t>nyp.33433044162810</t>
  </si>
  <si>
    <t>008612795</t>
  </si>
  <si>
    <t>A working grammar of the English language : designed to give in simple statement the principles and methods of correct English speech and writting /</t>
  </si>
  <si>
    <t>nyp.33433044665077</t>
  </si>
  <si>
    <t>008613155</t>
  </si>
  <si>
    <t>Illustrated lectures and lessons on the philosophy, physiology, psychology, pedagogy and child study; training and practice of the theory and art of penmanship for students and teachers in public, private, normal and commercial schools and colleges, or home reading and study ...</t>
  </si>
  <si>
    <t>Ellsworth, H. W.</t>
  </si>
  <si>
    <t>nyp.33433082124763</t>
  </si>
  <si>
    <t>008613431</t>
  </si>
  <si>
    <t>Ahn-Oehlschlaeger's pronouncing method of the German language : designed for instruction in schools and for private study.</t>
  </si>
  <si>
    <t>nyp.33433034372072</t>
  </si>
  <si>
    <t>nyp.33433000183008</t>
  </si>
  <si>
    <t>008594371</t>
  </si>
  <si>
    <t>Essays. On the nature and immutability of truth, in opposition to sophistry and scepticism. On poetry and music, as they affect the mind. On laughter, and ludicrous composition. On the utility of classical learning.</t>
  </si>
  <si>
    <t>hvd.hw2308</t>
  </si>
  <si>
    <t>008602678</t>
  </si>
  <si>
    <t>Orthophony; or, The cultivation of the voice, in elocution: a manual of elementary exercises, adapted to Dr. Rush's "Philosophy of the human voice," and the system of vocal culture introduced by Mr. James E. Murdoch. Designed as an introduction to Russell's "American elocutionist."</t>
  </si>
  <si>
    <t>nyp.33433084113376</t>
  </si>
  <si>
    <t>nyp.33433082518519</t>
  </si>
  <si>
    <t>008603830</t>
  </si>
  <si>
    <t>The Greek Christian poets and the English poets /</t>
  </si>
  <si>
    <t>nyp.33433074909031</t>
  </si>
  <si>
    <t>008603868</t>
  </si>
  <si>
    <t>The poetical works of Robert Anderson, author of "Cumberland ballads", &amp;c. : To which is prefixed the life of the author, written by himself : An essay on the character, manners, and customs of the peasantry of Cumberland; and observations on the style and genius of the author, by Thomas Sanderson.</t>
  </si>
  <si>
    <t>nyp.33433074909049</t>
  </si>
  <si>
    <t>nyp.33433020415604</t>
  </si>
  <si>
    <t>008605732</t>
  </si>
  <si>
    <t>The business man's English, spoken and written,</t>
  </si>
  <si>
    <t>nyp.33433020445999</t>
  </si>
  <si>
    <t>008605825</t>
  </si>
  <si>
    <t>Style-book of business English, designed for use in business colleges, high schools, and for self-instruction.</t>
  </si>
  <si>
    <t>Hammond, H. W.</t>
  </si>
  <si>
    <t>nyp.33433006346385</t>
  </si>
  <si>
    <t>008609163</t>
  </si>
  <si>
    <t>The literary workshop; helps for the writer,</t>
  </si>
  <si>
    <t>Baker, Josephine Turck,</t>
  </si>
  <si>
    <t>nyp.33433033154265</t>
  </si>
  <si>
    <t>008610634</t>
  </si>
  <si>
    <t>The music of nature; or, An attempt to prove that what is passionate and pleasing in the art of singing, speaking, and performing upon musical instruments, is derived from the sounds of the animated world. With curious and interesting illustrations,</t>
  </si>
  <si>
    <t>nyp.33433017206180</t>
  </si>
  <si>
    <t>008610999</t>
  </si>
  <si>
    <t>The American reporter, and the Ploughshare together with the complete phonographer /</t>
  </si>
  <si>
    <t>1849-1851</t>
  </si>
  <si>
    <t>nyp.33433043108525</t>
  </si>
  <si>
    <t>008611833</t>
  </si>
  <si>
    <t>Letters on literature, taste, and composition, addressed to his son.</t>
  </si>
  <si>
    <t>nyp.33433082510441</t>
  </si>
  <si>
    <t>008589381</t>
  </si>
  <si>
    <t>Landscape in American poetry.</t>
  </si>
  <si>
    <t>Larcom, Lucy,</t>
  </si>
  <si>
    <t>uc2.ark:/13960/fk6rx93q6t</t>
  </si>
  <si>
    <t>hvd.hx6ygd</t>
  </si>
  <si>
    <t>008589386</t>
  </si>
  <si>
    <t>Ancient critical essays upon English poets and poësy.</t>
  </si>
  <si>
    <t>Haslewood, Joseph,</t>
  </si>
  <si>
    <t>hvd.hx6ygs</t>
  </si>
  <si>
    <t>nyp.33433082511050</t>
  </si>
  <si>
    <t>nyp.33433082511068</t>
  </si>
  <si>
    <t>nyp.33433074788997</t>
  </si>
  <si>
    <t>008589780</t>
  </si>
  <si>
    <t>Restituta : or, Titles, extracts, and characters of old books in English literature, reviewed /</t>
  </si>
  <si>
    <t>nyp.33433074789003</t>
  </si>
  <si>
    <t>nyp.33433074789268</t>
  </si>
  <si>
    <t>nyp.33433074789276</t>
  </si>
  <si>
    <t>nyp.33433074921549</t>
  </si>
  <si>
    <t>nyp.33433074921556</t>
  </si>
  <si>
    <t>hvd.hnza86</t>
  </si>
  <si>
    <t>008589841</t>
  </si>
  <si>
    <t>nyp.33433074903695</t>
  </si>
  <si>
    <t>008589845</t>
  </si>
  <si>
    <t>The poems of Henry Howard, earl of Surrey.</t>
  </si>
  <si>
    <t>nyp.33433081968459</t>
  </si>
  <si>
    <t>008590346</t>
  </si>
  <si>
    <t>The new and complete dictionary of the English language ... : To which is prefixed, a comprehensive grammar. /</t>
  </si>
  <si>
    <t>v. 1 (A-M)</t>
  </si>
  <si>
    <t>Ash, John,</t>
  </si>
  <si>
    <t>nyp.33433081968467</t>
  </si>
  <si>
    <t>nyp.33433082310750</t>
  </si>
  <si>
    <t>008590353</t>
  </si>
  <si>
    <t>nyp.33433069248197</t>
  </si>
  <si>
    <t>008590364</t>
  </si>
  <si>
    <t>A grammatical institute of the English language, comprising a easy, concise, and systematic method of education, designed for the use of English schools in America. In three parts, part II containing a plain and comprehensive grammar, grounded on the true principles and idioms of the language</t>
  </si>
  <si>
    <t>nyp.33433069256513</t>
  </si>
  <si>
    <t>008590374</t>
  </si>
  <si>
    <t>A manual of practical English grammar on a new and easy plan : for schools, families and self-instructors /</t>
  </si>
  <si>
    <t>Munsell, Hezekiah.</t>
  </si>
  <si>
    <t>nyp.33433001046691</t>
  </si>
  <si>
    <t>008591093</t>
  </si>
  <si>
    <t>English exercises : adapted to Murray's English grammar ... Designed for the benefit of private learners as well as for the use of schools /</t>
  </si>
  <si>
    <t>hvd.hn32tf</t>
  </si>
  <si>
    <t>008591201</t>
  </si>
  <si>
    <t>Practical cosmophonography: a system of writing and printing all the principal languages, with their exact pronunciation, by means of an original universal phonetic alphabet...</t>
  </si>
  <si>
    <t>Fauvel-Gouraud, Francis.</t>
  </si>
  <si>
    <t>nyp.33433017205679</t>
  </si>
  <si>
    <t>uc1.$b616476</t>
  </si>
  <si>
    <t>uc2.ark:/13960/t3pv6h80h</t>
  </si>
  <si>
    <t>uc1.$b616486</t>
  </si>
  <si>
    <t>008578729</t>
  </si>
  <si>
    <t>The development of modern English,</t>
  </si>
  <si>
    <t>Robertson, Stuart,</t>
  </si>
  <si>
    <t>uc2.ark:/13960/t0ms3qw0s</t>
  </si>
  <si>
    <t>008578736</t>
  </si>
  <si>
    <t>The history of the English language from the Teutonic invasion of Britain to the close of the Georgian era /</t>
  </si>
  <si>
    <t>Shepherd, Henry E.</t>
  </si>
  <si>
    <t>hvd.hx5b18</t>
  </si>
  <si>
    <t>008578741</t>
  </si>
  <si>
    <t>On the origin and ramifications of the English language. Preceded by an inquiry into the primitive seats, early migrations, and final settlements of the principal European nations.</t>
  </si>
  <si>
    <t>Welsford, Henry.</t>
  </si>
  <si>
    <t>njp.32101074743285</t>
  </si>
  <si>
    <t>uc1.$b616510</t>
  </si>
  <si>
    <t>uc2.ark:/13960/t86h4k468</t>
  </si>
  <si>
    <t>uc1.$b616855</t>
  </si>
  <si>
    <t>008578823</t>
  </si>
  <si>
    <t>L'art poétique /</t>
  </si>
  <si>
    <t>Boileau Despréaux, Nicolas,</t>
  </si>
  <si>
    <t>nyp.33433081988499</t>
  </si>
  <si>
    <t>008578833</t>
  </si>
  <si>
    <t>Progressive studies in English /</t>
  </si>
  <si>
    <t>Raymond, Francis Effinger.</t>
  </si>
  <si>
    <t>uc1.$b616917</t>
  </si>
  <si>
    <t>uc2.ark:/13960/t36111v6q</t>
  </si>
  <si>
    <t>uc1.$b605986</t>
  </si>
  <si>
    <t>008579132</t>
  </si>
  <si>
    <t>uc1.$b606147</t>
  </si>
  <si>
    <t>008579235</t>
  </si>
  <si>
    <t>Phonetic German reader,</t>
  </si>
  <si>
    <t>Muenzinger, Karl F.</t>
  </si>
  <si>
    <t>uc2.ark:/13960/t39024m0w</t>
  </si>
  <si>
    <t>nyp.33433082518642</t>
  </si>
  <si>
    <t>008584910</t>
  </si>
  <si>
    <t>The poetic year for 1916, a critical anthology,</t>
  </si>
  <si>
    <t>Braithwaite, William Stanley,</t>
  </si>
  <si>
    <t>nyp.33433001055684</t>
  </si>
  <si>
    <t>008587881</t>
  </si>
  <si>
    <t>A desk-book of twenty-five thousand words frequently mispronounced, embracing English words, foreign terms, Bible names, personal names, geographical names, and proper names of all kinds current in literature, science, and the arts, that are of difficult pronunciation, carefully pronounced, annotated, and concisely defined and indicating the preferences of the leading dictionaries from 1732 to 1924</t>
  </si>
  <si>
    <t>nyp.33433000468516</t>
  </si>
  <si>
    <t>008588342</t>
  </si>
  <si>
    <t>yale.39002032470974</t>
  </si>
  <si>
    <t>nyp.33433082497623</t>
  </si>
  <si>
    <t>008589200</t>
  </si>
  <si>
    <t>Introduction to the literature of Europe in the fifteenth, sixteenth, and seventeenth centuries /</t>
  </si>
  <si>
    <t>nyp.33433082497631</t>
  </si>
  <si>
    <t>nyp.33433082497664</t>
  </si>
  <si>
    <t>nyp.33433082497672</t>
  </si>
  <si>
    <t>nyp.33433082502463</t>
  </si>
  <si>
    <t>008589312</t>
  </si>
  <si>
    <t>The rhetorical reader : consisting of instructions for regulating the voice, with a rhetorical notation, illustrating inflection, emphasis, and modulation, and a course of rhetorical exercises. Designed for the use of academies and high-schools.</t>
  </si>
  <si>
    <t>umn.319510015961511</t>
  </si>
  <si>
    <t>008559436</t>
  </si>
  <si>
    <t>A first book in writing English;</t>
  </si>
  <si>
    <t>umn.31951002088064j</t>
  </si>
  <si>
    <t>008559539</t>
  </si>
  <si>
    <t>The rhetorical reader : consisting of instructions for regulating the voice with a rhetorical notation, illustrating inflection, emphasis, and moduclation and a course of rhetorical exercises : designed for the use of academies and high-schools.</t>
  </si>
  <si>
    <t>umn.319510020510284</t>
  </si>
  <si>
    <t>008559553</t>
  </si>
  <si>
    <t>Longer English poems; with notes, philological and explanatory, and an introduction on the teaching of English.</t>
  </si>
  <si>
    <t>umn.319510021699017</t>
  </si>
  <si>
    <t>008559559</t>
  </si>
  <si>
    <t>The science of discourse;</t>
  </si>
  <si>
    <t>umn.31951002403528c</t>
  </si>
  <si>
    <t>008559688</t>
  </si>
  <si>
    <t>Principles of vocal expression, being a revision of the Rhetoric of vocal expression,</t>
  </si>
  <si>
    <t>umn.319510024002704</t>
  </si>
  <si>
    <t>008559925</t>
  </si>
  <si>
    <t>English style;</t>
  </si>
  <si>
    <t>Graham, G. F.</t>
  </si>
  <si>
    <t>umn.31951002015584e</t>
  </si>
  <si>
    <t>008559982</t>
  </si>
  <si>
    <t>The nature and elements of poetry.</t>
  </si>
  <si>
    <t>umn.31951002408271y</t>
  </si>
  <si>
    <t>008560222</t>
  </si>
  <si>
    <t>A compendious history of English literature,</t>
  </si>
  <si>
    <t>umn.31951002408272w</t>
  </si>
  <si>
    <t>umn.319510021591051</t>
  </si>
  <si>
    <t>008560322</t>
  </si>
  <si>
    <t>umn.31951002159106z</t>
  </si>
  <si>
    <t>inu.32000007903257</t>
  </si>
  <si>
    <t>008566506</t>
  </si>
  <si>
    <t>Seventeenth century studies /</t>
  </si>
  <si>
    <t>inu.30000063814093</t>
  </si>
  <si>
    <t>008569146</t>
  </si>
  <si>
    <t>uc1.b4557737</t>
  </si>
  <si>
    <t>008569314</t>
  </si>
  <si>
    <t>The reliques of Father Prout /</t>
  </si>
  <si>
    <t>Mahony, Francis Sylvester,</t>
  </si>
  <si>
    <t>uc1.$b616469</t>
  </si>
  <si>
    <t>008578721</t>
  </si>
  <si>
    <t>uc2.ark:/13960/t6930v42c</t>
  </si>
  <si>
    <t>hvd.hn8nk6</t>
  </si>
  <si>
    <t>008578723</t>
  </si>
  <si>
    <t>Method of philological study of the English language.</t>
  </si>
  <si>
    <t>hvd.hx521p</t>
  </si>
  <si>
    <t>njp.32101013521735</t>
  </si>
  <si>
    <t>uc1.$b616474</t>
  </si>
  <si>
    <t>uc2.ark:/13960/t0vq2z41d</t>
  </si>
  <si>
    <t>uc1.$b616475</t>
  </si>
  <si>
    <t>008578724</t>
  </si>
  <si>
    <t>Lectures on the English language</t>
  </si>
  <si>
    <t>nyp.33433069254328</t>
  </si>
  <si>
    <t>008578725</t>
  </si>
  <si>
    <t>The origin and history of the English language, and of the early literature it embodies.</t>
  </si>
  <si>
    <t>Orthophony; or, The cultivation of the voice in elocution. A manual of elementary exercises, adapted to Dr. Rush's "Philosophy of the human voice", and the system of vocal culture introduced by Mr. James E. Murdoch. Designed as an introduction to Russell's "American elocutionist".</t>
  </si>
  <si>
    <t>uc2.ark:/13960/t3cz3769r</t>
  </si>
  <si>
    <t>uc1.$b617756</t>
  </si>
  <si>
    <t>008547761</t>
  </si>
  <si>
    <t>Words and their ways; a primer of philology and philosophy,</t>
  </si>
  <si>
    <t>Sloane, Eugene Hulse,</t>
  </si>
  <si>
    <t>uc1.$b617764</t>
  </si>
  <si>
    <t>008547769</t>
  </si>
  <si>
    <t>On the study of words : lectures addressed (originally) to the pupils at the diocesan training-school, Winchester /</t>
  </si>
  <si>
    <t>uc2.ark:/13960/t0gt5m92r</t>
  </si>
  <si>
    <t>uc1.$b617802</t>
  </si>
  <si>
    <t>008547783</t>
  </si>
  <si>
    <t>The student's companion: containing a variety of poetry, &amp;c. selected from the most celebrated authors; designed to improve youth in reading and parsing the English language; to which are added miscellaneous questions, on the sciences usually taught in American schools, &amp;c.</t>
  </si>
  <si>
    <t>Cook, Amos Jones,</t>
  </si>
  <si>
    <t>uc1.$b617809</t>
  </si>
  <si>
    <t>008547787</t>
  </si>
  <si>
    <t>The English reader; or, Pieces in prose and poetry selected from the best writers. Designed to assist young persons to read with propriety and effect ...</t>
  </si>
  <si>
    <t>umn.319510021698978</t>
  </si>
  <si>
    <t>008557989</t>
  </si>
  <si>
    <t>A manual of composition and rhetoric for use in schools and colleges,</t>
  </si>
  <si>
    <t>umn.31951p00735696w</t>
  </si>
  <si>
    <t>008558319</t>
  </si>
  <si>
    <t>umn.31951d005302466</t>
  </si>
  <si>
    <t>008558416</t>
  </si>
  <si>
    <t>umn.31951d005302474</t>
  </si>
  <si>
    <t>umn.31951002402605p</t>
  </si>
  <si>
    <t>008558527</t>
  </si>
  <si>
    <t>Advanced course of composition and rhetoric:</t>
  </si>
  <si>
    <t>umn.31951002463509g</t>
  </si>
  <si>
    <t>008558571</t>
  </si>
  <si>
    <t>umn.31951p005142983</t>
  </si>
  <si>
    <t>008558703</t>
  </si>
  <si>
    <t>Lectures on rhetoric and belles lettres : to which is prefixed a life of the author.</t>
  </si>
  <si>
    <t>umn.31951001621689g</t>
  </si>
  <si>
    <t>008558760</t>
  </si>
  <si>
    <t>How to write a composition.</t>
  </si>
  <si>
    <t>Frost, S. Annie</t>
  </si>
  <si>
    <t>umn.31951002041616t</t>
  </si>
  <si>
    <t>008559206</t>
  </si>
  <si>
    <t>A critical pronouncing dictionary and expositor of the English language. To which are prefixed, principles of English pronunciation. Likewise, rules to be observed by the natives of Scotland, Ireland, and London, for avoiding their respective pecularities; and directions to foreigners, for acquiring a knowledge of the use of this dictionary. The whole interspersed with observations, etymological, critical, and grammatical.</t>
  </si>
  <si>
    <t>uc1.$b624778</t>
  </si>
  <si>
    <t>008547259</t>
  </si>
  <si>
    <t>Groundwork of English grammar.</t>
  </si>
  <si>
    <t>Welton, James,</t>
  </si>
  <si>
    <t>uc2.ark:/13960/t55d8tp8n</t>
  </si>
  <si>
    <t>uc1.$b624779</t>
  </si>
  <si>
    <t>008547260</t>
  </si>
  <si>
    <t>Teacher's handbook to Groundwork of English grammar / by J. Welton.</t>
  </si>
  <si>
    <t>uc2.ark:/13960/t39024p75</t>
  </si>
  <si>
    <t>uc1.$b624781</t>
  </si>
  <si>
    <t>008547262</t>
  </si>
  <si>
    <t>The revised English grammar for beginners.</t>
  </si>
  <si>
    <t>uc1.$b624788</t>
  </si>
  <si>
    <t>008547267</t>
  </si>
  <si>
    <t>Englische Phonetik mit Lesestücken /</t>
  </si>
  <si>
    <t>Dunstan, A. C. (Arthur Cyril),</t>
  </si>
  <si>
    <t>njp.32101074756675</t>
  </si>
  <si>
    <t>008547271</t>
  </si>
  <si>
    <t>uc1.$b624797</t>
  </si>
  <si>
    <t>uc2.ark:/13960/t09w0fv7h</t>
  </si>
  <si>
    <t>uc1.$b624800</t>
  </si>
  <si>
    <t>008547273</t>
  </si>
  <si>
    <t>The sounds of spoken English : a manual of ear training for English students,</t>
  </si>
  <si>
    <t>uc2.ark:/13960/t8z897t10</t>
  </si>
  <si>
    <t>uc2.ark:/13960/t5r78bv6p</t>
  </si>
  <si>
    <t>008547275</t>
  </si>
  <si>
    <t>Enunciation and articulation : a practical manual for teachers and schools /</t>
  </si>
  <si>
    <t>Boyce, Ella M.</t>
  </si>
  <si>
    <t>uc2.ark:/13960/t6930v61s</t>
  </si>
  <si>
    <t>008547282</t>
  </si>
  <si>
    <t>Roots and ramification; or Extracts from various books explanatory of the derivation or meaning of divers words.</t>
  </si>
  <si>
    <t>Knapp, Arthur John,</t>
  </si>
  <si>
    <t>uc1.$b624829</t>
  </si>
  <si>
    <t>008547291</t>
  </si>
  <si>
    <t>A key to Lennie's Principles of English grammar, containing an enlarged account of the author's method of teaching grammar,</t>
  </si>
  <si>
    <t>uc1.$b624830</t>
  </si>
  <si>
    <t>008547292</t>
  </si>
  <si>
    <t>How to put words to work /</t>
  </si>
  <si>
    <t>Marra, Waldo J.</t>
  </si>
  <si>
    <t>uc1.$b617713</t>
  </si>
  <si>
    <t>008547750</t>
  </si>
  <si>
    <t>Words we misspell in business; ten thousand terms, showing their correct forms and divisions as used in printing and writing, with rules governing the orthography of English words,</t>
  </si>
  <si>
    <t>uc1.$b633826</t>
  </si>
  <si>
    <t>uc2.ark:/13960/t9m32tx8j</t>
  </si>
  <si>
    <t>nyp.33433069253411</t>
  </si>
  <si>
    <t>008546650</t>
  </si>
  <si>
    <t>A treatise on the etymology and syntax of the English language.</t>
  </si>
  <si>
    <t>uc1.$b627048</t>
  </si>
  <si>
    <t>uc2.ark:/13960/t9q23xh4f</t>
  </si>
  <si>
    <t>uc1.$b627352</t>
  </si>
  <si>
    <t>008546705</t>
  </si>
  <si>
    <t>American pronunciation.</t>
  </si>
  <si>
    <t>uc2.ark:/13960/t14m96f64</t>
  </si>
  <si>
    <t>008546956</t>
  </si>
  <si>
    <t>On the improvement of English orthography: being a paper read at the Philological Society, on the 6th of May, 1870.</t>
  </si>
  <si>
    <t>Fry, Danby Palmer.</t>
  </si>
  <si>
    <t>uc1.$b624075</t>
  </si>
  <si>
    <t>008546992</t>
  </si>
  <si>
    <t>Engelsk sproglaere til brug i de høiere classer og ved privatunderviisning.</t>
  </si>
  <si>
    <t>Bresemann, Friedrich,</t>
  </si>
  <si>
    <t>uc1.$b624100</t>
  </si>
  <si>
    <t>008547011</t>
  </si>
  <si>
    <t>Elementargrammatik der englischen Sprache, mit stufenweise eingelegten Uebersetzungsaufgaben, Lesestücken und Sprechübungen nebst zwei vollständigen Wörterverzeichnissen ...</t>
  </si>
  <si>
    <t>Georg, L.</t>
  </si>
  <si>
    <t>uc1.$b624108</t>
  </si>
  <si>
    <t>008547017</t>
  </si>
  <si>
    <t>Lessons in language : an introduction to the study of English grammar /</t>
  </si>
  <si>
    <t>Hadley, Hiram,</t>
  </si>
  <si>
    <t>uc2.ark:/13960/t7mp5206t</t>
  </si>
  <si>
    <t>uc2.ark:/13960/t0vq2z60t</t>
  </si>
  <si>
    <t>008547020</t>
  </si>
  <si>
    <t>Some topics in English grammar : for the pupil, the teacher, and the general reader /</t>
  </si>
  <si>
    <t>uc2.ark:/13960/t8z897v3d</t>
  </si>
  <si>
    <t>008547023</t>
  </si>
  <si>
    <t>Conversations on English grammar : explaining the principles and rules of the language : illustrated by appropriate exercises : adapted to the use of schools /</t>
  </si>
  <si>
    <t>Ingersoll, Charles M.</t>
  </si>
  <si>
    <t>uc1.$b624120</t>
  </si>
  <si>
    <t>008547028</t>
  </si>
  <si>
    <t>Remarks on the practice of grammarians, with an attempt to discover the principles of a new system of English grammar.</t>
  </si>
  <si>
    <t>Kigan, John.</t>
  </si>
  <si>
    <t>uc1.$b624137</t>
  </si>
  <si>
    <t>008547037</t>
  </si>
  <si>
    <t>uc2.ark:/13960/t2z31ts4m</t>
  </si>
  <si>
    <t>uc2.ark:/13960/t77s7q55t</t>
  </si>
  <si>
    <t>008547088</t>
  </si>
  <si>
    <t>A general critical grammar of the Inglish language : on a system novel, and extensive : exhibiting investigations of the analogies of language written, and spoken ... to which is prefixt a discourse on the study of languages in polite education /</t>
  </si>
  <si>
    <t>Oliver, Samuel.</t>
  </si>
  <si>
    <t>nnc1.cu58934065</t>
  </si>
  <si>
    <t>008435376</t>
  </si>
  <si>
    <t>The metrical basis of Hebrew poetry /</t>
  </si>
  <si>
    <t>Isaacs, Elcanon.</t>
  </si>
  <si>
    <t>nnc1.cu58976523</t>
  </si>
  <si>
    <t>008435879</t>
  </si>
  <si>
    <t>The phonetics of the Gaelic language : with an exposition of the current orthography and a system of phonography /</t>
  </si>
  <si>
    <t>MacFarlane, Malcolm,</t>
  </si>
  <si>
    <t>nnc1.cu60787945</t>
  </si>
  <si>
    <t>008437056</t>
  </si>
  <si>
    <t>Indo-Germanic sonants and consonants : chapters on comparative philology, comprising contributions towards a scientific exposition of the Indo-Germanic vowel system /</t>
  </si>
  <si>
    <t>Fennell, C. A. M.</t>
  </si>
  <si>
    <t>nyp.33433076037161</t>
  </si>
  <si>
    <t>008438431</t>
  </si>
  <si>
    <t>Specimens of the early English poets.</t>
  </si>
  <si>
    <t>njp.32101038123947</t>
  </si>
  <si>
    <t>008440570</t>
  </si>
  <si>
    <t>University lectures on phonetics.</t>
  </si>
  <si>
    <t>uc1.$b699367</t>
  </si>
  <si>
    <t>uc2.ark:/13960/t2m61k10v</t>
  </si>
  <si>
    <t>uc1.$b699725</t>
  </si>
  <si>
    <t>008440742</t>
  </si>
  <si>
    <t>General phonetics for missionaries and students of languages</t>
  </si>
  <si>
    <t>uc2.ark:/13960/t7br8tp7q</t>
  </si>
  <si>
    <t>uc1.$b700557</t>
  </si>
  <si>
    <t>008440977</t>
  </si>
  <si>
    <t>A colloquial Sinhalese reader in phonetic transcription</t>
  </si>
  <si>
    <t>Perera, Henry S.</t>
  </si>
  <si>
    <t>uc2.ark:/13960/t18k7b16j</t>
  </si>
  <si>
    <t>uc1.$b659387</t>
  </si>
  <si>
    <t>008462955</t>
  </si>
  <si>
    <t>An index to the English books and pamphlets in the library of Emmanuel College, Cambridge, printed before 1700 A.D.</t>
  </si>
  <si>
    <t>uc1.$b661479</t>
  </si>
  <si>
    <t>008462976</t>
  </si>
  <si>
    <t>Essays of an ex-librarian,</t>
  </si>
  <si>
    <t>uc1.$b662299</t>
  </si>
  <si>
    <t>008463050</t>
  </si>
  <si>
    <t>Parts of speech; essays on English.</t>
  </si>
  <si>
    <t>nyp.33433001046709</t>
  </si>
  <si>
    <t>008465821</t>
  </si>
  <si>
    <t>English grammar, adapted to the different classes of learners : with an appendix, containing rules and observations for assisting the more advanced students to write with perspicuity and accuracy /</t>
  </si>
  <si>
    <t>nyp.33433069253064</t>
  </si>
  <si>
    <t>008522525</t>
  </si>
  <si>
    <t>The English language: its grammatical principles and syntactical structure. For the use of grammar schools (higher grade) and normal schools.</t>
  </si>
  <si>
    <t>Greene, Harris R.</t>
  </si>
  <si>
    <t>nnc1.cu58483640</t>
  </si>
  <si>
    <t>008434416</t>
  </si>
  <si>
    <t>Illustrations of style. A companion-book to Kellogg's rhetoric. Containing selections from British and American authors; illustrative of the cardinal qualities of style and of the several kinds of poetry.</t>
  </si>
  <si>
    <t>nnc1.cu58484515</t>
  </si>
  <si>
    <t>008434417</t>
  </si>
  <si>
    <t>An English grammar for higher grades in grammar schools. Adapted from "Essentials of English grammar," With new arrangements and additional exercises suitable for younger pupils.</t>
  </si>
  <si>
    <t>nnc1.cu58485317</t>
  </si>
  <si>
    <t>008434418</t>
  </si>
  <si>
    <t>Lectures on rhetoric and criticism, and on subjects introductory to the critical study of the Scriptures.</t>
  </si>
  <si>
    <t>MacGill, Stevenson,</t>
  </si>
  <si>
    <t>uc1.31158006134539</t>
  </si>
  <si>
    <t>nnc1.cu58485546</t>
  </si>
  <si>
    <t>008434420</t>
  </si>
  <si>
    <t>Elements of rhetoric and literary criticism, with copious practical exercises and examples. For the use of common schools and academies. Including, also, a succinct history of the English language, and of British and American literature from the earliest to the present times.</t>
  </si>
  <si>
    <t>nnc1.cu58486011</t>
  </si>
  <si>
    <t>008434421</t>
  </si>
  <si>
    <t>An introduction to the study of rhetoric; lessons in phraseology, punctuation and sentence structure,</t>
  </si>
  <si>
    <t>nnc1.cu58500022</t>
  </si>
  <si>
    <t>008434451</t>
  </si>
  <si>
    <t>Lectures on the English language : first series /</t>
  </si>
  <si>
    <t>nnc1.cu58502629</t>
  </si>
  <si>
    <t>008434468</t>
  </si>
  <si>
    <t>English grammar, adapted to the different classes of learners, with an appendix ...</t>
  </si>
  <si>
    <t>nnc1.cu58505296</t>
  </si>
  <si>
    <t>008434478</t>
  </si>
  <si>
    <t>Studies in literature and composition for high schools, normal schools, and academies /</t>
  </si>
  <si>
    <t>Skinner, W. H.</t>
  </si>
  <si>
    <t>nnc1.cu58506446</t>
  </si>
  <si>
    <t>008434484</t>
  </si>
  <si>
    <t>Grammar : part of a course on language, prepared for instruction in the U.S. Corps of Cadets /</t>
  </si>
  <si>
    <t>French, J. W.</t>
  </si>
  <si>
    <t>nyp.33433081988176</t>
  </si>
  <si>
    <t>nyp.33433082512470</t>
  </si>
  <si>
    <t>008434506</t>
  </si>
  <si>
    <t>A handbook of English composition,</t>
  </si>
  <si>
    <t>nnc1.cu58512888</t>
  </si>
  <si>
    <t>008434513</t>
  </si>
  <si>
    <t>nnc1.cu58512900</t>
  </si>
  <si>
    <t>008434514</t>
  </si>
  <si>
    <t>The theory of language. Part I. Of the origin and general nature of speech. Part II. Of universal grammar.</t>
  </si>
  <si>
    <t>nnc1.cr61015008</t>
  </si>
  <si>
    <t>008417307</t>
  </si>
  <si>
    <t>A study of Luke's gospel by the questionnaire method, a handbook for Bible classes and for private study,</t>
  </si>
  <si>
    <t>Walker, Rollin H.</t>
  </si>
  <si>
    <t>hvd.hn1s64</t>
  </si>
  <si>
    <t>008418870</t>
  </si>
  <si>
    <t>A system of Latin versification in a series of progressive exercises, including specimens of translation from English and German poetry into Latin verse, for the use of schools and colleges,</t>
  </si>
  <si>
    <t>Anthon, Charles,</t>
  </si>
  <si>
    <t>nnc1.cu53335490</t>
  </si>
  <si>
    <t>008426836</t>
  </si>
  <si>
    <t>A selection of one hundred of Perrin's fables : accompanied with a key ; containing the text, a literal and a free translation ... preceded by a short treatise on the sounds of the French language, compared with those of the English /</t>
  </si>
  <si>
    <t>Perrin, John.</t>
  </si>
  <si>
    <t>nnc1.cu54876052</t>
  </si>
  <si>
    <t>008428303</t>
  </si>
  <si>
    <t>Critical reviews. Second funeral of Napoleon. Four Georges. Sketches and travels in London /</t>
  </si>
  <si>
    <t>loc.ark:/13960/t23b6wv7b</t>
  </si>
  <si>
    <t>008430597</t>
  </si>
  <si>
    <t>nnc1.cu56083394</t>
  </si>
  <si>
    <t>nnc1.cu58249923</t>
  </si>
  <si>
    <t>008434031</t>
  </si>
  <si>
    <t>Rudiments of public speaking and debate; or, Hints on the application of logic.</t>
  </si>
  <si>
    <t>nnc1.cu58255346</t>
  </si>
  <si>
    <t>008434059</t>
  </si>
  <si>
    <t>A plain system of elocution : or, Logical and musical reading and declamation, with exercises in prose and verse /</t>
  </si>
  <si>
    <t>nnc1.cu58255923</t>
  </si>
  <si>
    <t>008434064</t>
  </si>
  <si>
    <t>New ... system of questions to Blair's lectures on rhetoric ...</t>
  </si>
  <si>
    <t>Bixby, Alfred.</t>
  </si>
  <si>
    <t>nnc1.cu58265430</t>
  </si>
  <si>
    <t>008434089</t>
  </si>
  <si>
    <t>English lessons for English people.</t>
  </si>
  <si>
    <t>nnc1.cu58274898</t>
  </si>
  <si>
    <t>008434103</t>
  </si>
  <si>
    <t>The science of elocution:</t>
  </si>
  <si>
    <t>nnc1.cu58396110</t>
  </si>
  <si>
    <t>008434339</t>
  </si>
  <si>
    <t>Introductions to the twelve volumes of the Mermaid edition of Elizabethan playwrights.</t>
  </si>
  <si>
    <t>nnc1.cu58412921</t>
  </si>
  <si>
    <t>008434359</t>
  </si>
  <si>
    <t>nnc1.cu58437290</t>
  </si>
  <si>
    <t>008434374</t>
  </si>
  <si>
    <t>Lectures on the English poets and the English comic writers.</t>
  </si>
  <si>
    <t>nnc1.cu58482440</t>
  </si>
  <si>
    <t>008434415</t>
  </si>
  <si>
    <t>A handbook of Anglo-Saxon orthography. In two parts. First part. Anglo-Saxon orthography and its materials. Second part. Studies in Anglo-Saxon orthography.</t>
  </si>
  <si>
    <t>nnc1.1002377195</t>
  </si>
  <si>
    <t>008405629</t>
  </si>
  <si>
    <t>English words; a text-book for schools and colleges,</t>
  </si>
  <si>
    <t>Chubb, Edwin Watts,</t>
  </si>
  <si>
    <t>nnc1.1002377306</t>
  </si>
  <si>
    <t>008405631</t>
  </si>
  <si>
    <t>Walker's critical pronouncing dictionary and expositor of the English language ... to which are prefixed principles of English pronunciation, rules to be observed by the natives of Scotland, Ireland, and London, for avoiding their respective peculiarities, and directions to foreigners ... The whole interspersed with observations ...</t>
  </si>
  <si>
    <t>nnc1.1002383080</t>
  </si>
  <si>
    <t>008405654</t>
  </si>
  <si>
    <t>Illustrations of English rhythmus,</t>
  </si>
  <si>
    <t>nnc1.1002383330</t>
  </si>
  <si>
    <t>008405657</t>
  </si>
  <si>
    <t>Exercises in rhetoric and English composition : (advanced course) /</t>
  </si>
  <si>
    <t>nnc1.1002383454</t>
  </si>
  <si>
    <t>008405658</t>
  </si>
  <si>
    <t>Essentials of composition &amp; rhetoric.</t>
  </si>
  <si>
    <t>nnc1.1002391198</t>
  </si>
  <si>
    <t>008405695</t>
  </si>
  <si>
    <t>Philip van Artevelde. A dramatic romance, in two parts.</t>
  </si>
  <si>
    <t>nnc1.1002399601</t>
  </si>
  <si>
    <t>008405715</t>
  </si>
  <si>
    <t>Inglés en veinte lecciones, con un sistema de articulacion basado en equivalencias españoles, por el que se asegura una pronunciatión correcta, por R. Diez de la Cortina...</t>
  </si>
  <si>
    <t>Cortina, R. Diez de la</t>
  </si>
  <si>
    <t>nnc1.50265244</t>
  </si>
  <si>
    <t>008410324</t>
  </si>
  <si>
    <t>A self-instructor in the English language according to the latest pedagogical system; based on New York state education department's six year elementary course in English; prepared especially for the use of Armenians in the English speaking countries.</t>
  </si>
  <si>
    <r>
      <t>T»</t>
    </r>
    <r>
      <rPr>
        <sz val="10"/>
        <rFont val="ヒラギノ角ゴ ProN W6"/>
        <charset val="128"/>
      </rPr>
      <t>_x0002_</t>
    </r>
    <r>
      <rPr>
        <sz val="10"/>
        <rFont val="Verdana"/>
      </rPr>
      <t>orosean, Petros Z</t>
    </r>
    <r>
      <rPr>
        <sz val="10"/>
        <rFont val="ヒラギノ角ゴ ProN W6"/>
        <charset val="128"/>
      </rPr>
      <t>_x001E_</t>
    </r>
    <r>
      <rPr>
        <sz val="10"/>
        <rFont val="Verdana"/>
      </rPr>
      <t>.</t>
    </r>
  </si>
  <si>
    <t>nnc1.cr58236821</t>
  </si>
  <si>
    <t>008413095</t>
  </si>
  <si>
    <t>Memoria technica or, A new method of artificial memory, applied to and exemplified in chronology, history, geography, astronomy. Also Jewish Grecian and Roman coins, weights and measures, etc. With tables proper to the respective sciences; and memorial lines adapted to each table.</t>
  </si>
  <si>
    <t>nnc1.cr58237992</t>
  </si>
  <si>
    <t>008413103</t>
  </si>
  <si>
    <t>The scholemaster, or plaine and perfite way of teachyng children, to vnderstand, write, and speake, the Latin tong, but specially purposed for the priuate brynging vp of youth in ientlemen and noble mens houses, and commodious also for all such, as haue forgot the Latin tonge, and would, by themselues, without à scholemaster, in short tyme, and with small paines, recouer à sufficient habilitie, to vnderstand, write, and speake Latin.</t>
  </si>
  <si>
    <t>nnc1.1000295043</t>
  </si>
  <si>
    <t>008403373</t>
  </si>
  <si>
    <t>Novo mestre inglez, ou Grammatica da lingua ingleza para uso dos portuguezes, ensinada em vinte e cinco lições; extrahida das melhores grammaticas inglezas publicadas até hoje, e muito especialmente das de Cobbett, Murray e Siret; rev., cor. e accrescentada por F.S. Constancio ...</t>
  </si>
  <si>
    <t>Constâncio, Francisco Solano,</t>
  </si>
  <si>
    <t>nyp.33433069247819</t>
  </si>
  <si>
    <t>nnc1.1002301270</t>
  </si>
  <si>
    <t>008405242</t>
  </si>
  <si>
    <t>An analytical and practical grammar of the English language.</t>
  </si>
  <si>
    <t>nnc1.1002305003</t>
  </si>
  <si>
    <t>008405258</t>
  </si>
  <si>
    <t>nnc1.1002353288</t>
  </si>
  <si>
    <t>008405530</t>
  </si>
  <si>
    <t>Thoughts on the poets.</t>
  </si>
  <si>
    <t>nnc1.1002358050</t>
  </si>
  <si>
    <t>008405556</t>
  </si>
  <si>
    <t>The music, or melody and rhythmus of the English language; in which are explained ... the five accidents of speech ... and a musical notation ...</t>
  </si>
  <si>
    <t>Chapman, James,</t>
  </si>
  <si>
    <t>uc1.$b393558</t>
  </si>
  <si>
    <t>uc2.ark:/13960/t9z032v1m</t>
  </si>
  <si>
    <t>nnc1.1002375842</t>
  </si>
  <si>
    <t>008405621</t>
  </si>
  <si>
    <t>Emendanda est orthographia. A treatise on spelling reform.</t>
  </si>
  <si>
    <t>Studer, Emil.</t>
  </si>
  <si>
    <t>nnc1.1002376024</t>
  </si>
  <si>
    <t>008405623</t>
  </si>
  <si>
    <t>A practical grammar of English pronunciation : on plain and recognized principles, calculated to assist in removing every objectionable peculiarity of utterance arising from either foreign, provincial, or vulgar habits, or from a defective use of the organs of speech ... : together with directions to persons who stammer in their speech : comprehending some new ideas relative to English prosody /</t>
  </si>
  <si>
    <t>Smart, Benjamin Humphrey,</t>
  </si>
  <si>
    <t>uc1.$b624845</t>
  </si>
  <si>
    <t>uc2.ark:/13960/t23b62b85</t>
  </si>
  <si>
    <t>nnc1.1002376792</t>
  </si>
  <si>
    <t>008405626</t>
  </si>
  <si>
    <t>The American teacher's lessons of instruction, being a compilation of select speeches and readings from the most eminent American authors; with an appendix comprising a synopsis of the geography of the United States.</t>
  </si>
  <si>
    <t>Golder, John,</t>
  </si>
  <si>
    <t>nnc1.0040441628</t>
  </si>
  <si>
    <t>008399848</t>
  </si>
  <si>
    <t>The tour of Doctor Syntax in search of the picturesque, a poem ... with an interesting biography of the author ...</t>
  </si>
  <si>
    <t>hvd.32044086791209</t>
  </si>
  <si>
    <t>008400044</t>
  </si>
  <si>
    <t>Collective works ... to which have been prefixed some biographic particulars</t>
  </si>
  <si>
    <t>Sayers, F.</t>
  </si>
  <si>
    <t>hvd.32044090293457</t>
  </si>
  <si>
    <t>nnc1.0043328946</t>
  </si>
  <si>
    <t>008400074</t>
  </si>
  <si>
    <t>nnc1.0043886728</t>
  </si>
  <si>
    <t>008400233</t>
  </si>
  <si>
    <t>Elements of rhetoric : comprising an analysis of the laws of moral evidence and of persuasion with rules for argumentative composition and elocution /</t>
  </si>
  <si>
    <t>nnc1.0044154739</t>
  </si>
  <si>
    <t>008400312</t>
  </si>
  <si>
    <t>The sounds of spoken English with specimen passages in phonetic transcription, annotated, and with a glossary and index,</t>
  </si>
  <si>
    <t>nnc1.0044159692</t>
  </si>
  <si>
    <t>008400315</t>
  </si>
  <si>
    <t>An American grammar, developing the principles of our language and impressing them upon the memory by exercising the judgment of the learner : designed for use of schools in the United States /</t>
  </si>
  <si>
    <t>nnc1.0053512316</t>
  </si>
  <si>
    <t>008400590</t>
  </si>
  <si>
    <t>Apologie for poetrie, 1595 /</t>
  </si>
  <si>
    <t>nnc1.0055067760</t>
  </si>
  <si>
    <t>008400606</t>
  </si>
  <si>
    <t>nnc1.0055242928</t>
  </si>
  <si>
    <t>008400615</t>
  </si>
  <si>
    <t>Introduction to the literature of Europe in the fifteenth, sixteenth, and seventeenth centuries. In four volumes.</t>
  </si>
  <si>
    <t>nnc1.0055242936</t>
  </si>
  <si>
    <t>nnc1.0055242952</t>
  </si>
  <si>
    <t>nnc1.0315300242</t>
  </si>
  <si>
    <t>nnc1.0111785020</t>
  </si>
  <si>
    <t>008401026</t>
  </si>
  <si>
    <t>nnc1.0113869779</t>
  </si>
  <si>
    <t>008401392</t>
  </si>
  <si>
    <t>A catalogue of books printed in England since the dreadful fire of London, 1666. To the end of Michaelmas term, 1965. With an abstract of the general bills of mortality since 1660. And the titles of all the classic authors cum notis variorum, and those for the use of the Dauphin.</t>
  </si>
  <si>
    <t>Clavell, Robert,</t>
  </si>
  <si>
    <t>nnc1.0038099730</t>
  </si>
  <si>
    <t>008399325</t>
  </si>
  <si>
    <t>How to talk: a pocket manual of conversation and debating; with directions for acquiring a grammatical, easy, and graceful style ... with more than five hundred errors in speaking corrected.</t>
  </si>
  <si>
    <t>nnc1.0038444356</t>
  </si>
  <si>
    <t>008399374</t>
  </si>
  <si>
    <t>An English grammar: comprehending the priciples and rules of the language, illustrated by appropriate exercises, and a key to the exercises.</t>
  </si>
  <si>
    <t>nnc1.0038444364</t>
  </si>
  <si>
    <t>nnc1.0038635798</t>
  </si>
  <si>
    <t>008399497</t>
  </si>
  <si>
    <t>Elements of elocution: in which the principles of reading and speaking are investigated ... with directions for strengthening and modulating the voice ... to which is added, a complete system of the passions; showing how they effect the countenance, tone of voice, and gesture of the body, exemplified by a copious selection of the most striking passages of Shakespeare.</t>
  </si>
  <si>
    <t>nnc1.0038657830</t>
  </si>
  <si>
    <t>008399529</t>
  </si>
  <si>
    <t>An abridgement of Lectures on Rhetoric.</t>
  </si>
  <si>
    <t>nnc1.0038973421</t>
  </si>
  <si>
    <t>008399647</t>
  </si>
  <si>
    <t>Expository writing; materials for a college course in exposition by analysis and imitation,</t>
  </si>
  <si>
    <t>nyp.33433082502935</t>
  </si>
  <si>
    <t>nnc1.0039041654</t>
  </si>
  <si>
    <t>008399672</t>
  </si>
  <si>
    <t>A grammar of the English language, in a series of letters; intended for the use of schools and of young persons in general, but more especially for the use of soldiers, sailors, apprentices and plough-boys. To which are added six lessons, intended to prevent statesmen from using false grammar, and from writing in an awkward manner.</t>
  </si>
  <si>
    <t>hvd.hwjlpw</t>
  </si>
  <si>
    <t>008399686</t>
  </si>
  <si>
    <t>M. Fabi Quintiliani Institutionis oratoriae liber decimus : a revised text with introductory essays, critical and explanatory notes and a facsimile of the Harleian ms. /</t>
  </si>
  <si>
    <t>nnc1.0022444157</t>
  </si>
  <si>
    <t>008394345</t>
  </si>
  <si>
    <t>The art of speaking in publik: or, An essay on the action of an orator; as to his pronunciation and gesture. Useful in the senate or theatre, the court, the camp, as well as the bar and pulpit.</t>
  </si>
  <si>
    <t>nnc1.0023429747</t>
  </si>
  <si>
    <t>008394573</t>
  </si>
  <si>
    <t>The lives of the English poets, and a criticism of their works.</t>
  </si>
  <si>
    <t>nnc1.0023835788</t>
  </si>
  <si>
    <t>008394676</t>
  </si>
  <si>
    <t>English grammar; Lectures on the theory of language and universal grammar; and on oratory and criticism.</t>
  </si>
  <si>
    <t>Priestley, Joseph,</t>
  </si>
  <si>
    <t>nnc1.0027058182</t>
  </si>
  <si>
    <t>008394922</t>
  </si>
  <si>
    <t>A rhetorical grammar : in which the common improprieties in reading and speaking are detected and the true sources of elegant pronunciation are pointed out : with a complete analysis of the voice ... and the several figures of rhetoric : to which are added outlines of composition, or, plain rules for writing orations and speaking them in public /</t>
  </si>
  <si>
    <t>nnc1.0035529849</t>
  </si>
  <si>
    <t>008395493</t>
  </si>
  <si>
    <t>The art of English poetry;</t>
  </si>
  <si>
    <t>nnc1.0035529865</t>
  </si>
  <si>
    <t>008395494</t>
  </si>
  <si>
    <t>The art of English poetry. Containing: I. Rules for making verses. II. A collection of the most natural, agreeable and sublime thoughts, viz. allusions, similes, descriptions and characters of persons and things, that are to be found in the best English poets. III. A dictionary of rhymes.</t>
  </si>
  <si>
    <t>nnc1.0035529873</t>
  </si>
  <si>
    <t>nnc1.0035529881</t>
  </si>
  <si>
    <t>008395495</t>
  </si>
  <si>
    <t>The art of English poetry /</t>
  </si>
  <si>
    <t>nnc1.0035529890</t>
  </si>
  <si>
    <t>008395496</t>
  </si>
  <si>
    <t>The art of English poetry: vol. the IIId and IVth, which, with the two former volumes, make a compleat common-place-book of English poetry, containing the most natural, instructive, diverting and sublime thoughts ... that are in the works of our most celebrated poets, ancient and modern, alphabetically digested and brought down to the present time ...</t>
  </si>
  <si>
    <t>nnc1.0037127420</t>
  </si>
  <si>
    <t>008399131</t>
  </si>
  <si>
    <t>hvd.32044081367153</t>
  </si>
  <si>
    <t>008234556</t>
  </si>
  <si>
    <t>Prosodia graeca, or, An exposition of the Greek metres by rules and examples : also a treatise on the use of the digamma in the poems of Homer, with rules for the structure of Greek hexameter verse, to which is subjoined an appendix /</t>
  </si>
  <si>
    <t>Dunbar, George,</t>
  </si>
  <si>
    <t>uc2.ark:/13960/t5fb5364d</t>
  </si>
  <si>
    <t>uc1.$b735429</t>
  </si>
  <si>
    <t>008235618</t>
  </si>
  <si>
    <t>Latin pronunciation. An inquiry into the proper sounds of the Latin language during the classical period.</t>
  </si>
  <si>
    <t>Blair, Walter.</t>
  </si>
  <si>
    <t>nyp.33433074391354</t>
  </si>
  <si>
    <t>008243099</t>
  </si>
  <si>
    <t>Grimm's law: a study, or hints towards an explanation of the so-called "lautverschiebung"; to which are added some remarks on the primitive Indo-European k and several appendices.</t>
  </si>
  <si>
    <t>Douse, Thomas Le Marchant.</t>
  </si>
  <si>
    <t>uc2.ark:/13960/t6sx6bg8f</t>
  </si>
  <si>
    <t>uva.x000958572</t>
  </si>
  <si>
    <t>uc1.32106020060528</t>
  </si>
  <si>
    <t>008318460</t>
  </si>
  <si>
    <t>The imperial dictionary of the English language: a complete encyclopedic lexicon, literary, scientific, and technological.</t>
  </si>
  <si>
    <t>uc1.32106020060536</t>
  </si>
  <si>
    <t>uc1.32106020060544</t>
  </si>
  <si>
    <t>uc1.32106020060551</t>
  </si>
  <si>
    <t>umn.31951002066935c</t>
  </si>
  <si>
    <t>008372154</t>
  </si>
  <si>
    <t>The history of England : from the accession of James II.</t>
  </si>
  <si>
    <t>umn.31951002066936a</t>
  </si>
  <si>
    <t>umn.319510020669378</t>
  </si>
  <si>
    <t>umn.319510023211520</t>
  </si>
  <si>
    <t>008375415</t>
  </si>
  <si>
    <t>A new grammar of the Portuguese and English and English and Portuguese languages /</t>
  </si>
  <si>
    <t>Midosi, Luiz Francisco,</t>
  </si>
  <si>
    <t>umn.31951002180367y</t>
  </si>
  <si>
    <t>008375819</t>
  </si>
  <si>
    <t>umn.31951002064974c</t>
  </si>
  <si>
    <t>008376073</t>
  </si>
  <si>
    <t>Spelling and defining book : containing rules for designating the accented syllable in most words in the language : being an introduction to Town's Analysis.</t>
  </si>
  <si>
    <t>umn.319510020182112</t>
  </si>
  <si>
    <t>008377788</t>
  </si>
  <si>
    <t>The English reader, or, Pieces in prose and poetry /</t>
  </si>
  <si>
    <t>pst.000057420264</t>
  </si>
  <si>
    <t>008390083</t>
  </si>
  <si>
    <t>Ten thousand words: how to pronounce them : Compared with Century, Standard, International and "Old Webster" /</t>
  </si>
  <si>
    <t>nnc1.0021647615</t>
  </si>
  <si>
    <t>008394117</t>
  </si>
  <si>
    <t>007936779</t>
  </si>
  <si>
    <t>Janesville Junior-Senior High School English course of study.</t>
  </si>
  <si>
    <t>uc1.b3114550</t>
  </si>
  <si>
    <t>007936780</t>
  </si>
  <si>
    <t>Enriched teaching of English in the high school; a source book for teachers of English, school librarians and directors of extra-curricular activities, listing chiefly free and low cost illustrative and supplementary materials,</t>
  </si>
  <si>
    <t>Woodring, Maxie Nave,</t>
  </si>
  <si>
    <t>uc1.b3114961</t>
  </si>
  <si>
    <t>007936936</t>
  </si>
  <si>
    <t>English for the English : a chapter on national education / by George Sampson.</t>
  </si>
  <si>
    <t>Sampson, George,</t>
  </si>
  <si>
    <t>uc2.ark:/13960/t6542s92n</t>
  </si>
  <si>
    <t>uc1.b3111712</t>
  </si>
  <si>
    <t>007937904</t>
  </si>
  <si>
    <t>English for everybody,</t>
  </si>
  <si>
    <t>Miller, Grace Moncrieff,</t>
  </si>
  <si>
    <t>uc1.b3112269</t>
  </si>
  <si>
    <t>007938017</t>
  </si>
  <si>
    <t>Practical forms in exposition; a manual designed to assist technical students with papers, letters, reports, and reading,</t>
  </si>
  <si>
    <t>Richardson, Harlow C.</t>
  </si>
  <si>
    <t>uc1.b3113870</t>
  </si>
  <si>
    <t>007938488</t>
  </si>
  <si>
    <t>Some recent studies in English prosody,</t>
  </si>
  <si>
    <t>uc2.ark:/13960/t3028x69j</t>
  </si>
  <si>
    <t>uc1.$b796018</t>
  </si>
  <si>
    <t>007940401</t>
  </si>
  <si>
    <t>wu.89104446331</t>
  </si>
  <si>
    <t>007959398</t>
  </si>
  <si>
    <t>The language and dialect of the later Old English poetry,/</t>
  </si>
  <si>
    <t>Weightman, Jane.</t>
  </si>
  <si>
    <t>wu.89101275261</t>
  </si>
  <si>
    <t>007970910</t>
  </si>
  <si>
    <t>Exercises on French sounds,.</t>
  </si>
  <si>
    <t>Churchman, Philip H.</t>
  </si>
  <si>
    <t>uc1.b266906</t>
  </si>
  <si>
    <t>008009521</t>
  </si>
  <si>
    <t>The School board readers : standard III : adapted to the requirements of the new code, 1871 /</t>
  </si>
  <si>
    <t>uc1.b273500</t>
  </si>
  <si>
    <t>008009622</t>
  </si>
  <si>
    <t>Physical culture and development of the voice.</t>
  </si>
  <si>
    <t>Merritt, Helen Willard.</t>
  </si>
  <si>
    <t>uc2.ark:/13960/t00z73p47</t>
  </si>
  <si>
    <t>uc1.b273597</t>
  </si>
  <si>
    <t>008009625</t>
  </si>
  <si>
    <t>Pure English : a treatise on words and phrases, or practical lessons in the use of language /</t>
  </si>
  <si>
    <t>Hackett, Frederick H.</t>
  </si>
  <si>
    <t>uc1.$b617056</t>
  </si>
  <si>
    <t>008009944</t>
  </si>
  <si>
    <t>Lessons in language /</t>
  </si>
  <si>
    <t>uc1.b307925</t>
  </si>
  <si>
    <t>uc2.ark:/13960/t8kd1wz60</t>
  </si>
  <si>
    <t>uc1.b13643</t>
  </si>
  <si>
    <t>008010886</t>
  </si>
  <si>
    <t>Standard alphabet for reducing unwritten languages and foreign graphic systems to a uniform orthography in European letters /</t>
  </si>
  <si>
    <t>uc1.b81476</t>
  </si>
  <si>
    <t>008011549</t>
  </si>
  <si>
    <t>The word : a philosophy of words.</t>
  </si>
  <si>
    <t>Beardsley, Edna Sarah.</t>
  </si>
  <si>
    <t>Zur Lautlehre der französischen Elemente in den schottischen Dichtungen von 1500-1550 : G. Douglas, W. Dunbar, D. Lyndesay, Clariodus /</t>
  </si>
  <si>
    <t>Lenz, Karl,</t>
  </si>
  <si>
    <t>uc1.b2628063</t>
  </si>
  <si>
    <t>007897031</t>
  </si>
  <si>
    <t>The historical point of view in Elizabethan criticism /</t>
  </si>
  <si>
    <t>Miller, George Morey,</t>
  </si>
  <si>
    <t>uc2.ark:/13960/t89g5px78</t>
  </si>
  <si>
    <t>uc2.ark:/13960/t9v12338k</t>
  </si>
  <si>
    <t>007897677</t>
  </si>
  <si>
    <t>uc1.b2601806</t>
  </si>
  <si>
    <t>007900823</t>
  </si>
  <si>
    <t>Picaresque dramas of the 17th and 18th centuries ...</t>
  </si>
  <si>
    <t>Pabisch, Marie.</t>
  </si>
  <si>
    <t>uc1.b3110927</t>
  </si>
  <si>
    <t>007903760</t>
  </si>
  <si>
    <t>The new speller for foreigners; a sounding and pronouncing system,</t>
  </si>
  <si>
    <t>Wheeler, Charlotte.</t>
  </si>
  <si>
    <t>uc2.ark:/13960/t2m61kc29</t>
  </si>
  <si>
    <t>njp.32101072898594</t>
  </si>
  <si>
    <t>007903788</t>
  </si>
  <si>
    <t>Our best poets, English and American,</t>
  </si>
  <si>
    <t>Maynard, Theodore,</t>
  </si>
  <si>
    <t>uc1.b3106254</t>
  </si>
  <si>
    <t>007905491</t>
  </si>
  <si>
    <t>Instruction in English and speech; a report of a survey conducted by the High School Division, in the academic high schools of the City of New York.</t>
  </si>
  <si>
    <t>uc1.b3099344</t>
  </si>
  <si>
    <t>007908102</t>
  </si>
  <si>
    <t>Werner's voice magazine.</t>
  </si>
  <si>
    <t>v. 17 1895</t>
  </si>
  <si>
    <t>uc1.b3073952</t>
  </si>
  <si>
    <t>007909289</t>
  </si>
  <si>
    <t>Fonetic ticher.</t>
  </si>
  <si>
    <t>uc1.b3337100</t>
  </si>
  <si>
    <t>007913062</t>
  </si>
  <si>
    <t>uc1.b3337950</t>
  </si>
  <si>
    <t>007913103</t>
  </si>
  <si>
    <t>The reputation of the metaphysical poets during the age of Johnson and the romantic revival /</t>
  </si>
  <si>
    <t>Nethercot, Arthur Hobart,</t>
  </si>
  <si>
    <t>uc2.ark:/13960/t4bp05b0f</t>
  </si>
  <si>
    <t>007916022</t>
  </si>
  <si>
    <t>Outcast essays and verse translations.</t>
  </si>
  <si>
    <t>Hodgson, Shadworth Hollway,</t>
  </si>
  <si>
    <t>uc1.b3269424</t>
  </si>
  <si>
    <t>007917793</t>
  </si>
  <si>
    <t>Formal English grammar as a discipline,</t>
  </si>
  <si>
    <t>uc2.ark:/13960/t32230d5v</t>
  </si>
  <si>
    <t>uc1.b3293449</t>
  </si>
  <si>
    <t>007927940</t>
  </si>
  <si>
    <t>Pages from an old volume of life ; a collection of essays, 1857-1881,</t>
  </si>
  <si>
    <t>uc1.b3293679</t>
  </si>
  <si>
    <t>007928002</t>
  </si>
  <si>
    <t>The history of early English literature : being the history of English poetry from its beginnings to the accession of King AElfred /</t>
  </si>
  <si>
    <t>nyp.33433074393947</t>
  </si>
  <si>
    <t>007936762</t>
  </si>
  <si>
    <t>Modern philology : its discoveries, history, and influence /</t>
  </si>
  <si>
    <t>Ser. 1</t>
  </si>
  <si>
    <t>nyp.33433074393954</t>
  </si>
  <si>
    <t>Ser. 2</t>
  </si>
  <si>
    <t>uc1.b3114510</t>
  </si>
  <si>
    <t>uc1.b3114511</t>
  </si>
  <si>
    <t>uc1.b3114549</t>
  </si>
  <si>
    <t>A critical pronouncing dictionary and expositor of the English language; to which are prefixed principles of English pronunciation: the whole interspersed with observations, etymological, critical, and grammatical.</t>
  </si>
  <si>
    <t>nnc1.0043824790</t>
  </si>
  <si>
    <t>007707406</t>
  </si>
  <si>
    <t>uc2.ark:/13960/t01z4d58b</t>
  </si>
  <si>
    <t>uc2.ark:/13960/t3ws8w84x</t>
  </si>
  <si>
    <t>007707471</t>
  </si>
  <si>
    <t>The torch; eight lectures on race power in literature delivered before the Lowell Institute of Boston 1903,</t>
  </si>
  <si>
    <t>uc2.ark:/13960/t49p38h0r</t>
  </si>
  <si>
    <t>007707480</t>
  </si>
  <si>
    <t>The first year English book,</t>
  </si>
  <si>
    <t>Crandall, Harriet Eve,</t>
  </si>
  <si>
    <t>uc2.ark:/13960/t9m331x6f</t>
  </si>
  <si>
    <t>007707553</t>
  </si>
  <si>
    <t>First year English for high schools.</t>
  </si>
  <si>
    <t>Simons, Emogene Sanford.</t>
  </si>
  <si>
    <t>uc2.ark:/13960/t0ns0zh5b</t>
  </si>
  <si>
    <t>007707719</t>
  </si>
  <si>
    <t>Critical and historical essays and Lays of ancient Rome /</t>
  </si>
  <si>
    <t>uc2.ark:/13960/t4xg9tk5g</t>
  </si>
  <si>
    <t>007707851</t>
  </si>
  <si>
    <t>Lectures on the English poets : [and] The spirit of the age; or contemporary portraits. /</t>
  </si>
  <si>
    <t>hvd.32044086837689</t>
  </si>
  <si>
    <t>007708085</t>
  </si>
  <si>
    <t>Roundabout papers (From the Cornhill magazine.) To which is added, The second funeral of Napoleon /</t>
  </si>
  <si>
    <t>uc2.ark:/13960/t0bv7qj01</t>
  </si>
  <si>
    <t>007708231</t>
  </si>
  <si>
    <t>Seventeenth century lyrics,</t>
  </si>
  <si>
    <t>uc2.ark:/13960/t54f22w7h</t>
  </si>
  <si>
    <t>007708302</t>
  </si>
  <si>
    <t>The theory of the heroic epic in Italian criticism of the sixteenth century.</t>
  </si>
  <si>
    <t>Williams, Ralph Coplestone,</t>
  </si>
  <si>
    <t>uc1.b3514844</t>
  </si>
  <si>
    <t>007855724</t>
  </si>
  <si>
    <t>uc1.b3514924</t>
  </si>
  <si>
    <t>007855729</t>
  </si>
  <si>
    <t>A critical history of English poetry</t>
  </si>
  <si>
    <t>uc1.b3706722</t>
  </si>
  <si>
    <t>007871275</t>
  </si>
  <si>
    <t>Layamon's Brut : a comparative study in narrative art /</t>
  </si>
  <si>
    <t>Gillespy, Frances Lytle,</t>
  </si>
  <si>
    <t>uc1.b3839310</t>
  </si>
  <si>
    <t>007879576</t>
  </si>
  <si>
    <t>A study in the versification of the historical dramas of Lope de Vega /</t>
  </si>
  <si>
    <t>Weisinger, Nina Lee</t>
  </si>
  <si>
    <t>uc1.b3920356</t>
  </si>
  <si>
    <t>007885425</t>
  </si>
  <si>
    <t>Grammar of the Chinese language /</t>
  </si>
  <si>
    <t>Lobscheid, Wilhelm.</t>
  </si>
  <si>
    <t>uc1.b3926018</t>
  </si>
  <si>
    <t>007885790</t>
  </si>
  <si>
    <t>Pronunciation list of Netherlands town and river names.</t>
  </si>
  <si>
    <t>uc1.b2636886</t>
  </si>
  <si>
    <t>007895715</t>
  </si>
  <si>
    <t>uc2.ark:/13960/t5s75j18j</t>
  </si>
  <si>
    <t>007707117</t>
  </si>
  <si>
    <t>Voice, speech and gesture: a practical hand-book to the elocutionary art</t>
  </si>
  <si>
    <t>uc2.ark:/13960/t3gx4g70q</t>
  </si>
  <si>
    <t>007707122</t>
  </si>
  <si>
    <t>The American orator : or, Elegant extracts in prose and poetry ; comprehending a diversity of oratorical specimens, of the eloquence of popular assemblies, of the bar, of the pulpit, etc. ; principally intended for the use of schools and academies ; to which are prefixed a dissertation on oratorical delivery and the outlines of gesture /</t>
  </si>
  <si>
    <t>Cooke, Increase.</t>
  </si>
  <si>
    <t>uc2.ark:/13960/t3zs2wq43</t>
  </si>
  <si>
    <t>007707126</t>
  </si>
  <si>
    <t>The principles of English grammar : comprising the substance of the most approved English grammars extant, with copious exercises in parsing and syntax, and an appendix of various and useful matter : for the use of academies and common schools /</t>
  </si>
  <si>
    <t>hvd.hwp9c6</t>
  </si>
  <si>
    <t>007707127</t>
  </si>
  <si>
    <t>An outline of the elements of the English language, for the use of students.</t>
  </si>
  <si>
    <t>Clark, Nathaniel George,</t>
  </si>
  <si>
    <t>uc2.ark:/13960/t1vd70990</t>
  </si>
  <si>
    <t>uc2.ark:/13960/t7np2740z</t>
  </si>
  <si>
    <t>007707128</t>
  </si>
  <si>
    <t>The English language; its grammar, history, and literature, with chapters on composition, versification, paraphrasing, and punctuation.</t>
  </si>
  <si>
    <t>uc2.ark:/13960/t8jd51b3b</t>
  </si>
  <si>
    <t>007707134</t>
  </si>
  <si>
    <t>uc2.ark:/13960/t74t6rw7n</t>
  </si>
  <si>
    <t>007707135</t>
  </si>
  <si>
    <t>Exegesis of English composition /</t>
  </si>
  <si>
    <t>Addis, W. J.</t>
  </si>
  <si>
    <t>uc2.ark:/13960/t7br8zr59</t>
  </si>
  <si>
    <t>007707233</t>
  </si>
  <si>
    <t>The comic English grammar : a new and facetious introduction to the English tongue.</t>
  </si>
  <si>
    <t>uc2.ark:/13960/t1cj8kp3g</t>
  </si>
  <si>
    <t>007707257</t>
  </si>
  <si>
    <t>Poetry and the renascence of wonder,</t>
  </si>
  <si>
    <t>uc2.ark:/13960/t59c74n0k</t>
  </si>
  <si>
    <t>007707302</t>
  </si>
  <si>
    <t>The spoken word; a practical guide to expression in speech, acting, and recitation,</t>
  </si>
  <si>
    <t>uc2.ark:/13960/t9q248g4h</t>
  </si>
  <si>
    <t>007707311</t>
  </si>
  <si>
    <t>A brief history of the English language.</t>
  </si>
  <si>
    <t>uc2.ark:/13960/t8qc06x59</t>
  </si>
  <si>
    <t>007707312</t>
  </si>
  <si>
    <t>The making of our mother tongue,</t>
  </si>
  <si>
    <t>Giles, Peter,</t>
  </si>
  <si>
    <t>uc2.ark:/13960/t74t6t426</t>
  </si>
  <si>
    <t>007707328</t>
  </si>
  <si>
    <t>A philological grammar, grounded upon English, and formed from a comparison of more than sixty languages. Being an introduction to the science of grammar and a help to grammars of all languages, especially English, Latin and Greek.</t>
  </si>
  <si>
    <t>njp.32101072898669</t>
  </si>
  <si>
    <t>007706150</t>
  </si>
  <si>
    <t>Giant hours with poet preachers,</t>
  </si>
  <si>
    <t>Stidger, William L.</t>
  </si>
  <si>
    <t>uc2.ark:/13960/t6c25106r</t>
  </si>
  <si>
    <t>uc2.ark:/13960/t6736xm9h</t>
  </si>
  <si>
    <t>007706841</t>
  </si>
  <si>
    <t>The English reader; or, Pieces in prose and poetry, selected from the best writers, designed to assist young persons to read with propriety and effect ... With a few preliminary observations on the principles of good reading /</t>
  </si>
  <si>
    <t>hvd.hwp9cs</t>
  </si>
  <si>
    <t>007706965</t>
  </si>
  <si>
    <t>The English language.</t>
  </si>
  <si>
    <t>njp.32101064786435</t>
  </si>
  <si>
    <t>uc1.$b616465</t>
  </si>
  <si>
    <t>uc2.ark:/13960/t5k93bp4q</t>
  </si>
  <si>
    <t>uc2.ark:/13960/t6sx6fv0r</t>
  </si>
  <si>
    <t>007706969</t>
  </si>
  <si>
    <t>Voice, speech and gesture : a practical handbook to the elocutionary art, comprising also selections in prose and verse adapted for recitation, reading, and dramatic recital /</t>
  </si>
  <si>
    <t>Blackman, R. D.</t>
  </si>
  <si>
    <t>njp.32101064791922</t>
  </si>
  <si>
    <t>007706970</t>
  </si>
  <si>
    <t>uc2.ark:/13960/t7np27d11</t>
  </si>
  <si>
    <t>nyp.33433069240558</t>
  </si>
  <si>
    <t>007706978</t>
  </si>
  <si>
    <t>An analysis of the derivative words in the English language;</t>
  </si>
  <si>
    <t>uc2.ark:/13960/t40r9xj83</t>
  </si>
  <si>
    <t>nyp.33433066604731</t>
  </si>
  <si>
    <t>007706995</t>
  </si>
  <si>
    <t>A plea for spoken language. An essay upon comparative elocution, condensed from lectures delivered throughout the United States.</t>
  </si>
  <si>
    <t>uc2.ark:/13960/t2s46tt8p</t>
  </si>
  <si>
    <t>hvd.hn31af</t>
  </si>
  <si>
    <t>007707027</t>
  </si>
  <si>
    <t>Philosophic etymology, or Rational grammar.</t>
  </si>
  <si>
    <t>Gilchrist, James,</t>
  </si>
  <si>
    <t>uc2.ark:/13960/t1hh6pz8v</t>
  </si>
  <si>
    <t>hvd.hw236s</t>
  </si>
  <si>
    <t>007707060</t>
  </si>
  <si>
    <t>uc2.ark:/13960/t2j67m25s</t>
  </si>
  <si>
    <t>uc2.ark:/13960/t12n58t06</t>
  </si>
  <si>
    <t>007707115</t>
  </si>
  <si>
    <t>Exercises for diction and pronunciation; containing a large number of the most difficult words in the language, including nearly three hundred military and war terms, together with a variety of useful lessons.</t>
  </si>
  <si>
    <t>Northend, Charles,</t>
  </si>
  <si>
    <t>hvd.hx5dn7</t>
  </si>
  <si>
    <t>007707116</t>
  </si>
  <si>
    <t>uc2.ark:/13960/t9g44vn0c</t>
  </si>
  <si>
    <t>Critical essays on some of the poems of several English poets : with an account of the life and writings of the author /</t>
  </si>
  <si>
    <t>uc2.ark:/13960/t7sn0d513</t>
  </si>
  <si>
    <t>uc2.ark:/13960/t9959qt4k</t>
  </si>
  <si>
    <t>007703391</t>
  </si>
  <si>
    <t>uc2.ark:/13960/t70v8sv22</t>
  </si>
  <si>
    <t>007703425</t>
  </si>
  <si>
    <t>ser.01</t>
  </si>
  <si>
    <t>uc2.ark:/13960/t9m333p7m</t>
  </si>
  <si>
    <t>007703578</t>
  </si>
  <si>
    <t>An essay towards establishing the melody and measure of speech to be expressed and perpetuated by peculiar symbols.</t>
  </si>
  <si>
    <t>Steele, Joshua,</t>
  </si>
  <si>
    <t>uc2.ark:/13960/t7gq75349</t>
  </si>
  <si>
    <t>007703725</t>
  </si>
  <si>
    <t>English composition; 150 specimens arranged for use in psychological and educational experiments,</t>
  </si>
  <si>
    <t>Thorndike, Edward L.</t>
  </si>
  <si>
    <t>uc2.ark:/13960/t3dz0f335</t>
  </si>
  <si>
    <t>007703802</t>
  </si>
  <si>
    <t>A catalogue of the English books printed before MDCI, now in the library of Trinity College, Cambridge,</t>
  </si>
  <si>
    <t>hvd.hwp7ac</t>
  </si>
  <si>
    <t>007704125</t>
  </si>
  <si>
    <t>Philip van Artevelde; a dramatic romance. In two parts.</t>
  </si>
  <si>
    <t>uc2.ark:/13960/t6c252d8h</t>
  </si>
  <si>
    <t>007704177</t>
  </si>
  <si>
    <t>A primer of English for foreign students,</t>
  </si>
  <si>
    <t>Thorley, Wilfrid Charles,</t>
  </si>
  <si>
    <t>uc2.ark:/13960/t6m04993r</t>
  </si>
  <si>
    <t>007704186</t>
  </si>
  <si>
    <t>Theory and practice of teaching /</t>
  </si>
  <si>
    <t>uc2.ark:/13960/t1vd7090n</t>
  </si>
  <si>
    <t>007704557</t>
  </si>
  <si>
    <t>Words and their uses, past and present; a study of the English language,</t>
  </si>
  <si>
    <t>uva.x002015227</t>
  </si>
  <si>
    <t>uc2.ark:/13960/t5n87f82d</t>
  </si>
  <si>
    <t>007704889</t>
  </si>
  <si>
    <t>The elements of pedagogy : a manual for teachers, normal schools, normal institutes, teachers' reading circles, and all persons interested in school education /</t>
  </si>
  <si>
    <t>White, Emerson Elbridge,</t>
  </si>
  <si>
    <t>uc2.ark:/13960/t1dj5nv84</t>
  </si>
  <si>
    <t>007704926</t>
  </si>
  <si>
    <t>An outline of progressive lessons in composition, language, and spelling, for the fourth grade.</t>
  </si>
  <si>
    <t>Wiebalk, Anna M.</t>
  </si>
  <si>
    <t>uc1.$b617726</t>
  </si>
  <si>
    <t>007705004</t>
  </si>
  <si>
    <t>uc2.ark:/13960/t3805913m</t>
  </si>
  <si>
    <t>uc2.ark:/13960/t8kd20b0n</t>
  </si>
  <si>
    <t>007706021</t>
  </si>
  <si>
    <t>Shelburne essays, first series /</t>
  </si>
  <si>
    <t>hvd.32044012418034</t>
  </si>
  <si>
    <t>007706138</t>
  </si>
  <si>
    <t>Magoun, H. W.</t>
  </si>
  <si>
    <t>nyp.33433082504634</t>
  </si>
  <si>
    <t>007701531</t>
  </si>
  <si>
    <t>School and college speaker,</t>
  </si>
  <si>
    <t>Mitchell, Wilmot Brookings,</t>
  </si>
  <si>
    <t>uc2.ark:/13960/t7jq1578c</t>
  </si>
  <si>
    <t>uc2.ark:/13960/t5gb2cs4h</t>
  </si>
  <si>
    <t>007701685</t>
  </si>
  <si>
    <t>The imperial dictionary, English, technological, and scientific; adapted to the present state of literature, science, and art; on the basis of Webster's English dictionary ... comprising all words purely English ...</t>
  </si>
  <si>
    <t>SUPPLEMENT: suppl.2</t>
  </si>
  <si>
    <t>uc2.ark:/13960/t56d60t5m</t>
  </si>
  <si>
    <t>007702056</t>
  </si>
  <si>
    <t>A study of metre,</t>
  </si>
  <si>
    <t>uc2.ark:/13960/t3514634s</t>
  </si>
  <si>
    <t>007702543</t>
  </si>
  <si>
    <t>Lloyd, R.J. Some researches into the nature of vowel-sound ... Speech sounds: their nature and causation ... [review]</t>
  </si>
  <si>
    <t>Pipping, Hugo,</t>
  </si>
  <si>
    <t>uc2.ark:/13960/t3vt1vd6n</t>
  </si>
  <si>
    <t>007702727</t>
  </si>
  <si>
    <t>Helps in the use of good English: a hand-book for all who desire to speak or write correct English.</t>
  </si>
  <si>
    <t>hvd.32044010274561</t>
  </si>
  <si>
    <t>007702892</t>
  </si>
  <si>
    <t>The principles of rhythm, both in speech and music; especially as exhibited in the mechanism of English verse.</t>
  </si>
  <si>
    <t>Roe, Richard,</t>
  </si>
  <si>
    <t>hvd.32044105387765</t>
  </si>
  <si>
    <t>nyp.33433056659844</t>
  </si>
  <si>
    <t>uc2.ark:/13960/t3st7w375</t>
  </si>
  <si>
    <t>loc.ark:/13960/t9w09wp2f</t>
  </si>
  <si>
    <t>007703028</t>
  </si>
  <si>
    <t>Three studies in education : the spelling question, composition for elementary schools, value of the motor activities in education /</t>
  </si>
  <si>
    <t>Shaw, Edward R.</t>
  </si>
  <si>
    <t>uc2.ark:/13960/t50g3wr17</t>
  </si>
  <si>
    <t>uc1.$b627045</t>
  </si>
  <si>
    <t>007703041</t>
  </si>
  <si>
    <t>Speaking and writing English; a course of study for the eight grades of elementary school,</t>
  </si>
  <si>
    <t>Sheridan, Bernard Matthew,</t>
  </si>
  <si>
    <t>uc2.ark:/13960/t40s00v6x</t>
  </si>
  <si>
    <t>hvd.32044014716021</t>
  </si>
  <si>
    <t>007703188</t>
  </si>
  <si>
    <t>The philosophy of the human voice: embracing its physiological history; together with a system of principles by which criticism in the art of elocution may be rendered intelligible, and instruction, definite and comprehensive. To which is added A brief analysis of song and recitative.</t>
  </si>
  <si>
    <t>uc2.ark:/13960/t6n01bs24</t>
  </si>
  <si>
    <t>007703280</t>
  </si>
  <si>
    <t>The phonarthron. Or, Natural system of the sounds of speech: a test of pronunciation for all languages: also, the phonarithmon, and the phonodion. To which is added, a practical application of the phonarthron to English and French pronunciation; and to the reading of Hebrew, &amp;c.</t>
  </si>
  <si>
    <t>Henslowe, William Henry.</t>
  </si>
  <si>
    <t>uc2.ark:/13960/t7hq46s1d</t>
  </si>
  <si>
    <t>njp.32101068141330</t>
  </si>
  <si>
    <t>007700398</t>
  </si>
  <si>
    <t>The comic English grammar; a new and facetious introduction to the English tongue,</t>
  </si>
  <si>
    <t>Leigh, Percival,</t>
  </si>
  <si>
    <t>njp.32101013516610</t>
  </si>
  <si>
    <t>007700412</t>
  </si>
  <si>
    <t>Specimens of the forms of discourse.</t>
  </si>
  <si>
    <t>uc2.ark:/13960/t6n01bq46</t>
  </si>
  <si>
    <t>uc2.ark:/13960/t6154hx5q</t>
  </si>
  <si>
    <t>007700428</t>
  </si>
  <si>
    <t>Phonetics of the New High German language.</t>
  </si>
  <si>
    <t>Johannson, Arwid,</t>
  </si>
  <si>
    <t>uc2.ark:/13960/t83j3qw0x</t>
  </si>
  <si>
    <t>007700448</t>
  </si>
  <si>
    <t>A dictionary of the English language : in which the words are deduced from their originals, and illustrated in their different significations by examples from the best writers : to which are prefixed a history of the language, and an English grammar /</t>
  </si>
  <si>
    <t>uc2.ark:/13960/t9s187n25</t>
  </si>
  <si>
    <t>uc2.ark:/13960/t09w0pk7t</t>
  </si>
  <si>
    <t>007700450</t>
  </si>
  <si>
    <t>Johnson's dictionary of the English language, in miniature : to which are subjoined vocabularies of classical and scriptural proper names; a concise account of the heathen deities; a collection of quotations and phrases from the Latin, French, Italian, and Spanish languages; a chronological table of remarkable events; and a list of men of genius and learning /</t>
  </si>
  <si>
    <t>uc2.ark:/13960/t09w0pv4z</t>
  </si>
  <si>
    <t>007700452</t>
  </si>
  <si>
    <t>The lives of the most eminent English poets; with critical observations on their works,</t>
  </si>
  <si>
    <t>uc2.ark:/13960/t9g44z656</t>
  </si>
  <si>
    <t>hvd.hn2phj</t>
  </si>
  <si>
    <t>007700954</t>
  </si>
  <si>
    <t>The orthoëpist : containing a selection of all those words of the English language usually pronounced improperly ... Appended is a list of words exhibiting the orthography of Dr. Webster /</t>
  </si>
  <si>
    <t>Martin, James H.</t>
  </si>
  <si>
    <t>uc2.ark:/13960/t34174c4c</t>
  </si>
  <si>
    <t>uc2.ark:/13960/t6n01b452</t>
  </si>
  <si>
    <t>007701266</t>
  </si>
  <si>
    <t>Some problems in prosody.</t>
  </si>
  <si>
    <t>Letters to a young lady on a course of English poetry / by J. Aikin.</t>
  </si>
  <si>
    <t>uc1.b4023220</t>
  </si>
  <si>
    <t>007696557</t>
  </si>
  <si>
    <t>Principles of speech and dictionary of sounds;</t>
  </si>
  <si>
    <t>loc.ark:/13960/t1mg8fh13</t>
  </si>
  <si>
    <t>007696600</t>
  </si>
  <si>
    <t>Teachers' outlines for studies in English, based on the requirements for admission to college,</t>
  </si>
  <si>
    <t>Blakely, Gilbert Sykes.</t>
  </si>
  <si>
    <t>uc2.ark:/13960/t9959pt9k</t>
  </si>
  <si>
    <t>uc2.ark:/13960/t6n01cj89</t>
  </si>
  <si>
    <t>007696746</t>
  </si>
  <si>
    <t>The home teacher. The act, with a working plan and forty lessons in English.</t>
  </si>
  <si>
    <t>uc2.ark:/13960/t9f47r63k</t>
  </si>
  <si>
    <t>007696781</t>
  </si>
  <si>
    <t>The early French poets, a series of notices and translations,</t>
  </si>
  <si>
    <t>Cary, Henry Francis,</t>
  </si>
  <si>
    <t>uc2.ark:/13960/t82j6pj4s</t>
  </si>
  <si>
    <t>007697047</t>
  </si>
  <si>
    <t>yr.1894</t>
  </si>
  <si>
    <t>uc2.ark:/13960/t5r78jg3s</t>
  </si>
  <si>
    <t>007697209</t>
  </si>
  <si>
    <t>uc2.ark:/13960/t9h41xr0q</t>
  </si>
  <si>
    <t>007697698</t>
  </si>
  <si>
    <t>uc2.ark:/13960/t00z7gt52</t>
  </si>
  <si>
    <t>007697820</t>
  </si>
  <si>
    <t>A history of English poetry /</t>
  </si>
  <si>
    <t>uc2.ark:/13960/t2q52zb9r</t>
  </si>
  <si>
    <t>uc2.ark:/13960/t82j6rm6g</t>
  </si>
  <si>
    <t>hvd.32044086520335</t>
  </si>
  <si>
    <t>007698110</t>
  </si>
  <si>
    <t>Modern philology : its discoveries, history, and influence. With maps, tabular views, and index.</t>
  </si>
  <si>
    <t>uc2.ark:/13960/t2p55pm6d</t>
  </si>
  <si>
    <t>uc2.ark:/13960/t5cc16x7q</t>
  </si>
  <si>
    <t>007698219</t>
  </si>
  <si>
    <t>The new art of memory, founded upon the principles taught by M. Gregor von Feinaigle: and applied to chronology, history, geography, languages, systematic tables, poetry, prose, and arithmetic.</t>
  </si>
  <si>
    <t>Feinaigle, Gregor von,</t>
  </si>
  <si>
    <t>uc2.ark:/13960/t0wq05r20</t>
  </si>
  <si>
    <t>007698662</t>
  </si>
  <si>
    <t>Our living poets : an essay in criticism /</t>
  </si>
  <si>
    <t>uc2.ark:/13960/t76t0tj8t</t>
  </si>
  <si>
    <t>007699027</t>
  </si>
  <si>
    <t>Practical elements of elocution</t>
  </si>
  <si>
    <t>njp.32101042685337</t>
  </si>
  <si>
    <t>007699348</t>
  </si>
  <si>
    <t>Wordsworth and Tolstoi and other papers /</t>
  </si>
  <si>
    <t>Guthrie, Anna Maria Bruce.</t>
  </si>
  <si>
    <t>uc1.b3334173</t>
  </si>
  <si>
    <t>uc2.ark:/13960/t44q84458</t>
  </si>
  <si>
    <t>uc1.$b729300</t>
  </si>
  <si>
    <t>007699508</t>
  </si>
  <si>
    <t>Winter, Irvah Lester,</t>
  </si>
  <si>
    <t>uc2.ark:/13960/t01z45v11</t>
  </si>
  <si>
    <t>007693800</t>
  </si>
  <si>
    <t>An English grammar</t>
  </si>
  <si>
    <t>Wisely, John Benjamin.</t>
  </si>
  <si>
    <t>uc2.ark:/13960/t9n29tr21</t>
  </si>
  <si>
    <t>007693858</t>
  </si>
  <si>
    <t>Composition and rhetoric by practice, with exercises, adapted for use in high schools and colleges,</t>
  </si>
  <si>
    <t>Williams, William,</t>
  </si>
  <si>
    <t>uc1.l0063607675</t>
  </si>
  <si>
    <t>007693906</t>
  </si>
  <si>
    <t>A new English grammar.</t>
  </si>
  <si>
    <t>uc2.ark:/13960/t1qf8pm9s</t>
  </si>
  <si>
    <t>uc2.ark:/13960/t3qv3gv6s</t>
  </si>
  <si>
    <t>007694323</t>
  </si>
  <si>
    <t>The Glasgow poets : their lives and poems /</t>
  </si>
  <si>
    <t>uc2.ark:/13960/t3125tk6z</t>
  </si>
  <si>
    <t>007694396</t>
  </si>
  <si>
    <t>Poetry, its origin, nature, and history; being a general sketch of poetic and dramatic literature, comprehending critical, historical and biographical notices, with specimens of the most distinguished writers from the earliest period to the middle of the present century; to which is added (separately bound) A compendium of the works of the poets of all times and countries, with explanatory notes, synoptical tables, a chronological digest and a copious index.</t>
  </si>
  <si>
    <t>Hoffmann, Frederick A.</t>
  </si>
  <si>
    <t>uc2.ark:/13960/t7gq6vm5d</t>
  </si>
  <si>
    <t>uc2.ark:/13960/t79s1t163</t>
  </si>
  <si>
    <t>007695223</t>
  </si>
  <si>
    <t>uc2.ark:/13960/t2h70g35z</t>
  </si>
  <si>
    <t>007695353</t>
  </si>
  <si>
    <t>uc2.ark:/13960/t21c21v6q</t>
  </si>
  <si>
    <t>007695423</t>
  </si>
  <si>
    <t>Overheard in Arcady /</t>
  </si>
  <si>
    <t>uc2.ark:/13960/t3cz38r9b</t>
  </si>
  <si>
    <t>007695555</t>
  </si>
  <si>
    <t>The rhyming dictionary of the English language : in which the whole language is arranged according to its terminations, with a copious introd. to the various uses of the work, and an index of allowable rhymes ... /</t>
  </si>
  <si>
    <t>uc2.ark:/13960/t8hd7wq2k</t>
  </si>
  <si>
    <t>007695567</t>
  </si>
  <si>
    <t>Characteristics of English poets, from Chaucer to Shirley.</t>
  </si>
  <si>
    <t>uc2.ark:/13960/t5h99689r</t>
  </si>
  <si>
    <t>007695586</t>
  </si>
  <si>
    <t>hvd.32044029879137</t>
  </si>
  <si>
    <t>007696050</t>
  </si>
  <si>
    <t>Memoir of John Aikin, M.D.,</t>
  </si>
  <si>
    <t>uc2.ark:/13960/t4vh5sf8x</t>
  </si>
  <si>
    <t>uc2.ark:/13960/t0qr50z67</t>
  </si>
  <si>
    <t>007696209</t>
  </si>
  <si>
    <t>Literary studies of poems, new and old,</t>
  </si>
  <si>
    <t>Beale, Dorothea,</t>
  </si>
  <si>
    <t>uc2.ark:/13960/t19k4jf91</t>
  </si>
  <si>
    <t>007696221</t>
  </si>
  <si>
    <t>Hand-book of world-English.</t>
  </si>
  <si>
    <t>uc2.ark:/13960/t5db86d26</t>
  </si>
  <si>
    <t>007696272</t>
  </si>
  <si>
    <t>Elements of elocution: in which the principles of reading and speaking are investigated ... with directions for strengthening and modualting the voice ... To which is added a complete system of the passions; showing how they affect the countenance, tone of voice, and gesture of the body. Exemplified by a copious selection of the most striking passages of Shakespeare. The whole illustrated by copper-plates explaining the nature of accent, emphasis, inflection, and cadence.</t>
  </si>
  <si>
    <t>uc2.ark:/13960/t2f769938</t>
  </si>
  <si>
    <t>uc2.ark:/13960/t2q52kg0n</t>
  </si>
  <si>
    <t>007693381</t>
  </si>
  <si>
    <t>On the writing of English,</t>
  </si>
  <si>
    <t>Warner, George Townsend,</t>
  </si>
  <si>
    <t>uc2.ark:/13960/t6f18z01x</t>
  </si>
  <si>
    <t>007693470</t>
  </si>
  <si>
    <t>An atlas of English grammar to be used along with all grammars.</t>
  </si>
  <si>
    <t>Valentine, Easton Smith.</t>
  </si>
  <si>
    <t>hvd.32044019415009</t>
  </si>
  <si>
    <t>007693477</t>
  </si>
  <si>
    <t>The art of elocution; or, logical and musical reading and declamation. With an appendix containing a copious practice in oratorical, poetical, and dramatic reading and recitation; the whole forming a complete speaker, well adapted to private pupils, classes, and the use of schools.</t>
  </si>
  <si>
    <t>hvd.hwpa9a</t>
  </si>
  <si>
    <t>uc2.ark:/13960/t9862j51x</t>
  </si>
  <si>
    <t>nyp.33433082513650</t>
  </si>
  <si>
    <t>007693527</t>
  </si>
  <si>
    <t>Elements of composition and rhetoric : with copious exercises in both criticism and construction /</t>
  </si>
  <si>
    <t>Waddy, Virginia,</t>
  </si>
  <si>
    <t>uc2.ark:/13960/t7mp51269</t>
  </si>
  <si>
    <t>uc2.ark:/13960/t17m07226</t>
  </si>
  <si>
    <t>007693542</t>
  </si>
  <si>
    <t>Outlines of English grammar, calculated for the use of both sexes at school in which the practical rules of the language are clearly and distinctly laid down, and the speculative difficulties as much as possible avoided.</t>
  </si>
  <si>
    <t>uc2.ark:/13960/t9r210062</t>
  </si>
  <si>
    <t>007693594</t>
  </si>
  <si>
    <t>How to read, recite and impersonate.</t>
  </si>
  <si>
    <t>uc2.ark:/13960/t8kd1w33b</t>
  </si>
  <si>
    <t>007693662</t>
  </si>
  <si>
    <t>uc1.$b624782</t>
  </si>
  <si>
    <t>007693669</t>
  </si>
  <si>
    <t>Key to the questions contained in West's Elements of English grammar and English grammar for beginners.</t>
  </si>
  <si>
    <t>West, Alfred Slater,</t>
  </si>
  <si>
    <t>uc2.ark:/13960/t8jd4v652</t>
  </si>
  <si>
    <t>uc2.ark:/13960/t1zc7z39g</t>
  </si>
  <si>
    <t>007693793</t>
  </si>
  <si>
    <t>The tone system in public speaking and reading. A discussion of the sources of effectiveness in oral expression and in the teaching of oral expression, with illustrations and suggestions,</t>
  </si>
  <si>
    <t>Phillips, Arthur Edward,</t>
  </si>
  <si>
    <t>uc2.ark:/13960/t6sx6c85q</t>
  </si>
  <si>
    <t>007691397</t>
  </si>
  <si>
    <t>uc2.ark:/13960/t09w0dz21</t>
  </si>
  <si>
    <t>007691533</t>
  </si>
  <si>
    <t>First steps in English composition, for grammar and high schools, seminaries and colleges; a new and original method based on class-room experience,</t>
  </si>
  <si>
    <t>uc2.ark:/13960/t24b31f7s</t>
  </si>
  <si>
    <t>007691794</t>
  </si>
  <si>
    <t>uc2.ark:/13960/t89g5mj04</t>
  </si>
  <si>
    <t>007692054</t>
  </si>
  <si>
    <t>uc2.ark:/13960/t3hx19x2r</t>
  </si>
  <si>
    <t>007692105</t>
  </si>
  <si>
    <t>uc2.ark:/13960/t1wd3v35h</t>
  </si>
  <si>
    <t>007692121</t>
  </si>
  <si>
    <t>English grammar on the productive system: a method of instruction recently adopted in Germany and Switzerland. Designed for schools and academies.</t>
  </si>
  <si>
    <t>uc1.b4662045</t>
  </si>
  <si>
    <t>007692255</t>
  </si>
  <si>
    <t>A history of Elizabethan literature /</t>
  </si>
  <si>
    <t>uc2.ark:/13960/t1kh0jj66</t>
  </si>
  <si>
    <t>uc1.$b662809</t>
  </si>
  <si>
    <t>007692551</t>
  </si>
  <si>
    <t>Hints on elocution, and how to become an actor,</t>
  </si>
  <si>
    <t>Smith, Charles William.</t>
  </si>
  <si>
    <t>uc2.ark:/13960/t83j3gw20</t>
  </si>
  <si>
    <t>uc2.ark:/13960/t4kk9xd9b</t>
  </si>
  <si>
    <t>007692700</t>
  </si>
  <si>
    <t>Freshman themes,</t>
  </si>
  <si>
    <t>Taylor, Warner,</t>
  </si>
  <si>
    <t>uc2.ark:/13960/t6b27wp8g</t>
  </si>
  <si>
    <t>007692806</t>
  </si>
  <si>
    <t>The problem of elementary composition, suggestions for its solution,</t>
  </si>
  <si>
    <t>uc2.ark:/13960/t1td9s754</t>
  </si>
  <si>
    <t>007693118</t>
  </si>
  <si>
    <t>Composition and rhetoric /</t>
  </si>
  <si>
    <t>uc2.ark:/13960/t74t6kj6m</t>
  </si>
  <si>
    <t>007693215</t>
  </si>
  <si>
    <t>uva.x001153756</t>
  </si>
  <si>
    <t>uc2.ark:/13960/t42r3t658</t>
  </si>
  <si>
    <t>007693217</t>
  </si>
  <si>
    <t>uc2.ark:/13960/t2m61gt4v</t>
  </si>
  <si>
    <t>007693219</t>
  </si>
  <si>
    <t>On the study of words. Lectures addressed (originally) to the pupils at the diocesan training school, Winchester,</t>
  </si>
  <si>
    <t>hvd.32044054765409</t>
  </si>
  <si>
    <t>007693362</t>
  </si>
  <si>
    <t>Practical English composition</t>
  </si>
  <si>
    <t>Miller, Edwin Lillie,</t>
  </si>
  <si>
    <t>uc2.ark:/13960/t36110z17</t>
  </si>
  <si>
    <t>uc2.ark:/13960/t58c9wf3w</t>
  </si>
  <si>
    <t>007690179</t>
  </si>
  <si>
    <t>Illustrative examples of English composition,</t>
  </si>
  <si>
    <t>wu.89099906232</t>
  </si>
  <si>
    <t>uc1.b4020468</t>
  </si>
  <si>
    <t>007690207</t>
  </si>
  <si>
    <t>Phonetic attraction.</t>
  </si>
  <si>
    <t>Lloyd, Richard J.</t>
  </si>
  <si>
    <t>uc2.ark:/13960/t2t43p608</t>
  </si>
  <si>
    <t>uc2.ark:/13960/t6j101h1c</t>
  </si>
  <si>
    <t>007690225</t>
  </si>
  <si>
    <t>Lockwood, Sara E. H.</t>
  </si>
  <si>
    <t>uc1.$b616470</t>
  </si>
  <si>
    <t>007690267</t>
  </si>
  <si>
    <t>The English language: its history and structure.</t>
  </si>
  <si>
    <t>uc2.ark:/13960/t1sf2rd4v</t>
  </si>
  <si>
    <t>uc2.ark:/13960/t48p60k05</t>
  </si>
  <si>
    <t>007690549</t>
  </si>
  <si>
    <t>A handbook of modern English metre;</t>
  </si>
  <si>
    <t>uc2.ark:/13960/t4gm83k0b</t>
  </si>
  <si>
    <t>007690807</t>
  </si>
  <si>
    <t>Philosophical and critical observations on the nature, characters, and various species of composition.</t>
  </si>
  <si>
    <t>uc2.ark:/13960/t5h992s8b</t>
  </si>
  <si>
    <t>nyp.33433069256729</t>
  </si>
  <si>
    <t>007691015</t>
  </si>
  <si>
    <t>An English grammar : comprehending the principles and rules of the language, illustrated by appropriate exercises and a key to the exercises /</t>
  </si>
  <si>
    <t>uc2.ark:/13960/t2z31ss46</t>
  </si>
  <si>
    <t>uc2.ark:/13960/t0cv4gr4x</t>
  </si>
  <si>
    <t>007691063</t>
  </si>
  <si>
    <t>New practical English grammar : for use in business colleges, academies, normal and high schools, and advanced classes in public schools.</t>
  </si>
  <si>
    <t>uc2.ark:/13960/t8w95536c</t>
  </si>
  <si>
    <t>007691080</t>
  </si>
  <si>
    <t>Elements of rhetoric : a course in plain prose composition /</t>
  </si>
  <si>
    <t>uc2.ark:/13960/t5fb5337h</t>
  </si>
  <si>
    <t>007691154</t>
  </si>
  <si>
    <t>Elocution class: a simplification of the laws and principles of expression.</t>
  </si>
  <si>
    <t>O'Grady, Eleanor.</t>
  </si>
  <si>
    <t>uc2.ark:/13960/t6348mv9s</t>
  </si>
  <si>
    <t>007691155</t>
  </si>
  <si>
    <t>Matter, form, and style, a manual of practice in the writing of English composition.</t>
  </si>
  <si>
    <t>O'Grady, Hardness.</t>
  </si>
  <si>
    <t>uc2.ark:/13960/t35141n0z</t>
  </si>
  <si>
    <t>007691257</t>
  </si>
  <si>
    <t>The principles of oral English,</t>
  </si>
  <si>
    <t>nyp.33433082511456</t>
  </si>
  <si>
    <t>007691314</t>
  </si>
  <si>
    <t>Rhetoric; its theory and practice. "English style in public discourse"</t>
  </si>
  <si>
    <t>Phelps, Austin,</t>
  </si>
  <si>
    <t>uc2.ark:/13960/t02z16p59</t>
  </si>
  <si>
    <t>uva.x000474393</t>
  </si>
  <si>
    <t>uc2.ark:/13960/t6542r75s</t>
  </si>
  <si>
    <t>007691318</t>
  </si>
  <si>
    <t>uc2.ark:/13960/t0dv1h739</t>
  </si>
  <si>
    <t>hvd.hxg8hr</t>
  </si>
  <si>
    <t>007689347</t>
  </si>
  <si>
    <t>The lives of the Scotish poets : with preliminary dissertations on the literary history of Scotland, and the early Scotish drama /</t>
  </si>
  <si>
    <t>hvd.hxg8hs</t>
  </si>
  <si>
    <t>nyp.33433067277065</t>
  </si>
  <si>
    <t>nyp.33433067277073</t>
  </si>
  <si>
    <t>uc2.ark:/13960/t6m042b2t</t>
  </si>
  <si>
    <t>nyp.33433082512033</t>
  </si>
  <si>
    <t>007689428</t>
  </si>
  <si>
    <t>Projects in action English: socialized recitations in composition and grammar,</t>
  </si>
  <si>
    <t>Johansen, Fannie O.</t>
  </si>
  <si>
    <t>uc2.ark:/13960/t9v121486</t>
  </si>
  <si>
    <t>uc2.ark:/13960/t3ws8mt96</t>
  </si>
  <si>
    <t>007689448</t>
  </si>
  <si>
    <t>The circles of Gomer; or, An essay towards an investigation and introduction of the English as an universal language ... with an English grammar, some illustrations of the subjects of the author's late essays, and other interesting discoveries.</t>
  </si>
  <si>
    <t>Jones, Rowland,</t>
  </si>
  <si>
    <t>nnc1.cu58483756</t>
  </si>
  <si>
    <t>007689502</t>
  </si>
  <si>
    <t>Essays in exposition,</t>
  </si>
  <si>
    <t>Kurtz, Benjamin Putnam,</t>
  </si>
  <si>
    <t>uc1.$b617064</t>
  </si>
  <si>
    <t>uc2.ark:/13960/t6b27v48w</t>
  </si>
  <si>
    <t>uc2.ark:/13960/t6rx97q9n</t>
  </si>
  <si>
    <t>007689512</t>
  </si>
  <si>
    <t>uc1.31822013405121</t>
  </si>
  <si>
    <t>007689520</t>
  </si>
  <si>
    <t>Music and poetry; essays upon some aspects and interrelations of the two arts,</t>
  </si>
  <si>
    <t>uc1.32106001352837</t>
  </si>
  <si>
    <t>uc2.ark:/13960/t47p9288n</t>
  </si>
  <si>
    <t>uc2.ark:/13960/t45q4x227</t>
  </si>
  <si>
    <t>007689660</t>
  </si>
  <si>
    <t>Handbook of the history of the English language, for the use of teacher and student.</t>
  </si>
  <si>
    <t>Keane, A. H.</t>
  </si>
  <si>
    <t>uc2.ark:/13960/t6j101g6b</t>
  </si>
  <si>
    <t>007689665</t>
  </si>
  <si>
    <t>Studies in English composition, with lessons in language and rhetoric,</t>
  </si>
  <si>
    <t>Keeler, Harriet L.</t>
  </si>
  <si>
    <t>uc2.ark:/13960/t2g73c80c</t>
  </si>
  <si>
    <t>007689694</t>
  </si>
  <si>
    <t>What words say : a practical analysis of words for use in elementary schools /</t>
  </si>
  <si>
    <t>Kennedy, John,</t>
  </si>
  <si>
    <t>uc2.ark:/13960/t8gf0rn0f</t>
  </si>
  <si>
    <t>007690003</t>
  </si>
  <si>
    <t>Dionysius Longinus On the sublime :</t>
  </si>
  <si>
    <t>Longinus,</t>
  </si>
  <si>
    <t>uva.x000372108</t>
  </si>
  <si>
    <t>uc2.ark:/13960/t0pr7rt03</t>
  </si>
  <si>
    <t>007690007</t>
  </si>
  <si>
    <t>uc2.ark:/13960/t07w6c47x</t>
  </si>
  <si>
    <t>007690123</t>
  </si>
  <si>
    <t>The structure of English prose; a manual of composition and rhetoric,</t>
  </si>
  <si>
    <t>McElroy, John George Repplier,</t>
  </si>
  <si>
    <t>nyp.33433082512249</t>
  </si>
  <si>
    <t>007690159</t>
  </si>
  <si>
    <t>uc2.ark:/13960/t9z033s52</t>
  </si>
  <si>
    <t>007688639</t>
  </si>
  <si>
    <t>Composition and rhetoric for schools /</t>
  </si>
  <si>
    <t>Herrick, Robert,</t>
  </si>
  <si>
    <t>uc2.ark:/13960/t88g97w3q</t>
  </si>
  <si>
    <t>007688640</t>
  </si>
  <si>
    <t>New composition and rhetoric for schools,</t>
  </si>
  <si>
    <t>njp.32101074499805</t>
  </si>
  <si>
    <t>007688671</t>
  </si>
  <si>
    <t>Catalogue of books by English authors who lived before the year 1700, forming a part of the library of Robert Hoe.</t>
  </si>
  <si>
    <t>Hoe, Robert,</t>
  </si>
  <si>
    <t>njp.32101074499813</t>
  </si>
  <si>
    <t>njp.32101074499821</t>
  </si>
  <si>
    <t>nyp.33433069139396</t>
  </si>
  <si>
    <t>nyp.33433069139404</t>
  </si>
  <si>
    <t>nyp.33433069139412</t>
  </si>
  <si>
    <t>nyp.33433069139420</t>
  </si>
  <si>
    <t>nyp.33433069139438</t>
  </si>
  <si>
    <t>uc2.ark:/13960/t0rr1x22m</t>
  </si>
  <si>
    <t>uc2.ark:/13960/t3222zw8s</t>
  </si>
  <si>
    <t>uc2.ark:/13960/t5gb2594r</t>
  </si>
  <si>
    <t>uc2.ark:/13960/t6ww7ft5p</t>
  </si>
  <si>
    <t>uc2.ark:/13960/t7jq11s4z</t>
  </si>
  <si>
    <t>hvd.hw1wwf</t>
  </si>
  <si>
    <t>007688729</t>
  </si>
  <si>
    <t>uc2.ark:/13960/t2n58hf01</t>
  </si>
  <si>
    <t>nyp.33433082522966</t>
  </si>
  <si>
    <t>007688798</t>
  </si>
  <si>
    <t>Elocution; voice, expression, gesture for use in colleges and schools and by private students.</t>
  </si>
  <si>
    <t>Harris, Sarah Neal.</t>
  </si>
  <si>
    <t>uc2.ark:/13960/t3mw2fv6d</t>
  </si>
  <si>
    <t>hvd.32044081497109</t>
  </si>
  <si>
    <t>007688809</t>
  </si>
  <si>
    <t>The rise, progress, and present structure of the English language.</t>
  </si>
  <si>
    <t>uc2.ark:/13960/t6vx0bf4d</t>
  </si>
  <si>
    <t>uc2.ark:/13960/t2q52kh9f</t>
  </si>
  <si>
    <t>007688860</t>
  </si>
  <si>
    <t>Lectures on the English comic writers,</t>
  </si>
  <si>
    <t>uc2.ark:/13960/t0zp40n69</t>
  </si>
  <si>
    <t>007688872</t>
  </si>
  <si>
    <t>The minstrelsy of Britain; or, A glance at our lyrical poetry and poets, from the reign of Queen Elizabeth to the present time, including a dissertation on the genius and lyrics of Burns.</t>
  </si>
  <si>
    <t>Heavisides, Henry.</t>
  </si>
  <si>
    <t>uc2.ark:/13960/t8kd1w359</t>
  </si>
  <si>
    <t>007689008</t>
  </si>
  <si>
    <t>A practice-book in English composition /</t>
  </si>
  <si>
    <t>uc2.ark:/13960/t77s7nv2h</t>
  </si>
  <si>
    <t>007689232</t>
  </si>
  <si>
    <t>Imagination and fancy : or, selections from the English poets, illustrative of those first requisites of their art, with markings of the best passages, critical notices of the writers, and an essay in answer to the question "What is poetry?" /</t>
  </si>
  <si>
    <t>njp.32101074758523</t>
  </si>
  <si>
    <t>007689297</t>
  </si>
  <si>
    <t>Some word on allegory in England read to the Odd Volumes at their meeting, July 5, 1895.</t>
  </si>
  <si>
    <t>Ignoramus,</t>
  </si>
  <si>
    <t>uc2.ark:/13960/t2s46ps4n</t>
  </si>
  <si>
    <t>007687996</t>
  </si>
  <si>
    <t>Dr. R. Grey's Memoria technica, or, Method of artificial memory, applied to and exemplified in chronology, history, geography, astronomy. Also, Jewish, Grecian, and Roman coins, weights, measures, &amp;c. To which are subjoined, Lowe's Mnemonics delineated, in various branches of literature and science.</t>
  </si>
  <si>
    <t>loc.ark:/13960/t3gx4vv86</t>
  </si>
  <si>
    <t>007688018</t>
  </si>
  <si>
    <t>Longer narrative poems /</t>
  </si>
  <si>
    <t>uc2.ark:/13960/t9b56jq69</t>
  </si>
  <si>
    <t>007688039</t>
  </si>
  <si>
    <t>English composition,</t>
  </si>
  <si>
    <t>uc2.ark:/13960/t6m043k69</t>
  </si>
  <si>
    <t>007688142</t>
  </si>
  <si>
    <t>The succession of Shakespere's works and the use of metrical tests in settling it, &amp;c.; being the introduction to Professor Gervinus's 'Commentaries on Shakespere,'</t>
  </si>
  <si>
    <t>uc2.ark:/13960/t20c4x869</t>
  </si>
  <si>
    <t>007688351</t>
  </si>
  <si>
    <t>On English poetry; being an irregular approach to the psychology of this art, from evidence mainly subjective,</t>
  </si>
  <si>
    <t>nyp.33433082511530</t>
  </si>
  <si>
    <t>007688405</t>
  </si>
  <si>
    <t>Letters on literature, taste, and composition, addressed to his son,</t>
  </si>
  <si>
    <t>Gregory, G.</t>
  </si>
  <si>
    <t>uc2.ark:/13960/t3tt4jw7h</t>
  </si>
  <si>
    <t>uc2.ark:/13960/t7pn91t40</t>
  </si>
  <si>
    <t>nyp.33433084113590</t>
  </si>
  <si>
    <t>007688523</t>
  </si>
  <si>
    <t>The essentials of choir boy training,</t>
  </si>
  <si>
    <t>Hall, Walter Henry,</t>
  </si>
  <si>
    <t>uc2.ark:/13960/t09w0d10z</t>
  </si>
  <si>
    <t>uc1.b3350556</t>
  </si>
  <si>
    <t>007688527</t>
  </si>
  <si>
    <t>uc1.b3350557</t>
  </si>
  <si>
    <t>uc2.ark:/13960/t9d50j00b</t>
  </si>
  <si>
    <t>007688528</t>
  </si>
  <si>
    <t>Introduction to the literature of Europe : in the fifteenth, sixteenth, and seventeenth centuries /</t>
  </si>
  <si>
    <t>uc2.ark:/13960/t26972t30</t>
  </si>
  <si>
    <t>007688529</t>
  </si>
  <si>
    <t>Introduction to the literature of Europe in the fifteenth, sixteenth, and seventeenth centuries in two volumes /</t>
  </si>
  <si>
    <t>uc2.ark:/13960/t81j9bk00</t>
  </si>
  <si>
    <t>uc2.ark:/13960/t6nz8537t</t>
  </si>
  <si>
    <t>007688531</t>
  </si>
  <si>
    <t>The language of the Middle English bestiary; phonology and inflection.</t>
  </si>
  <si>
    <t>Hallbeck, Einar S.</t>
  </si>
  <si>
    <t>uc2.ark:/13960/t9j38t312</t>
  </si>
  <si>
    <t>uc2.ark:/13960/t70v8g132</t>
  </si>
  <si>
    <t>007688584</t>
  </si>
  <si>
    <t>The simplification of English spelling, specially adapted for the rising generation. An easy way of saving time in writing, printing, and reading.</t>
  </si>
  <si>
    <t>Harley, George,</t>
  </si>
  <si>
    <t>007686980</t>
  </si>
  <si>
    <t>Primer of English verse; chiefly in its æsthetic &amp; organic character.</t>
  </si>
  <si>
    <t>coo.31924065040119</t>
  </si>
  <si>
    <t>007687045</t>
  </si>
  <si>
    <t>A manual of English literature : and of the history of the English language from the Norman Conquest, with numerous specimens /</t>
  </si>
  <si>
    <t>uc2.ark:/13960/t9j38qp4w</t>
  </si>
  <si>
    <t>nyp.33433082504170</t>
  </si>
  <si>
    <t>007687206</t>
  </si>
  <si>
    <t>Three minute readings for college girls,</t>
  </si>
  <si>
    <t>Davis, Harry Cassell,</t>
  </si>
  <si>
    <t>uc2.ark:/13960/t9765hb9f</t>
  </si>
  <si>
    <t>uc2.ark:/13960/t2n58gr4k</t>
  </si>
  <si>
    <t>007687264</t>
  </si>
  <si>
    <t>A metrical history of England; or, Recollections, in rhyme, of some of the most prominent features in our national chronology, from the landing of Julius Cæsar, to the commencement of the regency, in 1812 ...</t>
  </si>
  <si>
    <t>Dibdin, Thomas,</t>
  </si>
  <si>
    <t>uc2.ark:/13960/t3rv0h75t</t>
  </si>
  <si>
    <t>umn.31951001701649x</t>
  </si>
  <si>
    <t>njp.32101056308727</t>
  </si>
  <si>
    <t>007687376</t>
  </si>
  <si>
    <t>The old-Latin and old-Irish monuments of verse,</t>
  </si>
  <si>
    <t>uc2.ark:/13960/t03x8935j</t>
  </si>
  <si>
    <t>nyp.33433076036510</t>
  </si>
  <si>
    <t>007687655</t>
  </si>
  <si>
    <t>Specimens of early English metrical romances, chiefly written during the early part of the fourteenth century : to which is prefixed an historical introduction intended to illustrate the rise and progress of romantic compositions in France and England /</t>
  </si>
  <si>
    <t>nyp.33433076036528</t>
  </si>
  <si>
    <t>nyp.33433076036536</t>
  </si>
  <si>
    <t>uc2.ark:/13960/t6nz84p8h</t>
  </si>
  <si>
    <t>007687681</t>
  </si>
  <si>
    <t>[Pamphlets on the teaching of English.</t>
  </si>
  <si>
    <t>uc1.31158008787334</t>
  </si>
  <si>
    <t>007687797</t>
  </si>
  <si>
    <t>A study in the psychology of spelling.</t>
  </si>
  <si>
    <t>uc1.l0071842702</t>
  </si>
  <si>
    <t>uc2.ark:/13960/t07w6c73b</t>
  </si>
  <si>
    <t>uc2.ark:/13960/t9n29tr3h</t>
  </si>
  <si>
    <t>007687853</t>
  </si>
  <si>
    <t>Introduction to theme-writing /</t>
  </si>
  <si>
    <t>Fletcher, Jefferson Butler,</t>
  </si>
  <si>
    <t>uc1.b5060283</t>
  </si>
  <si>
    <t>007687861</t>
  </si>
  <si>
    <t>Grammatical English.</t>
  </si>
  <si>
    <t>Foat, F. W. G.</t>
  </si>
  <si>
    <t>uc2.ark:/13960/t6tx39j9k</t>
  </si>
  <si>
    <t>uc2.ark:/13960/t3320021m</t>
  </si>
  <si>
    <t>007687888</t>
  </si>
  <si>
    <t>The practical elocutionist.</t>
  </si>
  <si>
    <t>uc2.ark:/13960/t4mk6cz73</t>
  </si>
  <si>
    <t>007687909</t>
  </si>
  <si>
    <t>Manual of composition and rhetoric /</t>
  </si>
  <si>
    <t>Gardiner, J. H.</t>
  </si>
  <si>
    <t>uc2.ark:/13960/t1zc7wt73</t>
  </si>
  <si>
    <t>007687916</t>
  </si>
  <si>
    <t>A drill book in English /</t>
  </si>
  <si>
    <t>Gay, George E.</t>
  </si>
  <si>
    <t>The institutes of English grammar, methodically arranged : with forms of parsing and correcting, examples for parsing, questions of examination, false syntax for correction, exercises for writing, observations for the advanced student, methods of analysis, and a key to the oral exercises, to which are added four appendexes : designed for the use of schools, academies, and private learners /</t>
  </si>
  <si>
    <t>uc2.ark:/13960/t1kh0k24c</t>
  </si>
  <si>
    <t>uc2.ark:/13960/t6c24v139</t>
  </si>
  <si>
    <t>007686269</t>
  </si>
  <si>
    <t>Criticisms on The diversions of Purley in a letter to Horne Tooke,</t>
  </si>
  <si>
    <t>Bruckner, John.</t>
  </si>
  <si>
    <t>nyp.33433081988796</t>
  </si>
  <si>
    <t>007686296</t>
  </si>
  <si>
    <t>Practical exercises in English /</t>
  </si>
  <si>
    <t>uc2.ark:/13960/t3pv6gf0b</t>
  </si>
  <si>
    <t>uc2.ark:/13960/t9r20xg07</t>
  </si>
  <si>
    <t>007686306</t>
  </si>
  <si>
    <t>Bullokars Booke at large, for the amendment of orthographie for English speech ...</t>
  </si>
  <si>
    <t>Bullokar, William,</t>
  </si>
  <si>
    <t>uc2.ark:/13960/t0vq2x885</t>
  </si>
  <si>
    <t>007686413</t>
  </si>
  <si>
    <t>A system of phonetic spelling, adapted to English.</t>
  </si>
  <si>
    <t>Callendar, Hugh Longbourne,</t>
  </si>
  <si>
    <t>uc2.ark:/13960/t1bk1bc6c</t>
  </si>
  <si>
    <t>007686510</t>
  </si>
  <si>
    <t>uc2.ark:/13960/t5v69dp9p</t>
  </si>
  <si>
    <t>007686546</t>
  </si>
  <si>
    <t>A course of study in grammar based upon the grammatical errors of school children of Kansas City, Missouri,</t>
  </si>
  <si>
    <t>Charters, W. W.</t>
  </si>
  <si>
    <t>uc2.ark:/13960/t1mg7kf4x</t>
  </si>
  <si>
    <t>007686640</t>
  </si>
  <si>
    <t>A history of British poetry : from the earliest times to the beginning of the twentieth century /</t>
  </si>
  <si>
    <t>Corbett, Frederick S. John,</t>
  </si>
  <si>
    <t>uc2.ark:/13960/t24b31w45</t>
  </si>
  <si>
    <t>007686658</t>
  </si>
  <si>
    <t>Collectanea, 1st-2d series,</t>
  </si>
  <si>
    <t>Crawford, Charles.</t>
  </si>
  <si>
    <t>uc2.ark:/13960/t9z033b76</t>
  </si>
  <si>
    <t>uc2.ark:/13960/t49p31h58</t>
  </si>
  <si>
    <t>007686765</t>
  </si>
  <si>
    <t>Reading and language lessons for evening schools,</t>
  </si>
  <si>
    <t>Chancellor, William Estabrook,</t>
  </si>
  <si>
    <t>uc2.ark:/13960/t83j3gv50</t>
  </si>
  <si>
    <t>007686847</t>
  </si>
  <si>
    <t>Clegg's Elocutionist; a text-book on the art of elocution, with a full scheme of vocal exercises, for public speakers, and for the use of schools and elocution classes. Including a wide and choice selection of poetry and prose for reading and recitation.</t>
  </si>
  <si>
    <t>Clegg, Charles E.</t>
  </si>
  <si>
    <t>uc2.ark:/13960/t4rj4f28w</t>
  </si>
  <si>
    <t>uc2.ark:/13960/t5j963q43</t>
  </si>
  <si>
    <t>007685066</t>
  </si>
  <si>
    <t>Ballads in the Cumberland dialect,</t>
  </si>
  <si>
    <t>Anderson, R.</t>
  </si>
  <si>
    <t>uc2.ark:/13960/t40r9sn6t</t>
  </si>
  <si>
    <t>007685122</t>
  </si>
  <si>
    <t>Emma Dunning Banks' original recitations, with lesson-talks.</t>
  </si>
  <si>
    <t>Banks, Emma Dunning.</t>
  </si>
  <si>
    <t>wu.89099900946</t>
  </si>
  <si>
    <t>uc2.ark:/13960/t16m37b6j</t>
  </si>
  <si>
    <t>007685196</t>
  </si>
  <si>
    <t>The universal Anglo-Persian grammar with vocabularies in English, Persian, and Guzerati by Syed Abdul Latif.</t>
  </si>
  <si>
    <r>
      <t>¼</t>
    </r>
    <r>
      <rPr>
        <sz val="10"/>
        <rFont val="ヒラギノ角ゴ ProN W6"/>
        <charset val="128"/>
      </rPr>
      <t>_x0002_</t>
    </r>
    <r>
      <rPr>
        <sz val="10"/>
        <rFont val="Verdana"/>
      </rPr>
      <t>Abd al-Latif, Saiyid.</t>
    </r>
  </si>
  <si>
    <t>uc1.31158005738439</t>
  </si>
  <si>
    <t>007685443</t>
  </si>
  <si>
    <t>English composition and rhetoric.</t>
  </si>
  <si>
    <t>uc1.l0070922554</t>
  </si>
  <si>
    <t>uc2.ark:/13960/t1fj2dz6s</t>
  </si>
  <si>
    <t>uc2.ark:/13960/t5m906c7n</t>
  </si>
  <si>
    <t>007685450</t>
  </si>
  <si>
    <t>Everyday English,</t>
  </si>
  <si>
    <t>Baker, Franklin T.</t>
  </si>
  <si>
    <t>uc2.ark:/13960/t8df6qm3p</t>
  </si>
  <si>
    <t>wu.89099427304</t>
  </si>
  <si>
    <t>wu.89099427312</t>
  </si>
  <si>
    <t>uc2.ark:/13960/t4rj4b46k</t>
  </si>
  <si>
    <t>007685590</t>
  </si>
  <si>
    <t>Essays on the nature and immutability of truth, in opposition to sophistry and scepticism : on poetry and music, as they affect the mind : on laughter, and ludicrous composition and, on the utility of classical learning /</t>
  </si>
  <si>
    <t>njp.32101063582967</t>
  </si>
  <si>
    <t>007685609</t>
  </si>
  <si>
    <t>Beecher's recitations and readings : humorous, serious, dramatic, including prose and poetical selections in Dutch, French, Yankee, Irish, Backwoods, Negro, and other dialects /</t>
  </si>
  <si>
    <t>Beecher, Alvah C.</t>
  </si>
  <si>
    <t>nyp.33433087357848</t>
  </si>
  <si>
    <t>uc2.ark:/13960/t6vx0d751</t>
  </si>
  <si>
    <t>uc2.ark:/13960/t41r6td87</t>
  </si>
  <si>
    <t>007685618</t>
  </si>
  <si>
    <t>English visible speech in 12 lessons ...</t>
  </si>
  <si>
    <t>uc2.ark:/13960/t3rv0k39s</t>
  </si>
  <si>
    <t>007685619</t>
  </si>
  <si>
    <t>The tongue, a poem.</t>
  </si>
  <si>
    <t>loc.ark:/13960/t3vt2gf5f</t>
  </si>
  <si>
    <t>007685864</t>
  </si>
  <si>
    <t>uc1.$b657871</t>
  </si>
  <si>
    <t>uc2.ark:/13960/t9x062g6x</t>
  </si>
  <si>
    <t>uc2.ark:/13960/t0dv1f91d</t>
  </si>
  <si>
    <t>007686027</t>
  </si>
  <si>
    <t>v.001</t>
  </si>
  <si>
    <t>uc2.ark:/13960/t7fq9s87w</t>
  </si>
  <si>
    <t>v.002</t>
  </si>
  <si>
    <t>uc2.ark:/13960/t7vm4503q</t>
  </si>
  <si>
    <t>v.003</t>
  </si>
  <si>
    <t>uc2.ark:/13960/t6542p800</t>
  </si>
  <si>
    <t>007686224</t>
  </si>
  <si>
    <t>Theology in the English poets : Cowper--Coleridge--Wordsworth and Burns /</t>
  </si>
  <si>
    <t>nyp.33433082310891</t>
  </si>
  <si>
    <t>007686235</t>
  </si>
  <si>
    <t>uc2.ark:/13960/t6f18vs9v</t>
  </si>
  <si>
    <t>nyp.33433082502851</t>
  </si>
  <si>
    <t>007680980</t>
  </si>
  <si>
    <t>nyp.33433074906482</t>
  </si>
  <si>
    <t>007681370</t>
  </si>
  <si>
    <t>uc2.ark:/13960/t5p846676</t>
  </si>
  <si>
    <t>hvd.hwp9ci</t>
  </si>
  <si>
    <t>007681586</t>
  </si>
  <si>
    <t>The origin and history of the English language : and of the early literature it embodies /</t>
  </si>
  <si>
    <t>uc2.ark:/13960/t11n81m4c</t>
  </si>
  <si>
    <t>uc2.ark:/13960/t9d50js33</t>
  </si>
  <si>
    <t>007682138</t>
  </si>
  <si>
    <t>Passages for translation into Latin prose /</t>
  </si>
  <si>
    <t>Nettleship, Henry,</t>
  </si>
  <si>
    <t>uc2.ark:/13960/t7jq0wc32</t>
  </si>
  <si>
    <t>007682373</t>
  </si>
  <si>
    <t>Principle in art, etc. /</t>
  </si>
  <si>
    <t>uc2.ark:/13960/t7xk87415</t>
  </si>
  <si>
    <t>007682894</t>
  </si>
  <si>
    <t>nyp.33433069240608</t>
  </si>
  <si>
    <t>007683056</t>
  </si>
  <si>
    <t>A student's pastime; being a select series of articles reprinted from "Notes and queries,"</t>
  </si>
  <si>
    <t>Copy 2</t>
  </si>
  <si>
    <t>uc2.ark:/13960/t6736pc23</t>
  </si>
  <si>
    <t>uc2.ark:/13960/t2988502z</t>
  </si>
  <si>
    <t>007683113</t>
  </si>
  <si>
    <t>An introduction to phonetics (English, French and German) : with reading lessons and exercises /</t>
  </si>
  <si>
    <t>Soames, Laura.</t>
  </si>
  <si>
    <t>uc2.ark:/13960/t1dj5cf0k</t>
  </si>
  <si>
    <t>007683114</t>
  </si>
  <si>
    <t>Introduction to phonetics, English, French and German, with reading lessons and exercises,</t>
  </si>
  <si>
    <t>uc2.ark:/13960/t8tb11c32</t>
  </si>
  <si>
    <t>007683407</t>
  </si>
  <si>
    <t>Outlines of the history of the English language.</t>
  </si>
  <si>
    <t>Toller, T. Northcote</t>
  </si>
  <si>
    <t>uc2.ark:/13960/t90865x2f</t>
  </si>
  <si>
    <t>007683511</t>
  </si>
  <si>
    <t>A guide to the Anglo-Saxon tongue: a grammar after Erasmus Rask, extracts in prose and verse, with notes, etc. for the use of learners, and and appendix.</t>
  </si>
  <si>
    <t>uc2.ark:/13960/t78s4n96f</t>
  </si>
  <si>
    <t>007683639</t>
  </si>
  <si>
    <t>Elements of rhetoric : comprising an analysis of the laws of moral evidence and of persuasion, with rules for argumentative composition and elocution /</t>
  </si>
  <si>
    <t>njp.32101072898503</t>
  </si>
  <si>
    <t>007684305</t>
  </si>
  <si>
    <t>A short history of English versification, from the earliest times to the present day; a handbook for teachers and students,</t>
  </si>
  <si>
    <t>Kaluza, Max,</t>
  </si>
  <si>
    <t>uc2.ark:/13960/t5gb21w56</t>
  </si>
  <si>
    <t>uc2.ark:/13960/t9v120c7f</t>
  </si>
  <si>
    <t>007684803</t>
  </si>
  <si>
    <t>A new study of English poetry,</t>
  </si>
  <si>
    <t>uc2.ark:/13960/t4hm5972g</t>
  </si>
  <si>
    <t>007684991</t>
  </si>
  <si>
    <t>Ballades and rondeaus, chants royal, sestinas, villanelles, &amp;c.,</t>
  </si>
  <si>
    <t>White, Gleeson,</t>
  </si>
  <si>
    <t>Viëtor, Wilhelm, 1850-1918.</t>
  </si>
  <si>
    <t>uc2.ark:/13960/t48p5xc27</t>
  </si>
  <si>
    <t>007676299</t>
  </si>
  <si>
    <t>A critical pronouncing dictionary and expositor of the English language : to which are prefixed principles of English pronunciation : rules to be observed by the natives of Scotland, Ireland, and London, for avoiding their respective peculiarities : and directions to foreigners for acquiring a knowledge of the use of this dictionary : the whole interspersed with observations etymological, critical, and grammatical /</t>
  </si>
  <si>
    <t>uc2.ark:/13960/t27943v7z</t>
  </si>
  <si>
    <t>007676524</t>
  </si>
  <si>
    <t>The coming of love: Rhona Boswell's story, and other poems,</t>
  </si>
  <si>
    <t>uc2.ark:/13960/t2697185c</t>
  </si>
  <si>
    <t>007676556</t>
  </si>
  <si>
    <t>A discourse of English poetrie. 1586.</t>
  </si>
  <si>
    <t>uc2.ark:/13960/t5v69ch6k</t>
  </si>
  <si>
    <t>007676629</t>
  </si>
  <si>
    <t>nyp.33433074819578</t>
  </si>
  <si>
    <t>007677478</t>
  </si>
  <si>
    <t>Heart of man /</t>
  </si>
  <si>
    <t>uc2.ark:/13960/t0cv4c51m</t>
  </si>
  <si>
    <t>uc2.ark:/13960/t3nv99w8s</t>
  </si>
  <si>
    <t>njp.32101015143371</t>
  </si>
  <si>
    <t>007677533</t>
  </si>
  <si>
    <t>Lyrical ballads, 1798 /</t>
  </si>
  <si>
    <t>uc2.ark:/13960/t9571c43d</t>
  </si>
  <si>
    <t>007677964</t>
  </si>
  <si>
    <t>Culture and anarchy; an essay in political and social criticism.</t>
  </si>
  <si>
    <t>uc2.ark:/13960/t1sf2p72t</t>
  </si>
  <si>
    <t>007677965</t>
  </si>
  <si>
    <t>Essays in criticism; second series.</t>
  </si>
  <si>
    <t>uc2.ark:/13960/t00002s3c</t>
  </si>
  <si>
    <t>007677971</t>
  </si>
  <si>
    <t>uc2.ark:/13960/t07w6994w</t>
  </si>
  <si>
    <t>007678479</t>
  </si>
  <si>
    <t>Orthometry : a treatise on the art of versification and the technicalities of poetry, with a new and complete rhyming dictionary /</t>
  </si>
  <si>
    <t>uc2.ark:/13960/t7kp7x69r</t>
  </si>
  <si>
    <t>007678482</t>
  </si>
  <si>
    <t>The writing of English /</t>
  </si>
  <si>
    <t>Brewster, William T.</t>
  </si>
  <si>
    <t>njp.32101068175510</t>
  </si>
  <si>
    <t>007678714</t>
  </si>
  <si>
    <t>Literary remains : with a memoir /</t>
  </si>
  <si>
    <t>uc2.ark:/13960/t3zs2nm1d</t>
  </si>
  <si>
    <t>007679010</t>
  </si>
  <si>
    <t>A history of English literature in a series of biographical sketches /</t>
  </si>
  <si>
    <t>uc2.ark:/13960/t4zg6jg50</t>
  </si>
  <si>
    <t>007679370</t>
  </si>
  <si>
    <t>Puritan and Anglican: studies in literature.</t>
  </si>
  <si>
    <t>nyp.33433066598594</t>
  </si>
  <si>
    <t>007680260</t>
  </si>
  <si>
    <t>nyp.33433066598602</t>
  </si>
  <si>
    <t>nyp.33433066598610</t>
  </si>
  <si>
    <t>nyp.33433066598628</t>
  </si>
  <si>
    <t>hvd.hx5dn8</t>
  </si>
  <si>
    <t>007680694</t>
  </si>
  <si>
    <t>Howe's science of language, or Seven-hour system of grammar.</t>
  </si>
  <si>
    <t>Howe, D. P.</t>
  </si>
  <si>
    <t>007667965</t>
  </si>
  <si>
    <t>An inquiry into the principles of harmony in language, and of the mechanism of verse, modern and antient.</t>
  </si>
  <si>
    <t>Mitford, William,</t>
  </si>
  <si>
    <t>nyp.33433082521513</t>
  </si>
  <si>
    <t>uc2.ark:/13960/t3st7gm11</t>
  </si>
  <si>
    <t>uc2.ark:/13960/t82j6b950</t>
  </si>
  <si>
    <t>007668473</t>
  </si>
  <si>
    <t>The reformed grammar, or, Philosophical test of English composition /</t>
  </si>
  <si>
    <t>Murray, Gerald.</t>
  </si>
  <si>
    <t>uc2.ark:/13960/t5gb2127d</t>
  </si>
  <si>
    <t>007668478</t>
  </si>
  <si>
    <t>A key to the exercises : adapted to L. Murray's English grammar /</t>
  </si>
  <si>
    <t>uc1.$b616557</t>
  </si>
  <si>
    <t>007669385</t>
  </si>
  <si>
    <t>An introductory course in argumentation.</t>
  </si>
  <si>
    <t>uc2.ark:/13960/t06w97g7k</t>
  </si>
  <si>
    <t>nyp.33433074791553</t>
  </si>
  <si>
    <t>007669560</t>
  </si>
  <si>
    <t>Prose and verse, from the port folio of an editor,</t>
  </si>
  <si>
    <t>Pray, Isaac C.</t>
  </si>
  <si>
    <t>uc2.ark:/13960/t18k75746</t>
  </si>
  <si>
    <t>uc2.ark:/13960/t8pc2vk16</t>
  </si>
  <si>
    <t>007670375</t>
  </si>
  <si>
    <t>Poe's poems</t>
  </si>
  <si>
    <t>uc2.ark:/13960/t4th8d409</t>
  </si>
  <si>
    <t>007670728</t>
  </si>
  <si>
    <t>The English voyages of the sixteenth century,</t>
  </si>
  <si>
    <t>uc2.ark:/13960/t84j0f26x</t>
  </si>
  <si>
    <t>007672819</t>
  </si>
  <si>
    <t>Apologie for poetrie, 1595.</t>
  </si>
  <si>
    <t>uc2.ark:/13960/t00002t3t</t>
  </si>
  <si>
    <t>007673109</t>
  </si>
  <si>
    <t>The principles of rhetoric : with constructive and critical work in composition /</t>
  </si>
  <si>
    <t>Spalding, Elizabeth Hill.</t>
  </si>
  <si>
    <t>loc.ark:/13960/t49p3sq14</t>
  </si>
  <si>
    <t>007673473</t>
  </si>
  <si>
    <t>Word study in the elementary school,</t>
  </si>
  <si>
    <t>Taylor, Joseph S.</t>
  </si>
  <si>
    <t>uc2.ark:/13960/t5gb21835</t>
  </si>
  <si>
    <t>uc2.ark:/13960/t9t14w71z</t>
  </si>
  <si>
    <t>007673700</t>
  </si>
  <si>
    <t>uc2.ark:/13960/t8nc5v33q</t>
  </si>
  <si>
    <t>007673846</t>
  </si>
  <si>
    <t>Pronouncing handbook of words often mispronounced and of words as to which a choice of pronunciation is allowed /</t>
  </si>
  <si>
    <t>uc2.ark:/13960/t48p5wc1b</t>
  </si>
  <si>
    <t>007673948</t>
  </si>
  <si>
    <t>uc2.ark:/13960/t0ft8f911</t>
  </si>
  <si>
    <t>007674332</t>
  </si>
  <si>
    <t>njp.32101032438754</t>
  </si>
  <si>
    <t>007674462</t>
  </si>
  <si>
    <t>A primer of spoken English.</t>
  </si>
  <si>
    <t>uc2.ark:/13960/t7kp7xt7v</t>
  </si>
  <si>
    <t>uc2.ark:/13960/t15m64z1s</t>
  </si>
  <si>
    <t>007675054</t>
  </si>
  <si>
    <t>uc2.ark:/13960/t3kw5bg05</t>
  </si>
  <si>
    <t>007675429</t>
  </si>
  <si>
    <t>German pronunciation: practice and theory. The best German--German sounds, and how they are represented in spelling--The letters of the alphabet, and their phonetic values--German accent--Specimens.</t>
  </si>
  <si>
    <t>A manual of elocution, adapted and arranged for the class-room, drawing-room, and the platform with rules and exercises.</t>
  </si>
  <si>
    <t>Forsyth, John,</t>
  </si>
  <si>
    <t>uc2.ark:/13960/t4dn42q3c</t>
  </si>
  <si>
    <t>007659156</t>
  </si>
  <si>
    <t>uc2.ark:/13960/t3st7gf85</t>
  </si>
  <si>
    <t>007659832</t>
  </si>
  <si>
    <t>Acting and oratory : designed for public speakers, teachers, actors, etc. /</t>
  </si>
  <si>
    <t>uc2.ark:/13960/t2b854t9v</t>
  </si>
  <si>
    <t>007659970</t>
  </si>
  <si>
    <t>Elocution, voice &amp; gesture. Illustrated by pieces, annotated with inflections, emphasis, pauses and gesture.</t>
  </si>
  <si>
    <t>Garry, Rupert.</t>
  </si>
  <si>
    <t>njp.32101074743475</t>
  </si>
  <si>
    <t>007661584</t>
  </si>
  <si>
    <t>Thought-symbolism and grammatic illusions: being a treatise on the nature, purpose and material of speech, and a demonstration of the unreality, the useless complexity, and the evil effects, of orthodox grammatic rules in general;</t>
  </si>
  <si>
    <t>Hutchinson, H.</t>
  </si>
  <si>
    <t>uc2.ark:/13960/t8z89487g</t>
  </si>
  <si>
    <t>uc2.ark:/13960/t6sx66b9g</t>
  </si>
  <si>
    <t>007662480</t>
  </si>
  <si>
    <t>Pages from an old volume of life; a collection of essays, 1857-1881,</t>
  </si>
  <si>
    <t>Holmes, Oliver Wendell,</t>
  </si>
  <si>
    <t>uc2.ark:/13960/t4zg6hq9n</t>
  </si>
  <si>
    <t>007663774</t>
  </si>
  <si>
    <t>Guide to French pronunciation and practical phonetics,</t>
  </si>
  <si>
    <t>La Rochelle, Philippe de,</t>
  </si>
  <si>
    <t>hvd.32044102845831</t>
  </si>
  <si>
    <t>007664150</t>
  </si>
  <si>
    <t>Elements of criticism /</t>
  </si>
  <si>
    <t>nyp.33433069251415</t>
  </si>
  <si>
    <t>007664748</t>
  </si>
  <si>
    <t>A defence of phonetic spelling : drawn from a history of the English alphabet and orthography, with a remedy for their defects /</t>
  </si>
  <si>
    <t>uc2.ark:/13960/t0dv1dv34</t>
  </si>
  <si>
    <t>loc.ark:/13960/t3pv72q86</t>
  </si>
  <si>
    <t>007665149</t>
  </si>
  <si>
    <t>njp.32101071985814</t>
  </si>
  <si>
    <t>007665415</t>
  </si>
  <si>
    <t>The origin and history of the english language and of the early literature it embodies;</t>
  </si>
  <si>
    <t>uc2.ark:/13960/t0dv1ft8h</t>
  </si>
  <si>
    <t>uc1.b4539016</t>
  </si>
  <si>
    <t>007666290</t>
  </si>
  <si>
    <t>Literature in Ireland; studies Irish and Anglo-Irish,</t>
  </si>
  <si>
    <t>uc2.ark:/13960/t6nz83w5b</t>
  </si>
  <si>
    <t>njp.32101065845495</t>
  </si>
  <si>
    <t>007667366</t>
  </si>
  <si>
    <t>Songs of the Ridings,</t>
  </si>
  <si>
    <t>Moorman, F. W.</t>
  </si>
  <si>
    <t>uc2.ark:/13960/t76t0k74z</t>
  </si>
  <si>
    <t>uc2.ark:/13960/t0ns0n43q</t>
  </si>
  <si>
    <t>007667605</t>
  </si>
  <si>
    <t>An english anthology of prose and poetry (14th century - 19th century). Part II. Notes and indices /</t>
  </si>
  <si>
    <t>hvd.hxgf44</t>
  </si>
  <si>
    <t>uc2.ark:/13960/t2r49jf1w</t>
  </si>
  <si>
    <t>007649225</t>
  </si>
  <si>
    <t>uva.x000927022</t>
  </si>
  <si>
    <t>uc2.ark:/13960/t93778f3v</t>
  </si>
  <si>
    <t>007649313</t>
  </si>
  <si>
    <t>Jenny Lind; a record and analysis of the "method" of the late Madame Jenny Lind-Goldschmidt,</t>
  </si>
  <si>
    <t>Rockstro, W. S.</t>
  </si>
  <si>
    <t>uc2.ark:/13960/t0vq2vv7g</t>
  </si>
  <si>
    <t>007649637</t>
  </si>
  <si>
    <t>Victorian poets; rev., and extended, by a supplementary chapter, to the fiftieth year of the period under review.</t>
  </si>
  <si>
    <t>uc2.ark:/13960/t50g3kx7n</t>
  </si>
  <si>
    <t>007649975</t>
  </si>
  <si>
    <t>Warman's practical orthoëpy and critique...</t>
  </si>
  <si>
    <t>mdp.39076005074740</t>
  </si>
  <si>
    <t>007650177</t>
  </si>
  <si>
    <t>The singer and his art,</t>
  </si>
  <si>
    <t>Wronski, Thaddeus.</t>
  </si>
  <si>
    <t>uc2.ark:/13960/t9p26sq2b</t>
  </si>
  <si>
    <t>nyp.33433075861652</t>
  </si>
  <si>
    <t>007650322</t>
  </si>
  <si>
    <t>Critical essays of the early nineteenth century,</t>
  </si>
  <si>
    <t>uc2.ark:/13960/t6930rv9x</t>
  </si>
  <si>
    <t>uc2.ark:/13960/t6b27rj3m</t>
  </si>
  <si>
    <t>007650581</t>
  </si>
  <si>
    <t>Work and art,</t>
  </si>
  <si>
    <t>Bailey, Sarah Lord.</t>
  </si>
  <si>
    <t>uc2.ark:/13960/t09w0970d</t>
  </si>
  <si>
    <t>007652271</t>
  </si>
  <si>
    <t>A compact rhyming dictionary,</t>
  </si>
  <si>
    <t>Bennett, P. R.</t>
  </si>
  <si>
    <t>uc2.ark:/13960/t3ws8jw98</t>
  </si>
  <si>
    <t>007653792</t>
  </si>
  <si>
    <t>uc2.ark:/13960/t8z894466</t>
  </si>
  <si>
    <t>007653809</t>
  </si>
  <si>
    <t>A practical discourse on some principles of hymn-singing / by Robert Bridges.</t>
  </si>
  <si>
    <t>uc2.ark:/13960/t18k76d2w</t>
  </si>
  <si>
    <t>007654283</t>
  </si>
  <si>
    <t>The scholar's companion; containing exercises in the orthography, derivation, and classification of English words.</t>
  </si>
  <si>
    <t>uc2.ark:/13960/t9c53gp3r</t>
  </si>
  <si>
    <t>007654441</t>
  </si>
  <si>
    <t>wu.89001837004</t>
  </si>
  <si>
    <t>hvd.32044037706231</t>
  </si>
  <si>
    <t>007654706</t>
  </si>
  <si>
    <t>hvd.32044038404240</t>
  </si>
  <si>
    <t>nyp.33433082523337</t>
  </si>
  <si>
    <t>uc2.ark:/13960/t1kh0fr55</t>
  </si>
  <si>
    <t>uc2.ark:/13960/t3dz0505g</t>
  </si>
  <si>
    <t>007656097</t>
  </si>
  <si>
    <t>uc2.ark:/13960/t0ft8fs8p</t>
  </si>
  <si>
    <t>007656163</t>
  </si>
  <si>
    <t>John Keats; his life and poetry, his friends, critics and after-fame,</t>
  </si>
  <si>
    <t>uc2.ark:/13960/t42r3qv5j</t>
  </si>
  <si>
    <t>007656170</t>
  </si>
  <si>
    <t>Doctor Syntax : his three tours : in search of the picturesque, of consolation, of a wife /</t>
  </si>
  <si>
    <t>uc2.ark:/13960/t87h1gq5b</t>
  </si>
  <si>
    <t>007657267</t>
  </si>
  <si>
    <t>Introduction to the study of the Chinese characters.</t>
  </si>
  <si>
    <t>Edkins, Joseph,</t>
  </si>
  <si>
    <t>uc2.ark:/13960/t83j3c042</t>
  </si>
  <si>
    <t>007658967</t>
  </si>
  <si>
    <t>The rod, the root, and the flower /</t>
  </si>
  <si>
    <t>loc.ark:/13960/t14m9s05v</t>
  </si>
  <si>
    <t>007646238</t>
  </si>
  <si>
    <t>Studies in the Elizabethan drama,</t>
  </si>
  <si>
    <t>Symons, Arthur,</t>
  </si>
  <si>
    <t>nyp.33433074906359</t>
  </si>
  <si>
    <t>uc1.b3527736</t>
  </si>
  <si>
    <t>uc2.ark:/13960/t2h70b41t</t>
  </si>
  <si>
    <t>uc2.ark:/13960/t4gm83t1z</t>
  </si>
  <si>
    <t>007646415</t>
  </si>
  <si>
    <t>Handbook of the English tongue for the use of students and others.</t>
  </si>
  <si>
    <t>Angus, Joseph,</t>
  </si>
  <si>
    <t>uc2.ark:/13960/t6h12xn3b</t>
  </si>
  <si>
    <t>007646512</t>
  </si>
  <si>
    <t>Tiw; or, A view of the roots and stems of the English as a Teutonic tongue.</t>
  </si>
  <si>
    <t>Barnes, William,</t>
  </si>
  <si>
    <t>uc2.ark:/13960/t1qf8ms96</t>
  </si>
  <si>
    <t>007646871</t>
  </si>
  <si>
    <t>Cyclopædia of English poetry.</t>
  </si>
  <si>
    <t>uc2.ark:/13960/t5p84682p</t>
  </si>
  <si>
    <t>007647152</t>
  </si>
  <si>
    <t>The singing of the future,</t>
  </si>
  <si>
    <t>Davies, David Thomas Ffrangcon-,</t>
  </si>
  <si>
    <t>uc2.ark:/13960/t1ng4gw36</t>
  </si>
  <si>
    <t>007647219</t>
  </si>
  <si>
    <t>Poems and essays: including The fallen chief, The minstrel's curse, Kenilworth ...</t>
  </si>
  <si>
    <t>Dickinson, Gideon.</t>
  </si>
  <si>
    <t>nyp.33433082521422</t>
  </si>
  <si>
    <t>007647382</t>
  </si>
  <si>
    <t>Esenwein, J. Berg</t>
  </si>
  <si>
    <t>uc2.ark:/13960/t9x060t4m</t>
  </si>
  <si>
    <t>uc2.ark:/13960/t0bv7d48s</t>
  </si>
  <si>
    <t>007648110</t>
  </si>
  <si>
    <t>Longer French poems,</t>
  </si>
  <si>
    <t>Jenkins, T. Atkinson</t>
  </si>
  <si>
    <t>uc2.ark:/13960/t17m06d85</t>
  </si>
  <si>
    <t>007648295</t>
  </si>
  <si>
    <t>The science of English verse /</t>
  </si>
  <si>
    <t>uc2.ark:/13960/t92807w44</t>
  </si>
  <si>
    <t>007648313</t>
  </si>
  <si>
    <t>English as she is taught; being genuine answers to examination questions in our public schools,</t>
  </si>
  <si>
    <t>uc2.ark:/13960/t92805n26</t>
  </si>
  <si>
    <t>007648396</t>
  </si>
  <si>
    <t>Evangeline, a tale of Acadie.</t>
  </si>
  <si>
    <t>uc2.ark:/13960/t3222tj75</t>
  </si>
  <si>
    <t>007648715</t>
  </si>
  <si>
    <t>A manual of English prose literature, biographical and critical, designed mainly to show characteristics of style:</t>
  </si>
  <si>
    <t>nyp.33433084112980</t>
  </si>
  <si>
    <t>007648828</t>
  </si>
  <si>
    <t>The renaissance of the vocal art; a practical study of vitality, vitalized energy, of the physical, mental and emotional powers of the singer, through flexible, elastic bodily movements;</t>
  </si>
  <si>
    <t>Myer, Edmund John,</t>
  </si>
  <si>
    <t>uc2.ark:/13960/t49p2zn2d</t>
  </si>
  <si>
    <t>uc2.ark:/13960/t2f76b945</t>
  </si>
  <si>
    <t>007648915</t>
  </si>
  <si>
    <t>nyp.33433084112998</t>
  </si>
  <si>
    <t>007649117</t>
  </si>
  <si>
    <t>The tone placed and developed,</t>
  </si>
  <si>
    <t>Preetorius, Carl.</t>
  </si>
  <si>
    <t>uc2.ark:/13960/t0bv7d131</t>
  </si>
  <si>
    <t>Specimens of early English romances to which is prefixed an historical introduction on the rise and progress of romantic composition in France and England /</t>
  </si>
  <si>
    <t>wu.89099947541</t>
  </si>
  <si>
    <t>007562304</t>
  </si>
  <si>
    <t>The New Key-way English as a world language and universal shorthand; a more simple way of teaching and using the English language, the international alphabet.</t>
  </si>
  <si>
    <t>wu.89099415796</t>
  </si>
  <si>
    <t>007562307</t>
  </si>
  <si>
    <t>The new American-English as a world language and universal shorthand: a more simple way of teaching and using the English language,</t>
  </si>
  <si>
    <t>wu.89099359515</t>
  </si>
  <si>
    <t>007562366</t>
  </si>
  <si>
    <t>English lessons for English people /</t>
  </si>
  <si>
    <t>wu.89099359689</t>
  </si>
  <si>
    <t>007562367</t>
  </si>
  <si>
    <t>The value of English to the technical man : an address to the Technological Society of Kansas City, The Engineering Society of the University of Missouri, and the Civil Engineering Society of the University of Kansas.</t>
  </si>
  <si>
    <t>Harrington, John Lyle,</t>
  </si>
  <si>
    <t>wu.89099359697</t>
  </si>
  <si>
    <t>007562370</t>
  </si>
  <si>
    <t>The English language : its grammar, history and literature : with chapters on composition, versification, paraphrasing, and punctuation /</t>
  </si>
  <si>
    <t>wu.89104401369</t>
  </si>
  <si>
    <t>007562453</t>
  </si>
  <si>
    <t>The Sanskrit mutes called mk_x0001_rdhanya : that is domal /</t>
  </si>
  <si>
    <t>Lanman, Charles Rockwell,</t>
  </si>
  <si>
    <t>wu.89099507287</t>
  </si>
  <si>
    <t>007562485</t>
  </si>
  <si>
    <t>In memoriam, Paul Passy, 1859-1939,/</t>
  </si>
  <si>
    <t>inu.30000054488253</t>
  </si>
  <si>
    <t>007584491</t>
  </si>
  <si>
    <t>inu.32000011236645</t>
  </si>
  <si>
    <t>007584679</t>
  </si>
  <si>
    <t>The Shakespeare Society's papers.</t>
  </si>
  <si>
    <t>inu.32000011236652</t>
  </si>
  <si>
    <t>inu.32000011236678</t>
  </si>
  <si>
    <t>inu.32000007482708</t>
  </si>
  <si>
    <t>007585411</t>
  </si>
  <si>
    <t>Essay on criticism,</t>
  </si>
  <si>
    <t>inu.32000000980351</t>
  </si>
  <si>
    <t>007591296</t>
  </si>
  <si>
    <t>Essays, lectures and orations. /</t>
  </si>
  <si>
    <t>inu.32000013159100</t>
  </si>
  <si>
    <t>007591438</t>
  </si>
  <si>
    <t>...Sixteen 2-character plays, also encores.</t>
  </si>
  <si>
    <t>no.36</t>
  </si>
  <si>
    <t>Phelps, Pauline,</t>
  </si>
  <si>
    <t>hvd.32044014490106</t>
  </si>
  <si>
    <t>007645938</t>
  </si>
  <si>
    <t>Standard alphabet for reducing unwritten languages and foreign graphic systems to a uniform orthography in European letters,</t>
  </si>
  <si>
    <t>Lepsius, Richard,</t>
  </si>
  <si>
    <t>hvd.hn4rvy</t>
  </si>
  <si>
    <t>uc2.ark:/13960/t13n22k0r</t>
  </si>
  <si>
    <t>uc2.ark:/13960/t09w0fm6w</t>
  </si>
  <si>
    <t>007646090</t>
  </si>
  <si>
    <t>An orthographical vocabulary, showing where the final consonant should be repeated in spelling the past tense and the participles of English verbs /</t>
  </si>
  <si>
    <t>Huband, W.</t>
  </si>
  <si>
    <t>uc2.ark:/13960/t3mw2gj8r</t>
  </si>
  <si>
    <t>uc2.ark:/13960/t83j3hj99</t>
  </si>
  <si>
    <t>007370109</t>
  </si>
  <si>
    <t>How to parse : an attempt to apply the principles of scholarship to English grammar ; with appendixes on analysis, spelling, and punctuation /</t>
  </si>
  <si>
    <t>uc1.b2792462</t>
  </si>
  <si>
    <t>007370121</t>
  </si>
  <si>
    <t>Report on the present state of our knowledge of linguistic ethnology : made to the American Association for the Advancement of Science, August, 1856 /</t>
  </si>
  <si>
    <t>Haldeman, Samuel Stehman,</t>
  </si>
  <si>
    <t>uc2.ark:/13960/t3417157w</t>
  </si>
  <si>
    <t>inu.32000000333239</t>
  </si>
  <si>
    <t>007391108</t>
  </si>
  <si>
    <t>Some thoughts concerning education /</t>
  </si>
  <si>
    <t>Locke, John,</t>
  </si>
  <si>
    <t>umn.319510024019820</t>
  </si>
  <si>
    <t>007471069</t>
  </si>
  <si>
    <t>The age of Dryden.</t>
  </si>
  <si>
    <t>umn.319510024020249</t>
  </si>
  <si>
    <t>007472728</t>
  </si>
  <si>
    <t>umn.31951002044523l</t>
  </si>
  <si>
    <t>007474147</t>
  </si>
  <si>
    <t>Johnson's Lives of the poets /</t>
  </si>
  <si>
    <t>umn.31951002044524j</t>
  </si>
  <si>
    <t>umn.31951002044525h</t>
  </si>
  <si>
    <t>umn.31951002044526f</t>
  </si>
  <si>
    <t>umn.31951002044527d</t>
  </si>
  <si>
    <t>umn.31951002044530o</t>
  </si>
  <si>
    <t>umn.31951002044531m</t>
  </si>
  <si>
    <t>umn.31951002185740d</t>
  </si>
  <si>
    <t>007474295</t>
  </si>
  <si>
    <t>Specimens of English prose style from Malory to Macaulay, selected and annotated, with an introductory essay</t>
  </si>
  <si>
    <t>umn.31951002169893g</t>
  </si>
  <si>
    <t>007475892</t>
  </si>
  <si>
    <t>umn.319510023989074</t>
  </si>
  <si>
    <t>007476063</t>
  </si>
  <si>
    <t>Shakespeare: his life, art, and characters. With an historical sketch of the origin and growth of drama in England.</t>
  </si>
  <si>
    <t>uva.x000611919</t>
  </si>
  <si>
    <t>umn.319510021803814</t>
  </si>
  <si>
    <t>007477645</t>
  </si>
  <si>
    <t>First lessons in English grammar.</t>
  </si>
  <si>
    <t>Clark, Stephen W.</t>
  </si>
  <si>
    <t>umn.31951002399018u</t>
  </si>
  <si>
    <t>007477765</t>
  </si>
  <si>
    <t>Lectures on English poets, The spirit of the age.</t>
  </si>
  <si>
    <t>pst.000018582185</t>
  </si>
  <si>
    <t>007516935</t>
  </si>
  <si>
    <t>Composition through life and literature : a manual for practical composition in secondary school /</t>
  </si>
  <si>
    <t>Paul, George F[red],</t>
  </si>
  <si>
    <t>pst.000001926552</t>
  </si>
  <si>
    <t>007517003</t>
  </si>
  <si>
    <t>A college course in writing from models /</t>
  </si>
  <si>
    <t>pst.000002036496</t>
  </si>
  <si>
    <t>007517029</t>
  </si>
  <si>
    <t>Epistle to a friend concerning poetry (1700) and the Essay on heroic poetry (2d ed., 1697)</t>
  </si>
  <si>
    <t>no.5</t>
  </si>
  <si>
    <t>uc1.b2839086</t>
  </si>
  <si>
    <t>007322438</t>
  </si>
  <si>
    <t>Murray's English reader, or, Pieces in prose and poetry : selected from the best writers : designed to assist young persons to read with propriety and effect, to improve their language and sentiments, and to inculcate some of the most important principles of piety and virtue : with a few preliminary observations on the principles of good reading : improved by the addition of a concordant and synonymising vocabulary consisting of about fifteen hundred of the most important words contained in this work : the words are arranged in columns and placed over the sections respectively, from which they are selected, and are divided, defined, and pronounced according to the principles of John Walker : the words in the vocabulary and their correspondent words in the sections are numbered with figures of reference : Walker's pronouncing key, which governs the vocabulary, is prefixed to this work /</t>
  </si>
  <si>
    <t>uc1.b2796079</t>
  </si>
  <si>
    <t>007341591</t>
  </si>
  <si>
    <t>Evangeline /</t>
  </si>
  <si>
    <t>uc2.ark:/13960/t3dz09p91</t>
  </si>
  <si>
    <t>007356411</t>
  </si>
  <si>
    <t>Lessons in English : adapted to the study of American classics : a text-book for high schools and academies /</t>
  </si>
  <si>
    <t>Lockwood, Sara E. Husted</t>
  </si>
  <si>
    <t>njp.32101067938645</t>
  </si>
  <si>
    <t>007357635</t>
  </si>
  <si>
    <t>The introduction of classical metres into Italian poetry and their development to the beginning of the nineteenth century ...</t>
  </si>
  <si>
    <t>Baxter, Arthur Henry,</t>
  </si>
  <si>
    <t>uc2.ark:/13960/t8gf0w012</t>
  </si>
  <si>
    <t>uc2.ark:/13960/t79s1tn27</t>
  </si>
  <si>
    <t>007357652</t>
  </si>
  <si>
    <t>Modern Provençal phonology and morphology studied in the language of Frederic Mistral,</t>
  </si>
  <si>
    <t>Ford, H. E.</t>
  </si>
  <si>
    <t>uc1.b3110240</t>
  </si>
  <si>
    <t>007357658</t>
  </si>
  <si>
    <t>The Phonotypic journal.</t>
  </si>
  <si>
    <t>uc1.b2791658</t>
  </si>
  <si>
    <t>007369540</t>
  </si>
  <si>
    <t>Etymologies, chiefly Anglo-French /</t>
  </si>
  <si>
    <t>Weekley, Ernest,</t>
  </si>
  <si>
    <t>uc1.b2792371</t>
  </si>
  <si>
    <t>007370056</t>
  </si>
  <si>
    <t>The stylography of the English language /</t>
  </si>
  <si>
    <t>Shaha, Brojonath.</t>
  </si>
  <si>
    <t>uc2.ark:/13960/t01z47s8b</t>
  </si>
  <si>
    <t>uc1.b2792444</t>
  </si>
  <si>
    <t>007370108</t>
  </si>
  <si>
    <t>uc1.32106012471881</t>
  </si>
  <si>
    <t>uc1.32106019364121</t>
  </si>
  <si>
    <t>uc1.32106001572459</t>
  </si>
  <si>
    <t>007123483</t>
  </si>
  <si>
    <t>The Berlitz complete handbook of effective English.</t>
  </si>
  <si>
    <t>uc1.32106001929204</t>
  </si>
  <si>
    <t>007123539</t>
  </si>
  <si>
    <t>Critical and miscellaneous essays.</t>
  </si>
  <si>
    <t>uc1.32106007686642</t>
  </si>
  <si>
    <t>007123579</t>
  </si>
  <si>
    <t>uc1.32106002801725</t>
  </si>
  <si>
    <t>007124189</t>
  </si>
  <si>
    <t>A catalogue of early English books in the library of John L. Clawson,</t>
  </si>
  <si>
    <t>Clawson, John Lewis,</t>
  </si>
  <si>
    <t>uc1.32106001576252</t>
  </si>
  <si>
    <t>007126067</t>
  </si>
  <si>
    <t>uc1.32106011342802</t>
  </si>
  <si>
    <t>007126068</t>
  </si>
  <si>
    <t>A history of foreign words in English.</t>
  </si>
  <si>
    <t>Serjeanston, Mary Sidney,</t>
  </si>
  <si>
    <t>uc1.32106001646485</t>
  </si>
  <si>
    <t>007126183</t>
  </si>
  <si>
    <t>An introduction to the methods and materials of literary criticism, the bases in aesthetics and poetics;</t>
  </si>
  <si>
    <t>uc1.32106001558375</t>
  </si>
  <si>
    <t>007126809</t>
  </si>
  <si>
    <t>Manual of French pronunciation and diction based on the notation of the Association phonétic internationale,</t>
  </si>
  <si>
    <t>Jack, James William,</t>
  </si>
  <si>
    <t>uc1.32106001875688</t>
  </si>
  <si>
    <t>007127230</t>
  </si>
  <si>
    <t>Poetry of the people, comprising poems illustrative of the history and national spirit of England, Scotland, Ireland, and America, and poems of the world war,</t>
  </si>
  <si>
    <t>uc1.32106001899191</t>
  </si>
  <si>
    <t>007127296</t>
  </si>
  <si>
    <t>Shakspere and his predecessors,</t>
  </si>
  <si>
    <t>uc1.32106002075734</t>
  </si>
  <si>
    <t>007127481</t>
  </si>
  <si>
    <t>Evangeline; a tale of Acadies,</t>
  </si>
  <si>
    <t>uc1.32106001863296</t>
  </si>
  <si>
    <t>007128980</t>
  </si>
  <si>
    <t>The use of color in the verse of the English romantic poets.</t>
  </si>
  <si>
    <t>uc1.32106009947422</t>
  </si>
  <si>
    <t>007149112</t>
  </si>
  <si>
    <t>Maitre phonetique.</t>
  </si>
  <si>
    <t>v.5 1890</t>
  </si>
  <si>
    <t>uc1.32106009947430</t>
  </si>
  <si>
    <t>v.2-3 1887-88</t>
  </si>
  <si>
    <t>uc1.32106019313177</t>
  </si>
  <si>
    <t>v.10 1895</t>
  </si>
  <si>
    <t>uc1.32106019313193</t>
  </si>
  <si>
    <t>v.14 1899</t>
  </si>
  <si>
    <t>uc1.32106019313201</t>
  </si>
  <si>
    <t>v.17 1902</t>
  </si>
  <si>
    <t>uc1.32106019313219</t>
  </si>
  <si>
    <t>v.18-19 1903-04</t>
  </si>
  <si>
    <t>uc1.32106019313227</t>
  </si>
  <si>
    <t>v.20 1905</t>
  </si>
  <si>
    <t>uc1.32106019313235</t>
  </si>
  <si>
    <t>v.21-22 1906-07</t>
  </si>
  <si>
    <t>uc1.32106019313243</t>
  </si>
  <si>
    <t>v.23-25 1908-10</t>
  </si>
  <si>
    <t>uc1.32106019313250</t>
  </si>
  <si>
    <t>v.26-28 1911-13</t>
  </si>
  <si>
    <t>uc1.32106019313268</t>
  </si>
  <si>
    <t>v.29 1914</t>
  </si>
  <si>
    <t>uc1.32106020266638</t>
  </si>
  <si>
    <t>v.15-16 1900-01</t>
  </si>
  <si>
    <t>uc1.32106019364279</t>
  </si>
  <si>
    <t>007149646</t>
  </si>
  <si>
    <t>Dr. R. Grey's Memoria technica : or, Method of artificial memory, applied to and exemplified in chronology, history, geography, astronomy; also, Jewish, Grecian and Roman coins, weights, measures, &amp;c. To wich are subjoined, Loew's Mnemonics delineated, in various branches of literature and science.</t>
  </si>
  <si>
    <t>nyp.33433082277298</t>
  </si>
  <si>
    <t>007037955</t>
  </si>
  <si>
    <t>The speaking voice : its scientific basis in music; a text-book for teachers and pupils embracing a thorough course of graded exercises for the speaking voice with an appendix for teaching young children /</t>
  </si>
  <si>
    <t>Cone, Richard Wood.</t>
  </si>
  <si>
    <t>pst.000001933987</t>
  </si>
  <si>
    <t>pst.000005931750</t>
  </si>
  <si>
    <t>007037956</t>
  </si>
  <si>
    <t>Orthophony, or vocal culture : aA manual of elementary exercises for the cultivation of the voice in elocution ... /</t>
  </si>
  <si>
    <t>pst.000001866643</t>
  </si>
  <si>
    <t>007037961</t>
  </si>
  <si>
    <t>Werner's selections with elocution lessions, no. 1.</t>
  </si>
  <si>
    <t>pst.000005930852</t>
  </si>
  <si>
    <t>007037970</t>
  </si>
  <si>
    <t>An essay on elocution : with elucidatory passages from various authors to which are added remarks on reading prose and verse, with suggestions to instructors of the art /</t>
  </si>
  <si>
    <t>pst.000029315130</t>
  </si>
  <si>
    <t>007061945</t>
  </si>
  <si>
    <t>Suggested piano study for the vocal student /</t>
  </si>
  <si>
    <t>Gilbert, Russell Snively,</t>
  </si>
  <si>
    <t>uc1.32106016976661</t>
  </si>
  <si>
    <t>007105198</t>
  </si>
  <si>
    <t>The voice: how to use it (rev. ed.) with exercises for tone and articulation,</t>
  </si>
  <si>
    <t>Barrows, Sarah Tracy,</t>
  </si>
  <si>
    <t>uc1.32106001920849</t>
  </si>
  <si>
    <t>007112092</t>
  </si>
  <si>
    <t>Essays in criticism.</t>
  </si>
  <si>
    <t>uc1.32106001526083</t>
  </si>
  <si>
    <t>007114361</t>
  </si>
  <si>
    <t>Latin prose composition.</t>
  </si>
  <si>
    <t>Hardie, William Ross,</t>
  </si>
  <si>
    <t>uc1.32106002124664</t>
  </si>
  <si>
    <t>007120627</t>
  </si>
  <si>
    <t>Dear sir (or dear madam) who happen to glance at this title-page printed you'll see to enhance its aesthetic attraction, pray buy, if you're able, this excellent bargain:</t>
  </si>
  <si>
    <t>uc1.32106001661542</t>
  </si>
  <si>
    <t>007122242</t>
  </si>
  <si>
    <t>Rhetoric and poetry in the Renaissance; a study of rhetorical terms in English Renaissance literary criticism.</t>
  </si>
  <si>
    <t>uc1.32106015189290</t>
  </si>
  <si>
    <t>007122710</t>
  </si>
  <si>
    <t>Tendencies in modern poetry.</t>
  </si>
  <si>
    <t>uc1.32106007869586</t>
  </si>
  <si>
    <t>007123273</t>
  </si>
  <si>
    <t>Original tales and ballads in the Yorkshire dialect, known also as Inglis, the language of the Angles, and the Northumbrian dialect: spoken to-day in Yorkshire, and in early times from South Yorkshire to Aberdeen,</t>
  </si>
  <si>
    <t>Malham-Dembleby, John.</t>
  </si>
  <si>
    <t>uc2.ark:/13960/t0qr4px37</t>
  </si>
  <si>
    <t>inu.30000084048762</t>
  </si>
  <si>
    <t>007009724</t>
  </si>
  <si>
    <t>A guide to the Anglo-Saxon tongue: a grammar after Erasmus Rask, extracts in prose and verse, with notes, etc., for the use of learners, and an appendix,</t>
  </si>
  <si>
    <t>inu.30000047781228</t>
  </si>
  <si>
    <t>007010465</t>
  </si>
  <si>
    <t>Speaking American English; a practice book for advanced foreign speakers.</t>
  </si>
  <si>
    <t>Crowell, Thomas Lee,</t>
  </si>
  <si>
    <t>inu.30000003130378</t>
  </si>
  <si>
    <t>007010611</t>
  </si>
  <si>
    <t>Composition-rhetoric, designed for use in secondary schools,</t>
  </si>
  <si>
    <t>inu.30000010388977</t>
  </si>
  <si>
    <t>007010618</t>
  </si>
  <si>
    <t>inu.32000000888307</t>
  </si>
  <si>
    <t>007010644</t>
  </si>
  <si>
    <t>The musical basis of verse; a scientific study of the principles of poetic composition.</t>
  </si>
  <si>
    <t>pst.000003850084</t>
  </si>
  <si>
    <t>007025278</t>
  </si>
  <si>
    <t>Elements of criticism : with analyses and translations of ancient and foreign illustrations /</t>
  </si>
  <si>
    <t>pst.000004513841</t>
  </si>
  <si>
    <t>007025329</t>
  </si>
  <si>
    <t>Evangeline : a romance of Acadia ... /</t>
  </si>
  <si>
    <t>pst.000006356118</t>
  </si>
  <si>
    <t>007025518</t>
  </si>
  <si>
    <t>The poems of Henry Howard, Earl of Surrey.</t>
  </si>
  <si>
    <t>pst.000006537708</t>
  </si>
  <si>
    <t>007025600</t>
  </si>
  <si>
    <t>Shakespeare and his day : a study of the topical element in Shakespeare and in the Elizabethan drama, being the harness prize essay, 1901.</t>
  </si>
  <si>
    <t>pst.000022960368</t>
  </si>
  <si>
    <t>007026189</t>
  </si>
  <si>
    <t>Poetry, with reference to Aristotles's Poetics /</t>
  </si>
  <si>
    <t>pst.000015807007</t>
  </si>
  <si>
    <t>007027672</t>
  </si>
  <si>
    <t>pst.000005306442</t>
  </si>
  <si>
    <t>007031185</t>
  </si>
  <si>
    <t>The table talk and Omniana of Samuel Taylor Coleridge... /</t>
  </si>
  <si>
    <t>pst.000012612925</t>
  </si>
  <si>
    <t>007033603</t>
  </si>
  <si>
    <t>Great singers on the art of singing : educational conferences with foremost artists : a series of personal study talks with the most renowned opera concert and oratorio singers of the time, especially planned for voice students /</t>
  </si>
  <si>
    <t>Cooke, James Francis,</t>
  </si>
  <si>
    <t>pst.000005830688</t>
  </si>
  <si>
    <t>007037302</t>
  </si>
  <si>
    <t>Barlace, James George.</t>
  </si>
  <si>
    <t>wu.89097135362</t>
  </si>
  <si>
    <t>006848314</t>
  </si>
  <si>
    <t>Standard test English /</t>
  </si>
  <si>
    <t>uc1.b3113633</t>
  </si>
  <si>
    <t>006857980</t>
  </si>
  <si>
    <t>Phonics in reading ; a manual,</t>
  </si>
  <si>
    <t>Haliburton, Margaret Winifred.</t>
  </si>
  <si>
    <t>wu.89098680929</t>
  </si>
  <si>
    <t>006908102</t>
  </si>
  <si>
    <t>wu.89098703408</t>
  </si>
  <si>
    <t>006908135</t>
  </si>
  <si>
    <t>Silent reading,</t>
  </si>
  <si>
    <t>wu.89098727209</t>
  </si>
  <si>
    <t>006908469</t>
  </si>
  <si>
    <t>The scholemaster. Written between 1563-8. Posthumously published, first edition 1570; collated with the second edition 1572.</t>
  </si>
  <si>
    <t>wu.89098727910</t>
  </si>
  <si>
    <t>006908498</t>
  </si>
  <si>
    <t>Selections from the papers of the late Thomas Wright Hill ...</t>
  </si>
  <si>
    <t>Hill, Thomas Wright,</t>
  </si>
  <si>
    <t>wu.89097127401</t>
  </si>
  <si>
    <t>006908720</t>
  </si>
  <si>
    <t>Report on some measurements in spelling : in schools of the Borough of Richmond, City of New York.</t>
  </si>
  <si>
    <t>wu.89097363642</t>
  </si>
  <si>
    <t>006913319</t>
  </si>
  <si>
    <t>Hints on home training and teaching,</t>
  </si>
  <si>
    <t>wu.89102068293</t>
  </si>
  <si>
    <t>006913775</t>
  </si>
  <si>
    <t>The language program in grades one and two,</t>
  </si>
  <si>
    <t>Goodrich, Bessie Bacon,</t>
  </si>
  <si>
    <t>wu.89097626915</t>
  </si>
  <si>
    <t>006913882</t>
  </si>
  <si>
    <t>By seven singing willows, being a true account of the things we do and feel and think. Here begins a story which shall continue,</t>
  </si>
  <si>
    <t>wu.89056925142</t>
  </si>
  <si>
    <t>006913883</t>
  </si>
  <si>
    <t>Suggested course of study in oral and written expression for elementary schools.</t>
  </si>
  <si>
    <t>wu.89097627392</t>
  </si>
  <si>
    <t>006913891</t>
  </si>
  <si>
    <t>English in common learnings;</t>
  </si>
  <si>
    <t>wu.89097627467</t>
  </si>
  <si>
    <t>006913894</t>
  </si>
  <si>
    <t>Better everyday English.</t>
  </si>
  <si>
    <t>Paul, Harry Gilbert,</t>
  </si>
  <si>
    <t>wu.89097627475</t>
  </si>
  <si>
    <t>006913895</t>
  </si>
  <si>
    <t>The social objectives of school English</t>
  </si>
  <si>
    <t>Pendleton, Charles Sutphin,</t>
  </si>
  <si>
    <t>wu.89097627517</t>
  </si>
  <si>
    <t>006913896</t>
  </si>
  <si>
    <t>Composition standards; how to establish them,</t>
  </si>
  <si>
    <t>Savitz, Jerohn Joseph.</t>
  </si>
  <si>
    <t>wu.89097627673</t>
  </si>
  <si>
    <t>006913899</t>
  </si>
  <si>
    <t>Withers, Sarah.</t>
  </si>
  <si>
    <t>wu.89097627681</t>
  </si>
  <si>
    <t>wu.89002084515</t>
  </si>
  <si>
    <t>006920864</t>
  </si>
  <si>
    <t>Selected prose works /</t>
  </si>
  <si>
    <t>Lessing, Gotthold Ephraim,</t>
  </si>
  <si>
    <t>inu.39000005762732</t>
  </si>
  <si>
    <t>006934429</t>
  </si>
  <si>
    <t>006745078</t>
  </si>
  <si>
    <t>Euphorion : being studies of the antique and the mediæval in the renaissance /</t>
  </si>
  <si>
    <t>Lee, Vernon,</t>
  </si>
  <si>
    <t>mdp.39015080733960</t>
  </si>
  <si>
    <t>006780696</t>
  </si>
  <si>
    <t>Elements of the English language, or, Analytical orthography : designed to teach the philosophy of orthography and orthoepy : adapted to schools /</t>
  </si>
  <si>
    <t>Wright, Albert D.</t>
  </si>
  <si>
    <t>inu.32000013166832</t>
  </si>
  <si>
    <t>006785920</t>
  </si>
  <si>
    <t>Introduction to English, French and German phonetics, with reading lessons and exercises /</t>
  </si>
  <si>
    <t>inu.30000100203904</t>
  </si>
  <si>
    <t>006792313</t>
  </si>
  <si>
    <t>Chiasmus in Sallust, Caesar, Tacitus and Justinus.</t>
  </si>
  <si>
    <t>Steele, Robert,</t>
  </si>
  <si>
    <t>inu.30000061604785</t>
  </si>
  <si>
    <t>006793096</t>
  </si>
  <si>
    <t>Swedish phonology,</t>
  </si>
  <si>
    <t>Elmquist, A. Louis</t>
  </si>
  <si>
    <t>uc2.ark:/13960/t3jw8f89w</t>
  </si>
  <si>
    <t>inu.32000001887936</t>
  </si>
  <si>
    <t>006793130</t>
  </si>
  <si>
    <t>Lessons in language and literature,</t>
  </si>
  <si>
    <t>Buehler, Huber Gray,</t>
  </si>
  <si>
    <t>inu.32000001887944</t>
  </si>
  <si>
    <t>006793131</t>
  </si>
  <si>
    <t>A shorter English grammar with composition,</t>
  </si>
  <si>
    <t>inu.32000007957766</t>
  </si>
  <si>
    <t>006793187</t>
  </si>
  <si>
    <t>Specimens of discourse,</t>
  </si>
  <si>
    <t>Andrews, Arthur Lynn.</t>
  </si>
  <si>
    <t>njp.32101013963010</t>
  </si>
  <si>
    <t>006793190</t>
  </si>
  <si>
    <t>The practical elements of rhetoric,</t>
  </si>
  <si>
    <t>inu.32000006449849</t>
  </si>
  <si>
    <t>006793191</t>
  </si>
  <si>
    <t>Compositon and rhetoric,</t>
  </si>
  <si>
    <t>Thomas, Charles Swain.</t>
  </si>
  <si>
    <t>inu.32000007957980</t>
  </si>
  <si>
    <t>006793192</t>
  </si>
  <si>
    <t>Freshman English; a manual,</t>
  </si>
  <si>
    <t>Young, Frances Campbell Berkeley.</t>
  </si>
  <si>
    <t>njp.32101072898867</t>
  </si>
  <si>
    <t>006793194</t>
  </si>
  <si>
    <t>Model English prose /</t>
  </si>
  <si>
    <t>inu.32000007774815</t>
  </si>
  <si>
    <t>006793217</t>
  </si>
  <si>
    <t>Cicero's Milo : a rhetorical commentary [by] Francis P. Donnelly.</t>
  </si>
  <si>
    <t>inu.32000003291913</t>
  </si>
  <si>
    <t>006794157</t>
  </si>
  <si>
    <t>The scholemaster. Written between 1563-8. Posthumously published.</t>
  </si>
  <si>
    <t>inu.39000005835280</t>
  </si>
  <si>
    <t>006810249</t>
  </si>
  <si>
    <t>Ancient songs, from the time of King Henry the Third, to the revolution ...</t>
  </si>
  <si>
    <t>Ritson, Joseph,</t>
  </si>
  <si>
    <t>nyp.33433074838057</t>
  </si>
  <si>
    <t>inu.39000005909762</t>
  </si>
  <si>
    <t>006810296</t>
  </si>
  <si>
    <t>The popular ballad.</t>
  </si>
  <si>
    <t>wu.89096981899</t>
  </si>
  <si>
    <t>006830037</t>
  </si>
  <si>
    <t>An historical sketch of the progress of knowledge in England, from the conversion of the Anglo-Saxons, to the end of the reign of Elisabeth.</t>
  </si>
  <si>
    <t>006674844</t>
  </si>
  <si>
    <t>A short handbook of literary terms /</t>
  </si>
  <si>
    <t>Loane, George Green,</t>
  </si>
  <si>
    <t>uc1.b3564915</t>
  </si>
  <si>
    <t>006675300</t>
  </si>
  <si>
    <t>William Shakespeare, prosody and text; an essay in criticism, being an introduction to a better editing and a more adequate appreciation of the works of the Elizabethan poets,</t>
  </si>
  <si>
    <t>uc2.ark:/13960/t4th8mw33</t>
  </si>
  <si>
    <t>uc1.b3575582</t>
  </si>
  <si>
    <t>006677505</t>
  </si>
  <si>
    <t>Essays in English literature, 1780-1860,</t>
  </si>
  <si>
    <t>hvd.32044038422127</t>
  </si>
  <si>
    <t>006677587</t>
  </si>
  <si>
    <t>Historical and critical essays.</t>
  </si>
  <si>
    <t>hvd.32044038422135</t>
  </si>
  <si>
    <t>hvd.32044090309444</t>
  </si>
  <si>
    <t>hvd.32044090309618</t>
  </si>
  <si>
    <t>hvd.hwjvjs</t>
  </si>
  <si>
    <t>uc1.b3575764</t>
  </si>
  <si>
    <t>v.1 cop.2</t>
  </si>
  <si>
    <t>uva.x000858966</t>
  </si>
  <si>
    <t>v.10-11 v.10</t>
  </si>
  <si>
    <t>uc1.$b661472</t>
  </si>
  <si>
    <t>006677709</t>
  </si>
  <si>
    <t>More literary recreations,</t>
  </si>
  <si>
    <t>Cook, Edward Tyas,</t>
  </si>
  <si>
    <t>uc1.b3576128</t>
  </si>
  <si>
    <t>uc2.ark:/13960/t6251j17m</t>
  </si>
  <si>
    <t>uc1.b3576175</t>
  </si>
  <si>
    <t>006677733</t>
  </si>
  <si>
    <t>The Bothie of Toper-na-fuosich : a long-vacation pastoral /</t>
  </si>
  <si>
    <t>Clough, Arthur Hugh,</t>
  </si>
  <si>
    <t>uc1.b3576214</t>
  </si>
  <si>
    <t>006677747</t>
  </si>
  <si>
    <t>Principle in art, Religio poetæ and other essays /</t>
  </si>
  <si>
    <t>uc1.b3579402</t>
  </si>
  <si>
    <t>006678480</t>
  </si>
  <si>
    <t>The final reliques of Father Prout (The Rev. Francis Mahony) /</t>
  </si>
  <si>
    <t>Mahony, Francis Sylvester</t>
  </si>
  <si>
    <t>uc1.b3826626</t>
  </si>
  <si>
    <t>006727701</t>
  </si>
  <si>
    <t>uc1.b3826627</t>
  </si>
  <si>
    <t>v. 2, copy 2</t>
  </si>
  <si>
    <t>uc1.b3826628</t>
  </si>
  <si>
    <t>uc1.b3827722</t>
  </si>
  <si>
    <t>006728029</t>
  </si>
  <si>
    <t>The phonology of Gallic clerical Latin after the sixth century : an introductory historical study based chiefly on Merovingian and Carolingian spelling and on the forms of old French loan-words /</t>
  </si>
  <si>
    <t>Rice, Carlton Cosmo,</t>
  </si>
  <si>
    <t>uc2.ark:/13960/t9b56gz6m</t>
  </si>
  <si>
    <t>uc1.b3861089</t>
  </si>
  <si>
    <t>006736843</t>
  </si>
  <si>
    <t>Victorian poets;</t>
  </si>
  <si>
    <t>uc2.ark:/13960/t5x63n19d</t>
  </si>
  <si>
    <t>uc1.b3889813</t>
  </si>
  <si>
    <t>006743224</t>
  </si>
  <si>
    <t>Phonetics : a critical analysis of phonetic theory and a technic for the practical description of sounds /</t>
  </si>
  <si>
    <t>cop.1</t>
  </si>
  <si>
    <t>Pike, Kenneth Lee,</t>
  </si>
  <si>
    <t>uc1.b3891210</t>
  </si>
  <si>
    <t>006743523</t>
  </si>
  <si>
    <t>Visible speech: the science ... of universal alphabetics; or Self-interpreting physiological letters, for the writing of all languages in one alphabet.</t>
  </si>
  <si>
    <t>uc1.b3895375</t>
  </si>
  <si>
    <t>English poetry, its principles and progress, with representative masterpieces from 1390 to 1917 and with notes,</t>
  </si>
  <si>
    <t>uc1.b3514913</t>
  </si>
  <si>
    <t>uc2.ark:/13960/t3st7px40</t>
  </si>
  <si>
    <t>uc1.b3515121</t>
  </si>
  <si>
    <t>006666312</t>
  </si>
  <si>
    <t>A rhyming dictionary : answering, at the same time, the purposes of spelling and pronouncing the English language on a plan not hitherto attempted ... to which is prefixed a copious introduction ... and, for the purpose of poetry, is added an index of allowable rhymes, with authorities for their usage from our best poets /</t>
  </si>
  <si>
    <t>uc1.b3515385</t>
  </si>
  <si>
    <t>006666504</t>
  </si>
  <si>
    <t>The Italian influence in English poetry, from Chaucer to Southwell.</t>
  </si>
  <si>
    <t>Sells, A. Lytton</t>
  </si>
  <si>
    <t>uc1.b3515392</t>
  </si>
  <si>
    <t>006666509</t>
  </si>
  <si>
    <t>History of English poetry from the 12th to the close of the 16th century</t>
  </si>
  <si>
    <t>uc1.b3515393</t>
  </si>
  <si>
    <t>uc1.b3515394</t>
  </si>
  <si>
    <t>uc1.b3515395</t>
  </si>
  <si>
    <t>uc1.b3539516</t>
  </si>
  <si>
    <t>006671079</t>
  </si>
  <si>
    <t>Illustrations of Old English literature /</t>
  </si>
  <si>
    <t>uc2.ark:/13960/t4gm8392q</t>
  </si>
  <si>
    <t>uc1.b3539999</t>
  </si>
  <si>
    <t>006671165</t>
  </si>
  <si>
    <t>uc1.b3541556</t>
  </si>
  <si>
    <t>006671336</t>
  </si>
  <si>
    <t>American criticism on American literature.</t>
  </si>
  <si>
    <t>Gould, Edward Sherman,</t>
  </si>
  <si>
    <t>uc2.ark:/13960/t9v12550f</t>
  </si>
  <si>
    <t>uc1.b3543118</t>
  </si>
  <si>
    <t>006671453</t>
  </si>
  <si>
    <t>uc2.ark:/13960/t4gm89v7s</t>
  </si>
  <si>
    <t>hvd.hxg8jj</t>
  </si>
  <si>
    <t>006671540</t>
  </si>
  <si>
    <t>Censura literaria. Containing titles, abstracts, and opinions of old English books, with original disquisitions, articles of biography, and other literary antiquities.</t>
  </si>
  <si>
    <t>hvd.hxg8jk</t>
  </si>
  <si>
    <t>hvd.hxg8jl</t>
  </si>
  <si>
    <t>hvd.hxg8jm</t>
  </si>
  <si>
    <t>hvd.hxg8jn</t>
  </si>
  <si>
    <t>hvd.hxg8jp</t>
  </si>
  <si>
    <t>hvd.hxg8jq</t>
  </si>
  <si>
    <t>hvd.hxg8jr</t>
  </si>
  <si>
    <t>hvd.hxg8js</t>
  </si>
  <si>
    <t>hvd.hxg8jt</t>
  </si>
  <si>
    <t>uc1.b3543568</t>
  </si>
  <si>
    <t>uc1.b3543569</t>
  </si>
  <si>
    <t>uc1.b3543570</t>
  </si>
  <si>
    <t>uc1.b3543571</t>
  </si>
  <si>
    <t>uc1.b3543572</t>
  </si>
  <si>
    <t>uc1.b3543573</t>
  </si>
  <si>
    <t>uc1.b3543574</t>
  </si>
  <si>
    <t>uc1.b3543575</t>
  </si>
  <si>
    <t>uc1.b3543576</t>
  </si>
  <si>
    <t>uc2.ark:/13960/t3zs2vh3h</t>
  </si>
  <si>
    <t>006673072</t>
  </si>
  <si>
    <t>Lord Macaulay's Essays ; and Lays of ancient Rome.</t>
  </si>
  <si>
    <t>uc1.b3550672</t>
  </si>
  <si>
    <t>006673131</t>
  </si>
  <si>
    <t>uc2.ark:/13960/t24b36953</t>
  </si>
  <si>
    <t>uc1.b3556247</t>
  </si>
  <si>
    <t>006674009</t>
  </si>
  <si>
    <t>Puritan and Anglican : studies in literature /</t>
  </si>
  <si>
    <t>uc2.ark:/13960/t8jd5073k</t>
  </si>
  <si>
    <t>uc1.b3563119</t>
  </si>
  <si>
    <t>Literature for the study of language, as suggested by the course of study for the common schools of North Dakota,</t>
  </si>
  <si>
    <t>Black, Ryland Melville,</t>
  </si>
  <si>
    <t>uc2.ark:/13960/t3xs5mv1z</t>
  </si>
  <si>
    <t>uc1.b161719</t>
  </si>
  <si>
    <t>006638557</t>
  </si>
  <si>
    <t>Studies of contemporary poets,</t>
  </si>
  <si>
    <t>uc2.ark:/13960/t77s7mg7k</t>
  </si>
  <si>
    <t>uc1.b161790</t>
  </si>
  <si>
    <t>006638621</t>
  </si>
  <si>
    <t>A manual of English literature, historical and critical : with an appendix on English metres /</t>
  </si>
  <si>
    <t>uc1.b167714</t>
  </si>
  <si>
    <t>006642585</t>
  </si>
  <si>
    <t>Amelia, Tamerton church-tower, etc., with Prefatory study on English metrical law.</t>
  </si>
  <si>
    <t>uc1.b174145</t>
  </si>
  <si>
    <t>006646471</t>
  </si>
  <si>
    <t>The faults of speech : a self-corrector and teachers' manual /</t>
  </si>
  <si>
    <t>uc1.b183151</t>
  </si>
  <si>
    <t>006652177</t>
  </si>
  <si>
    <t>Lessons in elocution: or, A selection of pieces, in prose and verse, for the improvement of youth in reading and speaking. To which are prefixed, elements of gesture. Illustrated by four plates; and rules for expressing with propriety the various passions, &amp;c. of the mind. Also, an appendix, containing lessons on a new plan.</t>
  </si>
  <si>
    <t>Scott, William,</t>
  </si>
  <si>
    <t>uc1.b190570</t>
  </si>
  <si>
    <t>006656408</t>
  </si>
  <si>
    <t>Outlines and summaries; a handbook for the analysis of expository essays,</t>
  </si>
  <si>
    <t>uc2.ark:/13960/t6vx08q9k</t>
  </si>
  <si>
    <t>uc1.b192108</t>
  </si>
  <si>
    <t>006657112</t>
  </si>
  <si>
    <t>The Spenser epoch.</t>
  </si>
  <si>
    <t>Stobart, John Clarke.</t>
  </si>
  <si>
    <t>uc1.b3491185</t>
  </si>
  <si>
    <t>006664638</t>
  </si>
  <si>
    <t>Shakspere and his forerunners; studies in Elizabethan poetry and its development from early English.</t>
  </si>
  <si>
    <t>uc1.b3512888</t>
  </si>
  <si>
    <t>006666005</t>
  </si>
  <si>
    <t>Political satire in English poetry /</t>
  </si>
  <si>
    <t>Previté-Orton, C. W.</t>
  </si>
  <si>
    <t>uc1.b3514742</t>
  </si>
  <si>
    <t>006666275</t>
  </si>
  <si>
    <t>uc1.b3514745</t>
  </si>
  <si>
    <t>006666277</t>
  </si>
  <si>
    <t>Theology in the English poets. Cowper--Coleridge--Wordsworth and Burns.</t>
  </si>
  <si>
    <t>uc2.ark:/13960/t5x63mb15</t>
  </si>
  <si>
    <t>uc1.b3514837</t>
  </si>
  <si>
    <t>006666282</t>
  </si>
  <si>
    <t>inu.39000005847061</t>
  </si>
  <si>
    <t>006666290</t>
  </si>
  <si>
    <t>Ancient myths in modern poets,</t>
  </si>
  <si>
    <t>nyp.33433068184294</t>
  </si>
  <si>
    <t>uc1.b3514894</t>
  </si>
  <si>
    <t>uc1.b3514903</t>
  </si>
  <si>
    <t>006666295</t>
  </si>
  <si>
    <t>njp.32101074759885</t>
  </si>
  <si>
    <t>006666302</t>
  </si>
  <si>
    <t>Kurken, A.</t>
  </si>
  <si>
    <t>uc2.ark:/13960/t5p846b8g</t>
  </si>
  <si>
    <t>uc1.b133799</t>
  </si>
  <si>
    <t>006619797</t>
  </si>
  <si>
    <t>Elements of literary criticism /</t>
  </si>
  <si>
    <t>uc1.b135547</t>
  </si>
  <si>
    <t>006620907</t>
  </si>
  <si>
    <t>The philosophic alphabet : with an explanation of its principles, and a variety of extracts, illustrating its adaptation to the sounds of the English language ... to which is added, a philosophic system of punctuation /</t>
  </si>
  <si>
    <t>Edmonds, George,</t>
  </si>
  <si>
    <t>uc1.b152567</t>
  </si>
  <si>
    <t>006632375</t>
  </si>
  <si>
    <t>Two great Englishwomen, Mrs. Browning &amp; Charlott Brontë : with an essay on poetry, illustrated from Wordsworth, Burns, and Byron /</t>
  </si>
  <si>
    <t>Bayne, Peter,</t>
  </si>
  <si>
    <t>uc2.ark:/13960/t0vq2vf6m</t>
  </si>
  <si>
    <t>nyp.33433074834825</t>
  </si>
  <si>
    <t>006634798</t>
  </si>
  <si>
    <t>Introduction to notable poems,</t>
  </si>
  <si>
    <t>Mabie, Hamilton Wright,</t>
  </si>
  <si>
    <t>uc1.b156395</t>
  </si>
  <si>
    <t>uc2.ark:/13960/t6639ns5b</t>
  </si>
  <si>
    <t>uc1.b157870</t>
  </si>
  <si>
    <t>006635808</t>
  </si>
  <si>
    <t>uc1.b157941</t>
  </si>
  <si>
    <t>006635850</t>
  </si>
  <si>
    <t>A manual of English literature, and of the history of the English language, from the Norman conquest. With numerous specimens.</t>
  </si>
  <si>
    <t>uc2.ark:/13960/t19k4827t</t>
  </si>
  <si>
    <t>uc1.b157948</t>
  </si>
  <si>
    <t>006635853</t>
  </si>
  <si>
    <t>Intensive studies in American literature,</t>
  </si>
  <si>
    <t>Blount, Alma,</t>
  </si>
  <si>
    <t>uc2.ark:/13960/t6tx36f52</t>
  </si>
  <si>
    <t>nyp.33433087359539</t>
  </si>
  <si>
    <t>006635856</t>
  </si>
  <si>
    <t>The later nineteenth century,</t>
  </si>
  <si>
    <t>uc1.b158041</t>
  </si>
  <si>
    <t>006635913</t>
  </si>
  <si>
    <t>Religious thought in old English verse,</t>
  </si>
  <si>
    <t>Abbey, Charles J</t>
  </si>
  <si>
    <t>uc1.b158049</t>
  </si>
  <si>
    <t>006635917</t>
  </si>
  <si>
    <t>Naturalism in English poetry /</t>
  </si>
  <si>
    <t>uc1.b158050</t>
  </si>
  <si>
    <t>006635918</t>
  </si>
  <si>
    <t>A system of English versification : containing rules for the structure of the different kinds of verse : illustrated by numerous examples from the best poets /</t>
  </si>
  <si>
    <t>Everett, Erastus,</t>
  </si>
  <si>
    <t>uc2.ark:/13960/t3513w01w</t>
  </si>
  <si>
    <t>uc1.b158067</t>
  </si>
  <si>
    <t>006635927</t>
  </si>
  <si>
    <t>Our poets of today,</t>
  </si>
  <si>
    <t>Cook, Howard Willard,</t>
  </si>
  <si>
    <t>uc2.ark:/13960/t8mc8v65v</t>
  </si>
  <si>
    <t>uc1.b158068</t>
  </si>
  <si>
    <t>006635928</t>
  </si>
  <si>
    <t>A dictionary of English literature; authors, anonymous works, literary terms, versification, chronology,</t>
  </si>
  <si>
    <t>Watt, Homer A.</t>
  </si>
  <si>
    <t>uc1.b158086</t>
  </si>
  <si>
    <t>006635936</t>
  </si>
  <si>
    <t>Hebrew criticism and poetry : or the patriarchal blessings of Isaac and of Jacob, metrically analysed and translated; with appendixes of readings and interpretations of the four greater prophets, interspersed with metrical translation and composition; and with a catena of the prophecies of Balaam and Haba1_x001E_uk, the songs of Deborah and Hannah, and of the lamentations of David over Saul, Jonathan, and Abner, metrically translated; also with the table of first lessons for Sunday, paged with references /</t>
  </si>
  <si>
    <t>Clarke, George Somers.</t>
  </si>
  <si>
    <t>uc2.ark:/13960/t0tq5tg0k</t>
  </si>
  <si>
    <t>yale.39002088447587</t>
  </si>
  <si>
    <t>nyp.33433074785928</t>
  </si>
  <si>
    <t>006607323</t>
  </si>
  <si>
    <t>Development of English literature and language /</t>
  </si>
  <si>
    <t>uc1.b112265</t>
  </si>
  <si>
    <t>uc2.ark:/13960/t6qz2501x</t>
  </si>
  <si>
    <t>uc1.b112269</t>
  </si>
  <si>
    <t>006607325</t>
  </si>
  <si>
    <t>English seventeenth century literature; a brief working bibliography,</t>
  </si>
  <si>
    <t>Hebel, J. William</t>
  </si>
  <si>
    <t>uc1.b112301</t>
  </si>
  <si>
    <t>006607341</t>
  </si>
  <si>
    <t>uc1.b113123</t>
  </si>
  <si>
    <t>006607748</t>
  </si>
  <si>
    <t>The birthe of Hercules : with an introduction on the influence of Plautus on the dramatic literature of England in the sixteenth century /</t>
  </si>
  <si>
    <t>uc2.ark:/13960/t38050w4k</t>
  </si>
  <si>
    <t>uc1.b114351</t>
  </si>
  <si>
    <t>006608282</t>
  </si>
  <si>
    <t>The rhyming dictionary of the English language, in which the whole language is arranged according to its terminations;</t>
  </si>
  <si>
    <t>uc2.ark:/13960/t1rf5nm06</t>
  </si>
  <si>
    <t>uc1.b115759</t>
  </si>
  <si>
    <t>006609135</t>
  </si>
  <si>
    <t>Nymphidia or The court of faery.</t>
  </si>
  <si>
    <t>Drayton, Michael,</t>
  </si>
  <si>
    <t>loc.ark:/13960/t2m626f02</t>
  </si>
  <si>
    <t>006609688</t>
  </si>
  <si>
    <t>A memorial volume to Shakespeare and Harvey,</t>
  </si>
  <si>
    <t>uc1.b116762</t>
  </si>
  <si>
    <t>006609700</t>
  </si>
  <si>
    <t>The French "inchoative" suffix -iss and the French -ir conjugation in Middle English ...</t>
  </si>
  <si>
    <t>Booker, John Manning.</t>
  </si>
  <si>
    <t>uc2.ark:/13960/t8cf9mw2c</t>
  </si>
  <si>
    <t>uc1.b120149</t>
  </si>
  <si>
    <t>006611734</t>
  </si>
  <si>
    <t>Echoes of eternity /</t>
  </si>
  <si>
    <t>Fry, Henrietta Joan,</t>
  </si>
  <si>
    <t>uc2.ark:/13960/t5gb20z65</t>
  </si>
  <si>
    <t>uc1.b127913</t>
  </si>
  <si>
    <t>006616600</t>
  </si>
  <si>
    <t>A rational grammar of the English language,</t>
  </si>
  <si>
    <t>uc2.ark:/13960/t6rx95x05</t>
  </si>
  <si>
    <t>uc1.b131555</t>
  </si>
  <si>
    <t>006618773</t>
  </si>
  <si>
    <t>A brief grammar of the English language, explained in twenty lessons.</t>
  </si>
  <si>
    <t>006585478</t>
  </si>
  <si>
    <t>Course of study, English; public schools, Salt Lake City. Grades one to twelve, inclusive. September, 1923.</t>
  </si>
  <si>
    <t>uc1.b73076</t>
  </si>
  <si>
    <t>006585479</t>
  </si>
  <si>
    <t>Individual instruction in English composition,</t>
  </si>
  <si>
    <t>Stephens, Stephen De Witt.</t>
  </si>
  <si>
    <t>uc1.b73081</t>
  </si>
  <si>
    <t>006585481</t>
  </si>
  <si>
    <t>Self-help methods of teaching English; a guide and ally for teachers of elementary English,</t>
  </si>
  <si>
    <t>Wohlfarth, Julia Helen.</t>
  </si>
  <si>
    <t>uc1.b74834</t>
  </si>
  <si>
    <t>006586342</t>
  </si>
  <si>
    <t>Dwight, Theodore W.</t>
  </si>
  <si>
    <t>uc2.ark:/13960/fk73t9dq4f</t>
  </si>
  <si>
    <t>uc1.b76387</t>
  </si>
  <si>
    <t>006587220</t>
  </si>
  <si>
    <t>An elementary grammar of colloquial French on phonetic basis,</t>
  </si>
  <si>
    <t>Bonnard, Georges.</t>
  </si>
  <si>
    <t>uc2.ark:/13960/t25b0161x</t>
  </si>
  <si>
    <t>hvd.32044019966043</t>
  </si>
  <si>
    <t>006591833</t>
  </si>
  <si>
    <t>Lectures on the English language.</t>
  </si>
  <si>
    <t>uc1.b86368</t>
  </si>
  <si>
    <t>006592911</t>
  </si>
  <si>
    <t>Russian poets and poems, "classics" and "moderns", with an introduction on Russian versification;</t>
  </si>
  <si>
    <t>Jarintzov, Nadine,</t>
  </si>
  <si>
    <t>uc1.b87707</t>
  </si>
  <si>
    <t>006593663</t>
  </si>
  <si>
    <t>Argumentation and debate /</t>
  </si>
  <si>
    <t>uc2.ark:/13960/t1fj2cf93</t>
  </si>
  <si>
    <t>uc1.b92317</t>
  </si>
  <si>
    <t>006596438</t>
  </si>
  <si>
    <t>Review digest of English, four years ...</t>
  </si>
  <si>
    <t>Von Arx, Harold,</t>
  </si>
  <si>
    <t>uc1.b92972</t>
  </si>
  <si>
    <t>006596762</t>
  </si>
  <si>
    <t>Working course in English for the public schools ...</t>
  </si>
  <si>
    <t>uc2.ark:/13960/t4nk38f0x</t>
  </si>
  <si>
    <t>uc1.b92978</t>
  </si>
  <si>
    <t>006596764</t>
  </si>
  <si>
    <t>Everyday English, book 1 ...</t>
  </si>
  <si>
    <t>uc2.ark:/13960/t3jw88v03</t>
  </si>
  <si>
    <t>uc1.b93824</t>
  </si>
  <si>
    <t>006597200</t>
  </si>
  <si>
    <t>Handbook for English 102 /</t>
  </si>
  <si>
    <t>njp.32101065979518</t>
  </si>
  <si>
    <t>006598474</t>
  </si>
  <si>
    <t>What is and what might be; a study of education in general and elementary education in particular,</t>
  </si>
  <si>
    <t>Holmes, Edmond,</t>
  </si>
  <si>
    <t>uc1.b96117</t>
  </si>
  <si>
    <t>006598565</t>
  </si>
  <si>
    <t>Speech drills for children in form of play /</t>
  </si>
  <si>
    <t>Case, Ida Mae.</t>
  </si>
  <si>
    <t>uc1.b98771</t>
  </si>
  <si>
    <t>006599884</t>
  </si>
  <si>
    <t>Notes on Elizabethan dramatists with conjectural emendations of the text.</t>
  </si>
  <si>
    <t>Elze, Karl,</t>
  </si>
  <si>
    <t>uc2.ark:/13960/t5r788144</t>
  </si>
  <si>
    <t>uc1.b110082</t>
  </si>
  <si>
    <t>006606121</t>
  </si>
  <si>
    <t>The makers of modern English : a popular handbook to the greater poets of the century /</t>
  </si>
  <si>
    <t>uc2.ark:/13960/t4th8dt08</t>
  </si>
  <si>
    <t>uc1.b66467</t>
  </si>
  <si>
    <t>006581750</t>
  </si>
  <si>
    <t>The method of teaching and studying the belles lettres; or, An introduction to languages, poetry, rhetoric, history, moral philosophy, physics, &amp; c. ...</t>
  </si>
  <si>
    <t>uc1.b66468</t>
  </si>
  <si>
    <t>uc1.b66877</t>
  </si>
  <si>
    <t>006581970</t>
  </si>
  <si>
    <t>Speak, look, and listen; audio-visual aids in the English classroom,</t>
  </si>
  <si>
    <t>Adams, Harlen Martin,</t>
  </si>
  <si>
    <t>uc2.ark:/13960/t88g8j08t</t>
  </si>
  <si>
    <t>006581972</t>
  </si>
  <si>
    <t>Report on the cost and labor of English teaching by a committee of the Modern Language Association of America and the National Council of Teachers of English ...</t>
  </si>
  <si>
    <t>uc1.b66885</t>
  </si>
  <si>
    <t>006581973</t>
  </si>
  <si>
    <t>Course of study in English for secondary schools, a progress report.</t>
  </si>
  <si>
    <t>uc1.b66886</t>
  </si>
  <si>
    <t>006581974</t>
  </si>
  <si>
    <t>English instruction in the University high school,</t>
  </si>
  <si>
    <t>Shepherd, Edith Elizabeth.</t>
  </si>
  <si>
    <t>uc1.b66890</t>
  </si>
  <si>
    <t>006581977</t>
  </si>
  <si>
    <t>A modern composition and rhetoric (complete course) containing the principles of correct, artistic and effective English for schools,</t>
  </si>
  <si>
    <t>Smith, Lewis Worthington,</t>
  </si>
  <si>
    <t>uc2.ark:/13960/t93778f4b</t>
  </si>
  <si>
    <t>uc1.b69558</t>
  </si>
  <si>
    <t>006583259</t>
  </si>
  <si>
    <t>Pennsylvania program of literacy and citizenship educaton</t>
  </si>
  <si>
    <t>loc.ark:/13960/t2k65788x</t>
  </si>
  <si>
    <t>006583260</t>
  </si>
  <si>
    <t>Suggestions for teachers in evening elementary schools.</t>
  </si>
  <si>
    <t>uc1.b69559</t>
  </si>
  <si>
    <t>uc2.ark:/13960/t40r9pc7g</t>
  </si>
  <si>
    <t>uc1.b70505</t>
  </si>
  <si>
    <t>006583869</t>
  </si>
  <si>
    <t>Poetry and prose : being essays on modern English poetry /</t>
  </si>
  <si>
    <t>uc2.ark:/13960/t9r20vf0z</t>
  </si>
  <si>
    <t>uc1.b72549</t>
  </si>
  <si>
    <t>006585233</t>
  </si>
  <si>
    <t>The English of military communications,</t>
  </si>
  <si>
    <t>Ganoe, William Addleman,</t>
  </si>
  <si>
    <t>uc2.ark:/13960/t2m61f38z</t>
  </si>
  <si>
    <t>uc1.b73030</t>
  </si>
  <si>
    <t>006585461</t>
  </si>
  <si>
    <t>The Teaching of spelling.</t>
  </si>
  <si>
    <t>uc2.ark:/13960/t7mp4z282</t>
  </si>
  <si>
    <t>uc1.b73031</t>
  </si>
  <si>
    <t>006585462</t>
  </si>
  <si>
    <t>Spelling efficiency in the Oakland schools /</t>
  </si>
  <si>
    <t>Sears, Jesse Brundage.</t>
  </si>
  <si>
    <t>uc2.ark:/13960/t53f4p03t</t>
  </si>
  <si>
    <t>uc1.b73072</t>
  </si>
  <si>
    <t>006585477</t>
  </si>
  <si>
    <t>Course of study in English;</t>
  </si>
  <si>
    <t>uc2.ark:/13960/t6057g666</t>
  </si>
  <si>
    <t>uc1.b73073</t>
  </si>
  <si>
    <t>Trommer, Caroline Julia.</t>
  </si>
  <si>
    <t>uc1.b59946</t>
  </si>
  <si>
    <t>006577871</t>
  </si>
  <si>
    <t>Plain English : a practical work on the English language : for use in public and private schools, academies, commercial colleges, and for private learners.</t>
  </si>
  <si>
    <t>Bryant, James H.</t>
  </si>
  <si>
    <t>uc2.ark:/13960/t43r0s19q</t>
  </si>
  <si>
    <t>uc1.b59949</t>
  </si>
  <si>
    <t>006577873</t>
  </si>
  <si>
    <t>Grammar lessons, a second book in English,</t>
  </si>
  <si>
    <t>Gordy, Wilbur Fisk,</t>
  </si>
  <si>
    <t>uc2.ark:/13960/t8jd4s48s</t>
  </si>
  <si>
    <t>uc1.b59951</t>
  </si>
  <si>
    <t>006577875</t>
  </si>
  <si>
    <t>Grammar and analysis made easy and attractive by diagrams : containing all the difficult sentences of Harvey's grammar diagrammed, also many difficult sentences from other grammars, designed for both teachers and pupils /</t>
  </si>
  <si>
    <t>uc2.ark:/13960/t8z894w24</t>
  </si>
  <si>
    <t>uc1.b60078</t>
  </si>
  <si>
    <t>006577941</t>
  </si>
  <si>
    <t>Language lessons,</t>
  </si>
  <si>
    <t>Newsom, Sidney Carleton,</t>
  </si>
  <si>
    <t>uc2.ark:/13960/t9d50jg32</t>
  </si>
  <si>
    <t>uc1.b60103</t>
  </si>
  <si>
    <t>006577956</t>
  </si>
  <si>
    <t>My sound book : for individual work in beginning reading /</t>
  </si>
  <si>
    <t>Youngquist, Livia.</t>
  </si>
  <si>
    <t>uc1.b60112</t>
  </si>
  <si>
    <t>006577961</t>
  </si>
  <si>
    <t>Order of exercises in elocution, given at the Cook county normal school.</t>
  </si>
  <si>
    <t>Parker, Frank Stuart.</t>
  </si>
  <si>
    <t>uc2.ark:/13960/t8z89dv9c</t>
  </si>
  <si>
    <t>uc1.b60117</t>
  </si>
  <si>
    <t>006577963</t>
  </si>
  <si>
    <t>A teachers' manual to accompany Ball's constructive English.</t>
  </si>
  <si>
    <t>Sullivan, John Walter.</t>
  </si>
  <si>
    <t>uc1.b60261</t>
  </si>
  <si>
    <t>006578028</t>
  </si>
  <si>
    <t>Lessons in language work for fifth and sixth grades,</t>
  </si>
  <si>
    <t>uc2.ark:/13960/t4rj4c09n</t>
  </si>
  <si>
    <t>uc1.b60262</t>
  </si>
  <si>
    <t>006578029</t>
  </si>
  <si>
    <t>English for today; essential English exercises for the enrichment and correctness of speech and writing,</t>
  </si>
  <si>
    <t>Lee, Ettie.</t>
  </si>
  <si>
    <t>uc1.b60268</t>
  </si>
  <si>
    <t>006578031</t>
  </si>
  <si>
    <t>Oral and written English</t>
  </si>
  <si>
    <t>Potter, Milton Chase,</t>
  </si>
  <si>
    <t>uc1.b60269</t>
  </si>
  <si>
    <t>uc1.b60270</t>
  </si>
  <si>
    <t>uc1.b60272</t>
  </si>
  <si>
    <t>006578032</t>
  </si>
  <si>
    <t>Essential studies in English,</t>
  </si>
  <si>
    <t>Robbins, Carolyn M.</t>
  </si>
  <si>
    <t>uc1.b60273</t>
  </si>
  <si>
    <t>umn.31951002369281x</t>
  </si>
  <si>
    <t>umn.31951002369282v</t>
  </si>
  <si>
    <t>uc1.b63431</t>
  </si>
  <si>
    <t>006579877</t>
  </si>
  <si>
    <t>The poets' New England,</t>
  </si>
  <si>
    <t>Clarke, Helen Archibald,</t>
  </si>
  <si>
    <t>uc2.ark:/13960/t9571b778</t>
  </si>
  <si>
    <t>uc1.b63433</t>
  </si>
  <si>
    <t>006579879</t>
  </si>
  <si>
    <t>Syllabus of a course of twelve lectures on landmarks of English poetry, from Chaucer to Tennyson.</t>
  </si>
  <si>
    <t>Duff, J. Wight</t>
  </si>
  <si>
    <t>uc2.ark:/13960/t55d8qk44</t>
  </si>
  <si>
    <t>uc1.b31630</t>
  </si>
  <si>
    <t>006562441</t>
  </si>
  <si>
    <t>The musical basis of verse, a scientific study of the principles of poetic composition,</t>
  </si>
  <si>
    <t>Dabney, J. P.</t>
  </si>
  <si>
    <t>uc2.ark:/13960/t1wd3rt9m</t>
  </si>
  <si>
    <t>uc1.b31640</t>
  </si>
  <si>
    <t>006562445</t>
  </si>
  <si>
    <t>uc2.ark:/13960/t19k47n71</t>
  </si>
  <si>
    <t>uc1.b31642</t>
  </si>
  <si>
    <t>006562447</t>
  </si>
  <si>
    <t>uc2.ark:/13960/t4bp02c0n</t>
  </si>
  <si>
    <t>uc1.b31647</t>
  </si>
  <si>
    <t>006562451</t>
  </si>
  <si>
    <t>Rhythm and harmony in poetry and music, together with Music as a representative art; two essays in comparative æsthetics,</t>
  </si>
  <si>
    <t>uc1.b31648</t>
  </si>
  <si>
    <t>006562452</t>
  </si>
  <si>
    <t>A study of English rhyme,</t>
  </si>
  <si>
    <t>Richardson, Charles F.</t>
  </si>
  <si>
    <t>uc2.ark:/13960/t2w37nr19</t>
  </si>
  <si>
    <t>uc1.b31650</t>
  </si>
  <si>
    <t>006562454</t>
  </si>
  <si>
    <t>On Anglo-Saxon versification from the standpoint of modern-English versification.</t>
  </si>
  <si>
    <t>Setzler, Edwin Boinest,</t>
  </si>
  <si>
    <t>uc2.ark:/13960/t7sn03b61</t>
  </si>
  <si>
    <t>nyp.33433074834866</t>
  </si>
  <si>
    <t>006562459</t>
  </si>
  <si>
    <t>English poetry and poets,</t>
  </si>
  <si>
    <t>Brooks, Sarah Warner,</t>
  </si>
  <si>
    <t>uc1.b31659</t>
  </si>
  <si>
    <t>uc2.ark:/13960/t8qb9xg2s</t>
  </si>
  <si>
    <t>uc1.b31785</t>
  </si>
  <si>
    <t>006562545</t>
  </si>
  <si>
    <t>Poetry as a representative art; an essay in comparative aesthetics.</t>
  </si>
  <si>
    <t>uc1.b45225</t>
  </si>
  <si>
    <t>006570054</t>
  </si>
  <si>
    <t>Aristotle's Poetics, C. XXV, in the light of the Homeric scholia,</t>
  </si>
  <si>
    <t>Carroll, Mitchell,</t>
  </si>
  <si>
    <t>uc1.b51285</t>
  </si>
  <si>
    <t>006573375</t>
  </si>
  <si>
    <t>The makers of English poetry.</t>
  </si>
  <si>
    <t>uc1.b55900</t>
  </si>
  <si>
    <t>006575564</t>
  </si>
  <si>
    <t>An answer to the question 'What is poetry?': including remarks on versification /</t>
  </si>
  <si>
    <t>uc1.b55950</t>
  </si>
  <si>
    <t>006575582</t>
  </si>
  <si>
    <t>Researches on the rhythm of speech.</t>
  </si>
  <si>
    <t>uc1.b58744</t>
  </si>
  <si>
    <t>006577307</t>
  </si>
  <si>
    <t>Graded lessons in spelling, sixth, seventh, and eighth year grades.</t>
  </si>
  <si>
    <t>Doub, William Coligny.</t>
  </si>
  <si>
    <t>uc2.ark:/13960/t0wp9w327</t>
  </si>
  <si>
    <t>uc1.b59147</t>
  </si>
  <si>
    <t>006577478</t>
  </si>
  <si>
    <t>Preparation for college English : an interpretation of college entrance requirements in English /</t>
  </si>
  <si>
    <t>uc1.b59703</t>
  </si>
  <si>
    <t>006577750</t>
  </si>
  <si>
    <t>Directing language power in the elementary school child through story, dramatization, and poetry</t>
  </si>
  <si>
    <t>The labor and cost of the teaching of English in colleges and secondary schools, with especial reference to English composition ...</t>
  </si>
  <si>
    <t>uc1.b17837</t>
  </si>
  <si>
    <t>006554569</t>
  </si>
  <si>
    <t>Extent and causes of retardation in the Readings (Pa.) public schools in December, 1910; a statistical study,</t>
  </si>
  <si>
    <t>Snyder, Aaron Moyer.</t>
  </si>
  <si>
    <t>uc1.b27330</t>
  </si>
  <si>
    <t>006559809</t>
  </si>
  <si>
    <t>Shakespeare und das englische Drama im sechzehnten und siebzehnten Jahrhundert.</t>
  </si>
  <si>
    <t>Bartels, Adolf,</t>
  </si>
  <si>
    <t>uc1.b29115</t>
  </si>
  <si>
    <t>006561109</t>
  </si>
  <si>
    <t>Elements and science of English versification,</t>
  </si>
  <si>
    <t>Jones, William C.</t>
  </si>
  <si>
    <t>uc2.ark:/13960/t0dv1fn7s</t>
  </si>
  <si>
    <t>uc1.b29351</t>
  </si>
  <si>
    <t>006561276</t>
  </si>
  <si>
    <t>uc1.b29581</t>
  </si>
  <si>
    <t>006561388</t>
  </si>
  <si>
    <t>Literature in Ireland : studies Irish and Anglo-Irish / by Thomas MacDonagh.</t>
  </si>
  <si>
    <t>uc2.ark:/13960/t10p0zm51</t>
  </si>
  <si>
    <t>uc1.b30279</t>
  </si>
  <si>
    <t>006561829</t>
  </si>
  <si>
    <t>The correlation of vocational and liberal education through English language and literature.</t>
  </si>
  <si>
    <t>Hooton, Mary Belle.</t>
  </si>
  <si>
    <t>uc2.ark:/13960/t2p55gc59</t>
  </si>
  <si>
    <t>uc1.b30334</t>
  </si>
  <si>
    <t>006561869</t>
  </si>
  <si>
    <t>Developing facility in English composition. Principles culled from modern approved practice in secondary schools ...</t>
  </si>
  <si>
    <t>uc1.b30338</t>
  </si>
  <si>
    <t>006561870</t>
  </si>
  <si>
    <t>Successful practices in the teaching of English in the secondary school</t>
  </si>
  <si>
    <t>uc1.b31557</t>
  </si>
  <si>
    <t>006562404</t>
  </si>
  <si>
    <t>Oxford and poetry in 1911; an inaugural lecture delivered in the Sheldonian Theatre on June 2, 1911</t>
  </si>
  <si>
    <t>Warren, Thomas Herbert,</t>
  </si>
  <si>
    <t>uc2.ark:/13960/t58c9t798</t>
  </si>
  <si>
    <t>coo.31924013263961</t>
  </si>
  <si>
    <t>006562406</t>
  </si>
  <si>
    <t>The poets: Geoffrey Chaucer to Alfred Tennyson, 1340-1892 : impressions /</t>
  </si>
  <si>
    <t>coo.31924065041273</t>
  </si>
  <si>
    <t>uc1.b31561</t>
  </si>
  <si>
    <t>uc1.b31562</t>
  </si>
  <si>
    <t>uc2.ark:/13960/t6445wj2v</t>
  </si>
  <si>
    <t>uc2.ark:/13960/t89g5vj6x</t>
  </si>
  <si>
    <t>uc1.b31567</t>
  </si>
  <si>
    <t>006562409</t>
  </si>
  <si>
    <t>Studies of contemporary poets.</t>
  </si>
  <si>
    <t>Sturgeon, Mary C.</t>
  </si>
  <si>
    <t>uc2.ark:/13960/t2w37nr2s</t>
  </si>
  <si>
    <t>uc1.b31578</t>
  </si>
  <si>
    <t>006562417</t>
  </si>
  <si>
    <t>The main tendencies of Victorian poetry: studies in the thought and art of the greater poets.</t>
  </si>
  <si>
    <t>Smith, Arnold.</t>
  </si>
  <si>
    <t>uc2.ark:/13960/t13n2291n</t>
  </si>
  <si>
    <t>uc1.b31597</t>
  </si>
  <si>
    <t>006562428</t>
  </si>
  <si>
    <t>The standard speaker; containing exercises in prose and poetry for declamation in schools, academies, lyceums, colleges: newly tr. or comp. from celebrated orators, authors, and popular debaters, ancient and modern. A treatise on oratory and elocution. Notes explanatory and biographical.</t>
  </si>
  <si>
    <t>Sargent, Epes,</t>
  </si>
  <si>
    <t>nyp.33433082511993</t>
  </si>
  <si>
    <t>uc1.b14888</t>
  </si>
  <si>
    <t>uc2.ark:/13960/t6057fw96</t>
  </si>
  <si>
    <t>uc1.b15210</t>
  </si>
  <si>
    <t>006553127</t>
  </si>
  <si>
    <t>Concrete investigation of the material of English spelling : with conclusions bearing on the problems of teaching spelling /</t>
  </si>
  <si>
    <t>Jones, W. Franklin</t>
  </si>
  <si>
    <t>uc2.ark:/13960/t4bp0017q</t>
  </si>
  <si>
    <t>uc1.b15222</t>
  </si>
  <si>
    <t>006553134</t>
  </si>
  <si>
    <t>Elocution, or, Mental and vocal philosophy : involving the principles of reading and speaking, and designed for the development and cultivation of both body and mind, in accordance with the nature, uses, and destiny of man : illustrated by two or three hundred choice anecdotes, three thousand oratorical and poetical readings, five thousand proverbs, maxims and laconics, and several hundred elegant engravings /</t>
  </si>
  <si>
    <t>uc1.b60110</t>
  </si>
  <si>
    <t>uc2.ark:/13960/t6g15wd7j</t>
  </si>
  <si>
    <t>nyp.33433075989677</t>
  </si>
  <si>
    <t>006554145</t>
  </si>
  <si>
    <t>Chapters on the aims and practice of teaching,</t>
  </si>
  <si>
    <t>uc1.b17055</t>
  </si>
  <si>
    <t>006554217</t>
  </si>
  <si>
    <t>The miscellaneous works of Thomas Arnold. Collected and republished.</t>
  </si>
  <si>
    <t>uc1.b17100</t>
  </si>
  <si>
    <t>006554240</t>
  </si>
  <si>
    <t>Sonnenschein's cyclopaedia of education; a handbook of reference on all subjects connected with education (its history, theory, and practice) comprising articles by eminent educational specialists,</t>
  </si>
  <si>
    <t>uc1.b17288</t>
  </si>
  <si>
    <t>006554331</t>
  </si>
  <si>
    <t>Scales for the measurement of English compositions,</t>
  </si>
  <si>
    <t>Ballou, Frank Washington,</t>
  </si>
  <si>
    <t>uc2.ark:/13960/t75t3j58d</t>
  </si>
  <si>
    <t>uc1.b17317</t>
  </si>
  <si>
    <t>006554342</t>
  </si>
  <si>
    <t>A note on the teaching of English language and literature, with some suggestions,</t>
  </si>
  <si>
    <t>McKerrow, R. B.</t>
  </si>
  <si>
    <t>uc2.ark:/13960/t43r0rs95</t>
  </si>
  <si>
    <t>uc1.b17379</t>
  </si>
  <si>
    <t>006554374</t>
  </si>
  <si>
    <t>uc2.ark:/13960/t82j6bd3c</t>
  </si>
  <si>
    <t>uc1.b14692</t>
  </si>
  <si>
    <t>006552814</t>
  </si>
  <si>
    <t>Davis, Estelle Headley.</t>
  </si>
  <si>
    <t>uc1.b14698</t>
  </si>
  <si>
    <t>006552816</t>
  </si>
  <si>
    <t>Elocution, or, Mental and vocal philosophy : involving the principles of reading and speaking; and designed for the development and cultivation of both body and mind, illustrated by two or three hundred choice anecdotes; three thousand oratorical and poetical readings; five thousand proverbs, maxims and laconics, and several hundred elegant engravings /</t>
  </si>
  <si>
    <t>Bronson, C. P.</t>
  </si>
  <si>
    <t>uc1.b14740</t>
  </si>
  <si>
    <t>006552835</t>
  </si>
  <si>
    <t>Forms of oratorical expression and their delivery : or, Logic and eloquence illustrated /</t>
  </si>
  <si>
    <t>Ruffin, John Demosthenes N.</t>
  </si>
  <si>
    <t>uc2.ark:/13960/t71v5dk7h</t>
  </si>
  <si>
    <t>uc1.b14772</t>
  </si>
  <si>
    <t>006552849</t>
  </si>
  <si>
    <t>A manual of speech correction on the contract plan,</t>
  </si>
  <si>
    <t>Manser, Ruth B.</t>
  </si>
  <si>
    <t>uc1.b14797</t>
  </si>
  <si>
    <t>006552862</t>
  </si>
  <si>
    <t>The Newspaper club; a natural approach to composition in the schools,</t>
  </si>
  <si>
    <t>Harrington, H. F.</t>
  </si>
  <si>
    <t>uc1.b14811</t>
  </si>
  <si>
    <t>006552868</t>
  </si>
  <si>
    <t>The principles of outlining, for colleges and advanced classes in secondary schools,</t>
  </si>
  <si>
    <t>Ball, Margaret,</t>
  </si>
  <si>
    <t>uc2.ark:/13960/t5k93360m</t>
  </si>
  <si>
    <t>uc1.b14852</t>
  </si>
  <si>
    <t>006552886</t>
  </si>
  <si>
    <t>Problems and principles of correct English, grammar, punctuation, rhetorical criticism ...</t>
  </si>
  <si>
    <t>Cody, Sherwin,</t>
  </si>
  <si>
    <t>uc2.ark:/13960/t39z9277t</t>
  </si>
  <si>
    <t>uc1.b14854</t>
  </si>
  <si>
    <t>006552888</t>
  </si>
  <si>
    <t>Foundation English; the expression of ideas,</t>
  </si>
  <si>
    <t>Macdonald, Alice B.,</t>
  </si>
  <si>
    <t>uc2.ark:/13960/t70v8cq0b</t>
  </si>
  <si>
    <t>uc1.b14855</t>
  </si>
  <si>
    <t>006552889</t>
  </si>
  <si>
    <t>Modern composition and rhetoric.</t>
  </si>
  <si>
    <t>Jensen, Dana Olaf,</t>
  </si>
  <si>
    <t>uc1.b14865</t>
  </si>
  <si>
    <t>006552894</t>
  </si>
  <si>
    <t>An essay on the nature of lyric : illustrated from the history of English poetry /</t>
  </si>
  <si>
    <t>Gould, Gerald,</t>
  </si>
  <si>
    <t>uc2.ark:/13960/t4dn4294g</t>
  </si>
  <si>
    <t>uc1.b14869</t>
  </si>
  <si>
    <t>006552897</t>
  </si>
  <si>
    <t>hvd.hw23fg</t>
  </si>
  <si>
    <t>006552907</t>
  </si>
  <si>
    <t>A critical review of the orthography of Dr. Webster's series of books for systematick instruction in the English language; including his former spelling-book, and the Elementary spelling-book,</t>
  </si>
  <si>
    <t>Cobb, Lyman,</t>
  </si>
  <si>
    <t>uc1.b14602</t>
  </si>
  <si>
    <t>uc2.ark:/13960/t10p1205k</t>
  </si>
  <si>
    <t>uc1.b14614</t>
  </si>
  <si>
    <t>006552781</t>
  </si>
  <si>
    <t>Illustrated phonics : a text-book for schools /</t>
  </si>
  <si>
    <t>Ives, Mary Isaphene.</t>
  </si>
  <si>
    <t>uc2.ark:/13960/t6445kg3q</t>
  </si>
  <si>
    <t>uc1.b14615</t>
  </si>
  <si>
    <t>006552782</t>
  </si>
  <si>
    <t>The sounds of standard English, with some notes on accidence and syntax,</t>
  </si>
  <si>
    <t>Nicklin, Thomas.</t>
  </si>
  <si>
    <t>uc2.ark:/13960/t8cf9md80</t>
  </si>
  <si>
    <t>uc1.b14616</t>
  </si>
  <si>
    <t>006552783</t>
  </si>
  <si>
    <t>Phonetic alphabets and phonetic spelling /</t>
  </si>
  <si>
    <t>Rodi, Merwyn C.</t>
  </si>
  <si>
    <t>uc1.b14625</t>
  </si>
  <si>
    <t>006552790</t>
  </si>
  <si>
    <t>A college grammar,</t>
  </si>
  <si>
    <t>uc1.b14628</t>
  </si>
  <si>
    <t>006552791</t>
  </si>
  <si>
    <t>Report of a joint committee representing the National education association, the American philological association and the Modern language association of America,</t>
  </si>
  <si>
    <t>uc1.b14631</t>
  </si>
  <si>
    <t>006552792</t>
  </si>
  <si>
    <t>Amxrikai spek,</t>
  </si>
  <si>
    <t>uc1.b14638</t>
  </si>
  <si>
    <t>006552795</t>
  </si>
  <si>
    <t>Spelling in the elementary school: an experimental and statistical investigation,</t>
  </si>
  <si>
    <t>Cornman, Oliver Perry,</t>
  </si>
  <si>
    <t>uc2.ark:/13960/t5m90429r</t>
  </si>
  <si>
    <t>uc1.b14640</t>
  </si>
  <si>
    <t>006552796</t>
  </si>
  <si>
    <t>English sounds for foreign tongues, a drill book,</t>
  </si>
  <si>
    <t>uc2.ark:/13960/t86h4fz4d</t>
  </si>
  <si>
    <t>uc1.b14645</t>
  </si>
  <si>
    <t>006552798</t>
  </si>
  <si>
    <t>135000 words spelled and pronounced, together with valuable hints and illustrations for the use of capitals, italics, numerals, and compound words ... designed for office, school, and library use</t>
  </si>
  <si>
    <t>Bechtel, John Hendricks,</t>
  </si>
  <si>
    <t>uc2.ark:/13960/t9959fj0r</t>
  </si>
  <si>
    <t>uc1.b14649</t>
  </si>
  <si>
    <t>006552799</t>
  </si>
  <si>
    <t>Graded lessons in language Book 1-</t>
  </si>
  <si>
    <t>Winterburn, Rosa V.</t>
  </si>
  <si>
    <t>uc1.b14650</t>
  </si>
  <si>
    <t>uc1.b27998</t>
  </si>
  <si>
    <t>uc1.b27999</t>
  </si>
  <si>
    <t>uc1.b59961</t>
  </si>
  <si>
    <t>uc2.ark:/13960/t9r20vd2g</t>
  </si>
  <si>
    <t>uc1.b14690</t>
  </si>
  <si>
    <t>006552813</t>
  </si>
  <si>
    <t>Voice, speech and gesture; a practical handbook to the elocutionary art, comprising also selections in prose and verse adapted for recitation, reading, and dramatic recital.</t>
  </si>
  <si>
    <t>Blackman, Robert D.,</t>
  </si>
  <si>
    <t>hvd.hwg11r</t>
  </si>
  <si>
    <t>hvd.hwg11s</t>
  </si>
  <si>
    <t>hvd.hwg128</t>
  </si>
  <si>
    <t>uc1.b325896</t>
  </si>
  <si>
    <t>uc1.b325897</t>
  </si>
  <si>
    <t>uc1.b325898</t>
  </si>
  <si>
    <t>uc1.b325899</t>
  </si>
  <si>
    <t>uc1.b325956</t>
  </si>
  <si>
    <t>006549008</t>
  </si>
  <si>
    <t>English literature, from the Norman conquest to Chaucer,</t>
  </si>
  <si>
    <t>Schofield, William Henry,</t>
  </si>
  <si>
    <t>uc1.b13619</t>
  </si>
  <si>
    <t>006552197</t>
  </si>
  <si>
    <t>Chinese phonology : an attempt to discover the sounds of the ancient language and to recover the lost rhymes of China /</t>
  </si>
  <si>
    <t>Volpicelli, Zenone</t>
  </si>
  <si>
    <t>uc1.b13635</t>
  </si>
  <si>
    <t>006552207</t>
  </si>
  <si>
    <t>The principles of grammar : being a compendious treatise on the languages, English, Latin, Greek, German, Spanish, and French. Founded on the immutable principle of the relation which one word sustains to another.</t>
  </si>
  <si>
    <t>uc2.ark:/13960/t1pg1kc5v</t>
  </si>
  <si>
    <t>nyp.33433066585492</t>
  </si>
  <si>
    <t>006552213</t>
  </si>
  <si>
    <t>The basic law of vocal utterance,</t>
  </si>
  <si>
    <t>Sutro, Emil,</t>
  </si>
  <si>
    <t>uc1.b13645</t>
  </si>
  <si>
    <t>uc2.ark:/13960/t3tt4hn31</t>
  </si>
  <si>
    <t>pst.000000727952</t>
  </si>
  <si>
    <t>006552251</t>
  </si>
  <si>
    <t>The restored pronunciation of Greek and Latin : with tables and practical illustrations /</t>
  </si>
  <si>
    <t>Arnold, Edward Vernon,</t>
  </si>
  <si>
    <t>uc2.ark:/13960/t5h991d42</t>
  </si>
  <si>
    <t>uc1.b13931</t>
  </si>
  <si>
    <t>006552379</t>
  </si>
  <si>
    <t>The use of anaphora in the amplification of a general truth, illustrated chiefly from silver Latin,</t>
  </si>
  <si>
    <t>Palmer, Walter Hobart.</t>
  </si>
  <si>
    <t>uc2.ark:/13960/t29884f69</t>
  </si>
  <si>
    <t>uc1.b13970</t>
  </si>
  <si>
    <t>006552406</t>
  </si>
  <si>
    <t>A few remarks on the pronunciation of Latin,</t>
  </si>
  <si>
    <t>Munro, H. A. J.</t>
  </si>
  <si>
    <t>uc2.ark:/13960/t5t729f48</t>
  </si>
  <si>
    <t>uc1.b13971</t>
  </si>
  <si>
    <t>006552407</t>
  </si>
  <si>
    <t>Pronunciation of Latin in the Augustan period /</t>
  </si>
  <si>
    <t>uc2.ark:/13960/t46q1vg00</t>
  </si>
  <si>
    <t>uc1.b14397</t>
  </si>
  <si>
    <t>006552674</t>
  </si>
  <si>
    <t>The Spanish verb; with an introduction on Spanish pronunciation,</t>
  </si>
  <si>
    <t>Traub, Peter Edward.</t>
  </si>
  <si>
    <t>uc2.ark:/13960/t1wd3rq79</t>
  </si>
  <si>
    <t>uc1.b14586</t>
  </si>
  <si>
    <t>006552764</t>
  </si>
  <si>
    <t>English speech-tones identified with musical tones and Chinese speech-tones,</t>
  </si>
  <si>
    <t>Woo, Jee Sane.</t>
  </si>
  <si>
    <t>nyp.33433069240756</t>
  </si>
  <si>
    <t>006552773</t>
  </si>
  <si>
    <t>A bibliography on "English for engineers," for the use of engineering students, practicing engineers, and teachers in schools of engineering, to which are appended brief selected lists of technical books for graduates in civil, electrical, mechanical, and chemical engineering,</t>
  </si>
  <si>
    <t>uc2.ark:/13960/t19k47004</t>
  </si>
  <si>
    <t>uc1.b316547</t>
  </si>
  <si>
    <t>006544078</t>
  </si>
  <si>
    <t>English poetry: its principles and progress, with representative masterpieces and notes;</t>
  </si>
  <si>
    <t>uc1.b316548</t>
  </si>
  <si>
    <t>006544079</t>
  </si>
  <si>
    <t>Victorian poets; revised, and extended, by a supplementary chapter, to the fiftieth year of the period under review,</t>
  </si>
  <si>
    <t>uc2.ark:/13960/t5j963v1f</t>
  </si>
  <si>
    <t>uc1.b316855</t>
  </si>
  <si>
    <t>006544266</t>
  </si>
  <si>
    <t>A handbook of French phonetics,</t>
  </si>
  <si>
    <t>Nitze, William Albert,</t>
  </si>
  <si>
    <t>uc2.ark:/13960/t82j6dh3j</t>
  </si>
  <si>
    <t>uc1.b318123</t>
  </si>
  <si>
    <t>006544941</t>
  </si>
  <si>
    <t>The true historie of the Knyght of the burning pestle : full of mirthe &amp; delight : by Francis Beaumont and John Fletcher : first plaied about the year of our Lord, 1610 : booke of the play as presented by the English Club of the Stanford University : including a compendious discourse on seeing an Elizabethan play : the words &amp; musick of manie pleasaunt songes as sung in the plaie and a notable account of how a young gallant should behave himselfe in a play-house, reprinted from the Gulls horne-book, by T. Deckar /</t>
  </si>
  <si>
    <t>loc.ark:/13960/t2k658v60</t>
  </si>
  <si>
    <t>006545282</t>
  </si>
  <si>
    <t>nyp.33433069254237</t>
  </si>
  <si>
    <t>uc1.b318812</t>
  </si>
  <si>
    <t>uc2.ark:/13960/t0pr7rr1p</t>
  </si>
  <si>
    <t>hvd.32044086668746</t>
  </si>
  <si>
    <t>006546175</t>
  </si>
  <si>
    <t>The Breeches Bible : considered as the basis for remarks, critical and philological, on the English language /</t>
  </si>
  <si>
    <t>Gurnhill, James,</t>
  </si>
  <si>
    <t>uc1.b320146</t>
  </si>
  <si>
    <t>uc2.ark:/13960/t4pk0c81k</t>
  </si>
  <si>
    <t>hvd.32044058200270</t>
  </si>
  <si>
    <t>006548998</t>
  </si>
  <si>
    <t>A bibliographical and critical account of the rarest books in the English language, alphabetically arranged, which during the last fifty years have come under the observation of J. Payne Collier, F.S.A.</t>
  </si>
  <si>
    <t>hvd.32044058200320</t>
  </si>
  <si>
    <t>vol.3</t>
  </si>
  <si>
    <t>hvd.32044058200338</t>
  </si>
  <si>
    <t>hvd.32044058200346</t>
  </si>
  <si>
    <t>hvd.hwg11q</t>
  </si>
  <si>
    <t>uc2.ark:/13960/t2x34rt04</t>
  </si>
  <si>
    <t>nyp.33433082511928</t>
  </si>
  <si>
    <t>006538565</t>
  </si>
  <si>
    <t>Elementary composition,</t>
  </si>
  <si>
    <t>uc1.b307986</t>
  </si>
  <si>
    <t>uc2.ark:/13960/t3gx48m5k</t>
  </si>
  <si>
    <t>nyp.33433082511951</t>
  </si>
  <si>
    <t>006538732</t>
  </si>
  <si>
    <t>Handbook of composition : a compendium of rules regarding good English, grammar, sentence structure, paragraphing, manuscript arrangement, punctuation, spelling, essay writing, and letter writing /</t>
  </si>
  <si>
    <t>nyp.33433082511969</t>
  </si>
  <si>
    <t>uc1.$b663333</t>
  </si>
  <si>
    <t>uc1.b308210</t>
  </si>
  <si>
    <t>uc2.ark:/13960/t14m92x39</t>
  </si>
  <si>
    <t>uc2.ark:/13960/t2s46n704</t>
  </si>
  <si>
    <t>uc1.b308212</t>
  </si>
  <si>
    <t>006538734</t>
  </si>
  <si>
    <t>English poetry : its principles and progress, with representative masterpieces and notes /</t>
  </si>
  <si>
    <t>uc1.b308220</t>
  </si>
  <si>
    <t>006538737</t>
  </si>
  <si>
    <t>The history of English literature; with an outline of the origin and growth of the English language; illustrated by extracts. For the use of schools and of private students. Continued to 1870.</t>
  </si>
  <si>
    <t>uc1.b308902</t>
  </si>
  <si>
    <t>006539096</t>
  </si>
  <si>
    <t>Teacher's manual of spelling.</t>
  </si>
  <si>
    <t>Fernald, Grace M.</t>
  </si>
  <si>
    <t>uc2.ark:/13960/t4mk6964z</t>
  </si>
  <si>
    <t>loc.ark:/13960/t5db8vn26</t>
  </si>
  <si>
    <t>006539102</t>
  </si>
  <si>
    <t>Standards in English, a course of study in oral and written composition for elementary schools,</t>
  </si>
  <si>
    <t>nyp.33433069254195</t>
  </si>
  <si>
    <t>uc1.b308919</t>
  </si>
  <si>
    <t>uc1.b308920</t>
  </si>
  <si>
    <t>006539103</t>
  </si>
  <si>
    <t>Teachers' manual, essentials of English, higher grades,</t>
  </si>
  <si>
    <t>Pearson, Henry Carr,</t>
  </si>
  <si>
    <t>uc1.b308921</t>
  </si>
  <si>
    <t>006539104</t>
  </si>
  <si>
    <t>The teaching of English, a new approach,</t>
  </si>
  <si>
    <t>Tomkinson, W. S.</t>
  </si>
  <si>
    <t>uc1.b311360</t>
  </si>
  <si>
    <t>006540639</t>
  </si>
  <si>
    <t>An Italian phonetic reader.</t>
  </si>
  <si>
    <t>Camilli, Amerindo.</t>
  </si>
  <si>
    <t>uc2.ark:/13960/t8qc00c7m</t>
  </si>
  <si>
    <t>uc1.b312189</t>
  </si>
  <si>
    <t>006541261</t>
  </si>
  <si>
    <t>uc1.b313398</t>
  </si>
  <si>
    <t>006542114</t>
  </si>
  <si>
    <t>A book of French prosody; with specimens of French verse from the twelfth century to the present day,</t>
  </si>
  <si>
    <t>Brandin, Louis,</t>
  </si>
  <si>
    <t>uc2.ark:/13960/t6nz84w67</t>
  </si>
  <si>
    <t>uc1.b315047</t>
  </si>
  <si>
    <t>006543111</t>
  </si>
  <si>
    <t>uc1.b307963</t>
  </si>
  <si>
    <t>006538549</t>
  </si>
  <si>
    <t>Junior English book,</t>
  </si>
  <si>
    <t>uc2.ark:/13960/t2q52k176</t>
  </si>
  <si>
    <t>uc1.b307966</t>
  </si>
  <si>
    <t>006538551</t>
  </si>
  <si>
    <t>A text-book on rhetoric : supplementing the development of the science with exhaustive practice in composition /</t>
  </si>
  <si>
    <t>uc2.ark:/13960/t15m65v87</t>
  </si>
  <si>
    <t>uc1.b307967</t>
  </si>
  <si>
    <t>006538552</t>
  </si>
  <si>
    <t>uc2.ark:/13960/t8pc2zb38</t>
  </si>
  <si>
    <t>uc1.b307970</t>
  </si>
  <si>
    <t>006538554</t>
  </si>
  <si>
    <t>A first manual of composition, designed for use in the highest grammar grade and the lower high-school grades,</t>
  </si>
  <si>
    <t>uc2.ark:/13960/t3dz0766g</t>
  </si>
  <si>
    <t>uc1.b307971</t>
  </si>
  <si>
    <t>006538555</t>
  </si>
  <si>
    <t>A second manual of composition, designed for secondary schools,</t>
  </si>
  <si>
    <t>uc2.ark:/13960/t5w66f35q</t>
  </si>
  <si>
    <t>nyp.33433082513536</t>
  </si>
  <si>
    <t>006538556</t>
  </si>
  <si>
    <t>Practical English for high schools,</t>
  </si>
  <si>
    <t>uc1.b307972</t>
  </si>
  <si>
    <t>uc2.ark:/13960/t1ng4tc62</t>
  </si>
  <si>
    <t>uc1.b307974</t>
  </si>
  <si>
    <t>006538557</t>
  </si>
  <si>
    <t>English exercises, adapted to Murray's English grammar. Designed for the benefit of private learners, as well as for the use of schools.</t>
  </si>
  <si>
    <t>uc2.ark:/13960/t3125v35m</t>
  </si>
  <si>
    <t>nyp.33433082511399</t>
  </si>
  <si>
    <t>006538558</t>
  </si>
  <si>
    <t>A practical course in English composition /</t>
  </si>
  <si>
    <t>Newcomer, Alphonso Gerald,</t>
  </si>
  <si>
    <t>uc1.b307975</t>
  </si>
  <si>
    <t>uc2.ark:/13960/t9z033s4k</t>
  </si>
  <si>
    <t>uc1.b307979</t>
  </si>
  <si>
    <t>006538560</t>
  </si>
  <si>
    <t>Progressive exercises in English composition /</t>
  </si>
  <si>
    <t>uc2.ark:/13960/t3st7jp1r</t>
  </si>
  <si>
    <t>uc1.b307980</t>
  </si>
  <si>
    <t>006538561</t>
  </si>
  <si>
    <t>Advanced course of composition and rhetoric: a series of practial lessons on the origin, history, and pecularities of the English language. Adapted to self-instruction, and the use of schools and colleges.</t>
  </si>
  <si>
    <t>uc2.ark:/13960/t9f47n082</t>
  </si>
  <si>
    <t>uc1.b307981</t>
  </si>
  <si>
    <t>006538562</t>
  </si>
  <si>
    <t>Effective expression; a textbook on composition and rhetoric for the four years of high school and the first year of college,</t>
  </si>
  <si>
    <t>Rhodes, Charles Elbert.</t>
  </si>
  <si>
    <t>uc2.ark:/13960/t2t43nr20</t>
  </si>
  <si>
    <t>uc1.b307983</t>
  </si>
  <si>
    <t>006538563</t>
  </si>
  <si>
    <t>Aldine third language book; language-grammar-composition for grades seven and eight,</t>
  </si>
  <si>
    <t>uc1.b307985</t>
  </si>
  <si>
    <t>006538564</t>
  </si>
  <si>
    <t>Composition and rhetoric.</t>
  </si>
  <si>
    <t>Tanner, William Maddux.</t>
  </si>
  <si>
    <t>006538528</t>
  </si>
  <si>
    <t>Handbook of correct writing,</t>
  </si>
  <si>
    <t>Carpenter, Millington Farwell.</t>
  </si>
  <si>
    <t>uc1.b307935</t>
  </si>
  <si>
    <t>006538529</t>
  </si>
  <si>
    <t>Effective English /</t>
  </si>
  <si>
    <t>Claxton, Philander P.</t>
  </si>
  <si>
    <t>uc2.ark:/13960/t45q4wf56</t>
  </si>
  <si>
    <t>uc1.b307938</t>
  </si>
  <si>
    <t>006538532</t>
  </si>
  <si>
    <t>Language lessons from literature,</t>
  </si>
  <si>
    <t>v.2:1</t>
  </si>
  <si>
    <t>Cooley, Alice Woodworth,</t>
  </si>
  <si>
    <t>wu.89099893505</t>
  </si>
  <si>
    <t>wu.89099893513</t>
  </si>
  <si>
    <t>nyp.33433082512116</t>
  </si>
  <si>
    <t>006538533</t>
  </si>
  <si>
    <t>The new Webster-Cooley course in English ...</t>
  </si>
  <si>
    <t>nyp.33433082512124</t>
  </si>
  <si>
    <t>uc1.b307939</t>
  </si>
  <si>
    <t>uc1.b307940</t>
  </si>
  <si>
    <t>uc1.b307941</t>
  </si>
  <si>
    <t>006538534</t>
  </si>
  <si>
    <t>Introductory text-book of English composition, based on grammatical synthesis.</t>
  </si>
  <si>
    <t>Dalgleish, Walter Scott,</t>
  </si>
  <si>
    <t>uc1.b307942</t>
  </si>
  <si>
    <t>006538535</t>
  </si>
  <si>
    <t>Lessons in language, literature, and composition,</t>
  </si>
  <si>
    <t>Emerson, Henry Pendexter,</t>
  </si>
  <si>
    <t>uc2.ark:/13960/t4cn72t1k</t>
  </si>
  <si>
    <t>uc1.$b617063</t>
  </si>
  <si>
    <t>006538536</t>
  </si>
  <si>
    <t>English composition in theory and practice,</t>
  </si>
  <si>
    <t>uc1.b307943</t>
  </si>
  <si>
    <t>uc1.b307944</t>
  </si>
  <si>
    <t>006538537</t>
  </si>
  <si>
    <t>The essentials of composition and rhetoric,</t>
  </si>
  <si>
    <t>Espenshade, A. Howry</t>
  </si>
  <si>
    <t>uc2.ark:/13960/t6qz26f15</t>
  </si>
  <si>
    <t>uc1.b307948</t>
  </si>
  <si>
    <t>006538540</t>
  </si>
  <si>
    <t>Principles of English composition through analysis and synthesis : a text-book for the senior classes of elementary schools and for pupil-teachers /</t>
  </si>
  <si>
    <t>Goyen, P.</t>
  </si>
  <si>
    <t>uc2.ark:/13960/t6b27tq7m</t>
  </si>
  <si>
    <t>uc1.b307952</t>
  </si>
  <si>
    <t>006538542</t>
  </si>
  <si>
    <t>Two years' course in English composition,</t>
  </si>
  <si>
    <t>Hanson, Charles Lane,</t>
  </si>
  <si>
    <t>uc2.ark:/13960/t3028t62x</t>
  </si>
  <si>
    <t>uc1.b307953</t>
  </si>
  <si>
    <t>006538543</t>
  </si>
  <si>
    <t>Guide books to English /</t>
  </si>
  <si>
    <t>uc1.b307954</t>
  </si>
  <si>
    <t>uc1.b307955</t>
  </si>
  <si>
    <t>006538544</t>
  </si>
  <si>
    <t>A manual of composition and rhetoric, a text-book for schools and colleges.</t>
  </si>
  <si>
    <t>uc2.ark:/13960/t3kw5c859</t>
  </si>
  <si>
    <t>uc1.b307956</t>
  </si>
  <si>
    <t>006538545</t>
  </si>
  <si>
    <t>uc2.ark:/13960/t3513zn4p</t>
  </si>
  <si>
    <t>uc1.b307960</t>
  </si>
  <si>
    <t>006538546</t>
  </si>
  <si>
    <t>The elements of rhetoric and composition : a text-book for schools and colleges /</t>
  </si>
  <si>
    <t>uc2.ark:/13960/t5q818n2m</t>
  </si>
  <si>
    <t>nyp.33433082511274</t>
  </si>
  <si>
    <t>006538548</t>
  </si>
  <si>
    <t>Rhetoric and the study of literature /</t>
  </si>
  <si>
    <t>uc1.b307962</t>
  </si>
  <si>
    <t>uc2.ark:/13960/t24b31v94</t>
  </si>
  <si>
    <t>School elocution. A manual of vocal training in high schools, normal schools, and academies.</t>
  </si>
  <si>
    <t>uc2.ark:/13960/t9959hd56</t>
  </si>
  <si>
    <t>uc1.b307889</t>
  </si>
  <si>
    <t>006538499</t>
  </si>
  <si>
    <t>Reading and elocution : theoretical and practical /</t>
  </si>
  <si>
    <t>uc2.ark:/13960/t2f769w9s</t>
  </si>
  <si>
    <t>uc1.b307898</t>
  </si>
  <si>
    <t>006538507</t>
  </si>
  <si>
    <t>Exercises in rhetorical reading : with a series of introductory lessons, particularly designed to familiarize readers with the pauses and other marks in general use, and lead them to the practice of modulation and inflection of the voice /</t>
  </si>
  <si>
    <t>uc2.ark:/13960/t6154jp0k</t>
  </si>
  <si>
    <t>uc1.b307910</t>
  </si>
  <si>
    <t>006538514</t>
  </si>
  <si>
    <t>Everyday English composition.</t>
  </si>
  <si>
    <t>uc2.ark:/13960/t1rf5q20v</t>
  </si>
  <si>
    <t>uc1.b307911</t>
  </si>
  <si>
    <t>006538515</t>
  </si>
  <si>
    <t>Elements of English composition, grammatical, rhetorical, logical, and practical.</t>
  </si>
  <si>
    <t>Boyd, James R.</t>
  </si>
  <si>
    <t>uc2.ark:/13960/t83j3f525</t>
  </si>
  <si>
    <t>uc1.$b617054</t>
  </si>
  <si>
    <t>006538516</t>
  </si>
  <si>
    <t>Studies in structure and style (based on seven modern English essays),</t>
  </si>
  <si>
    <t>Brewster, William Tenny,</t>
  </si>
  <si>
    <t>uc1.b307912</t>
  </si>
  <si>
    <t>uc2.ark:/13960/t90868p12</t>
  </si>
  <si>
    <t>uc1.b307914</t>
  </si>
  <si>
    <t>006538518</t>
  </si>
  <si>
    <t>A first book of composition for high schools,</t>
  </si>
  <si>
    <t>Briggs, Thomas Henry,</t>
  </si>
  <si>
    <t>uc2.ark:/13960/t3028tm3s</t>
  </si>
  <si>
    <t>uc1.b307915</t>
  </si>
  <si>
    <t>006538519</t>
  </si>
  <si>
    <t>Junior high school English,</t>
  </si>
  <si>
    <t>uc1.b307916</t>
  </si>
  <si>
    <t>uc1.b307917</t>
  </si>
  <si>
    <t>006538520</t>
  </si>
  <si>
    <t>A second book of composition for high schools,</t>
  </si>
  <si>
    <t>uc2.ark:/13960/t5s75bd80</t>
  </si>
  <si>
    <t>uc1.b307920</t>
  </si>
  <si>
    <t>006538521</t>
  </si>
  <si>
    <t>English composition ... enlarged, /</t>
  </si>
  <si>
    <t>uc1.b307921</t>
  </si>
  <si>
    <t>006538522</t>
  </si>
  <si>
    <t>Aldine second language, book for grades five and six,</t>
  </si>
  <si>
    <t>Bryce, Catherine T.</t>
  </si>
  <si>
    <t>uc1.b307923</t>
  </si>
  <si>
    <t>006538523</t>
  </si>
  <si>
    <t>English lessons,</t>
  </si>
  <si>
    <t>bk. 1</t>
  </si>
  <si>
    <t>Morrow, John</t>
  </si>
  <si>
    <t>uc1.b307924</t>
  </si>
  <si>
    <t>uc1.b307928</t>
  </si>
  <si>
    <t>006538524</t>
  </si>
  <si>
    <t>Good English,</t>
  </si>
  <si>
    <t>Canby, Henry Seidel,</t>
  </si>
  <si>
    <t>uc2.ark:/13960/t8rb71423</t>
  </si>
  <si>
    <t>uc1.b307929</t>
  </si>
  <si>
    <t>006538525</t>
  </si>
  <si>
    <t>Lesson studies, to accompany Canby and Opdycke's Good English,</t>
  </si>
  <si>
    <t>Brooks, Mabel Frances.</t>
  </si>
  <si>
    <t>uc2.ark:/13960/t0xp6zm2z</t>
  </si>
  <si>
    <t>uc1.b307930</t>
  </si>
  <si>
    <t>006538526</t>
  </si>
  <si>
    <t>Good English /</t>
  </si>
  <si>
    <t>uc1.b307934</t>
  </si>
  <si>
    <t>Sanders' young ladies' reader : embracing a comprehensive course of instruction in the principles of rhetorical reading : with a choice collection of exercises in reading, both in prose and poetry, for the use of the higher female seminaries, as also, the higher classes in female schools generally /</t>
  </si>
  <si>
    <t>Sanders, Charles W.</t>
  </si>
  <si>
    <t>uc2.ark:/13960/t1pg1n86t</t>
  </si>
  <si>
    <t>uc1.b307849</t>
  </si>
  <si>
    <t>006538469</t>
  </si>
  <si>
    <t>The junior highway to English : a text book for the seventh and eighth years /</t>
  </si>
  <si>
    <t>uc2.ark:/13960/t45q4wt8k</t>
  </si>
  <si>
    <t>uc1.b307866</t>
  </si>
  <si>
    <t>006538482</t>
  </si>
  <si>
    <t>Ear and voice training by means of elementary sounds of language.</t>
  </si>
  <si>
    <t>Calkins, Norman Allison,</t>
  </si>
  <si>
    <t>uc2.ark:/13960/t9p26v85s</t>
  </si>
  <si>
    <t>uc1.b307870</t>
  </si>
  <si>
    <t>006538485</t>
  </si>
  <si>
    <t>A new and practical system of the culture of voice and action, with an appendix of readings and recitations.</t>
  </si>
  <si>
    <t>uc2.ark:/13960/t3319ww0q</t>
  </si>
  <si>
    <t>uc1.b307872</t>
  </si>
  <si>
    <t>006538486</t>
  </si>
  <si>
    <t>The science of elocution: with exercises and selections systematically arranged for acquiring the art of readig and speaking.</t>
  </si>
  <si>
    <t>uc2.ark:/13960/t07w6bq93</t>
  </si>
  <si>
    <t>uc1.b307873</t>
  </si>
  <si>
    <t>006538487</t>
  </si>
  <si>
    <t>Vocal culture and elocution : with numerous exercises in reading and speaking /</t>
  </si>
  <si>
    <t>uc2.ark:/13960/t8tb12x06</t>
  </si>
  <si>
    <t>hvd.hn3kj7</t>
  </si>
  <si>
    <t>006538489</t>
  </si>
  <si>
    <t>Manual of physical and vocal training : for the use of schools and for private instruction /</t>
  </si>
  <si>
    <t>Monroe, Lewis B.</t>
  </si>
  <si>
    <t>uc1.b307875</t>
  </si>
  <si>
    <t>uc2.ark:/13960/t4bp0039k</t>
  </si>
  <si>
    <t>hvd.32044019360908</t>
  </si>
  <si>
    <t>006538490</t>
  </si>
  <si>
    <t>Analysis of the principles of rhetorical delivery as applied in reading and speaking /</t>
  </si>
  <si>
    <t>uc1.b307876</t>
  </si>
  <si>
    <t>uc2.ark:/13960/t3nv9f276</t>
  </si>
  <si>
    <t>uc1.b307877</t>
  </si>
  <si>
    <t>006538491</t>
  </si>
  <si>
    <t>Manual of reading, in four parts : orthophony, class methods, gesture, and elocution : designed for teachers and students /</t>
  </si>
  <si>
    <t>Potter, H. L. D.</t>
  </si>
  <si>
    <t>uc1.b307878</t>
  </si>
  <si>
    <t>006538492</t>
  </si>
  <si>
    <t>Orthophony; or, The cultivation of the voice in elocution.</t>
  </si>
  <si>
    <t>uc2.ark:/13960/t6d21wh73</t>
  </si>
  <si>
    <t>uc1.b307881</t>
  </si>
  <si>
    <t>006538495</t>
  </si>
  <si>
    <t>uc2.ark:/13960/t9862gh9f</t>
  </si>
  <si>
    <t>uc1.b307882</t>
  </si>
  <si>
    <t>006538496</t>
  </si>
  <si>
    <t>Phonology and orthoëpy: an elementary treatise on pronunciation for the use of teachers and schools.</t>
  </si>
  <si>
    <t>Salisbury, Albert,</t>
  </si>
  <si>
    <t>uc2.ark:/13960/t4hm5686m</t>
  </si>
  <si>
    <t>uc1.b307121</t>
  </si>
  <si>
    <t>006537970</t>
  </si>
  <si>
    <t>Word study for high schools,</t>
  </si>
  <si>
    <t>Swan, Norma Lippincott.</t>
  </si>
  <si>
    <t>uc1.b307127</t>
  </si>
  <si>
    <t>006537974</t>
  </si>
  <si>
    <t>New word-analysis, or, School etymology of English derivative words : with practical exercises in spelling, analyzing, defining, synonyms, and the use of words /</t>
  </si>
  <si>
    <t>uc2.ark:/13960/t7xk8hp05</t>
  </si>
  <si>
    <t>uc1.b307132</t>
  </si>
  <si>
    <t>006537976</t>
  </si>
  <si>
    <t>An analysis of the derivative words in the English language, or, A key to their precise analytic definitions, by prefixes and suffixes ... /</t>
  </si>
  <si>
    <t>uc2.ark:/13960/t8cf9p65p</t>
  </si>
  <si>
    <t>nyp.33433069240764</t>
  </si>
  <si>
    <t>006537977</t>
  </si>
  <si>
    <t>uc1.b307134</t>
  </si>
  <si>
    <t>006537978</t>
  </si>
  <si>
    <t>The model etymology, with sentences showing the correct use of words; and a key giving the analysis of English words.</t>
  </si>
  <si>
    <t>Webb, Anne C.</t>
  </si>
  <si>
    <t>uc1.b307136</t>
  </si>
  <si>
    <t>006537979</t>
  </si>
  <si>
    <t>A treatise on the structure of the English language, or, The analysis and classification of sentences and their component parts : with illustrations and exercises adapted to the use of schools /</t>
  </si>
  <si>
    <t>uc2.ark:/13960/t80k2bc34</t>
  </si>
  <si>
    <t>uc1.b307771</t>
  </si>
  <si>
    <t>006538422</t>
  </si>
  <si>
    <t>English lessons; book one-two,</t>
  </si>
  <si>
    <t>Harris, Ada Van Stone.</t>
  </si>
  <si>
    <t>uc2.ark:/13960/t0gt5k72f</t>
  </si>
  <si>
    <t>uc1.b307780</t>
  </si>
  <si>
    <t>006538430</t>
  </si>
  <si>
    <t>The sixth reader : consisting of extracts in prose and verse, with biographical and critical notices of the authors : for the use of advanced classes in public and private schools /</t>
  </si>
  <si>
    <t>Hillard, George Stillman,</t>
  </si>
  <si>
    <t>uc2.ark:/13960/t6ww7bw8s</t>
  </si>
  <si>
    <t>uc1.b307789</t>
  </si>
  <si>
    <t>006538436</t>
  </si>
  <si>
    <t>A practical reader, with exercises in vocal culture.</t>
  </si>
  <si>
    <t>Le Row, Caroline B.</t>
  </si>
  <si>
    <t>uc2.ark:/13960/t3vt1mv34</t>
  </si>
  <si>
    <t>uc1.b307792</t>
  </si>
  <si>
    <t>006538439</t>
  </si>
  <si>
    <t>The child life fifth reader /</t>
  </si>
  <si>
    <t>Blaisdell, Etta Austin,</t>
  </si>
  <si>
    <t>uc1.b307815</t>
  </si>
  <si>
    <t>006538447</t>
  </si>
  <si>
    <t>First primary language book,</t>
  </si>
  <si>
    <t>Reimold, Orlando Schairer.</t>
  </si>
  <si>
    <t>uc2.ark:/13960/t6pz55j7t</t>
  </si>
  <si>
    <t>uc1.b307824</t>
  </si>
  <si>
    <t>006538454</t>
  </si>
  <si>
    <t>Ward, Charles Henshaw.</t>
  </si>
  <si>
    <t>uc2.ark:/13960/t7mp50m24</t>
  </si>
  <si>
    <t>nyp.33433081988366</t>
  </si>
  <si>
    <t>006537911</t>
  </si>
  <si>
    <t>Essentials of English grammar : for the use of schools /</t>
  </si>
  <si>
    <t>uc1.b307022</t>
  </si>
  <si>
    <t>uc1.b307028</t>
  </si>
  <si>
    <t>006537915</t>
  </si>
  <si>
    <t>My word book : a course of integrated activities in spelling /</t>
  </si>
  <si>
    <t>bk. 2</t>
  </si>
  <si>
    <t>Breed, Frederick Stephen,</t>
  </si>
  <si>
    <t>uc1.b307029</t>
  </si>
  <si>
    <t>bk. 3</t>
  </si>
  <si>
    <t>uc1.b307030</t>
  </si>
  <si>
    <t>bk. 6</t>
  </si>
  <si>
    <t>uc1.b307031</t>
  </si>
  <si>
    <t>bk. 7</t>
  </si>
  <si>
    <t>uc1.b307040</t>
  </si>
  <si>
    <t>006537920</t>
  </si>
  <si>
    <t>Appleton's standard speller /</t>
  </si>
  <si>
    <t>Felter, William L.</t>
  </si>
  <si>
    <t>uc1.b307046</t>
  </si>
  <si>
    <t>006537924</t>
  </si>
  <si>
    <t>5000 common words students fail to spell : a scientifically selected list of words presenting difficulties in spelling /</t>
  </si>
  <si>
    <t>Granger, E. M.</t>
  </si>
  <si>
    <t>hvd.hwskir</t>
  </si>
  <si>
    <t>006537926</t>
  </si>
  <si>
    <t>A hand-book of Anglo-Saxon orthography. In two parts. First part. Anglo-Saxon orthography and its materials. Second part. Studies in Anglo-Saxon orthography ...</t>
  </si>
  <si>
    <t>nyp.33433069251498</t>
  </si>
  <si>
    <t>nyp.33433069253452</t>
  </si>
  <si>
    <t>uc1.b307049</t>
  </si>
  <si>
    <t>uc1.b307059</t>
  </si>
  <si>
    <t>006537932</t>
  </si>
  <si>
    <t>New orthography and orthoepy, with many new exercises for practice,</t>
  </si>
  <si>
    <t>Irish, Frank Van Buren,</t>
  </si>
  <si>
    <t>uc1.b307081</t>
  </si>
  <si>
    <t>006537945</t>
  </si>
  <si>
    <t>The elements of English grammar : so arranged as to combine the analytical and synthetical methods, with an introduction for beginners, various exercises, oral and written, for the formation, analysis, transformation, and classification, and correction of sentences /</t>
  </si>
  <si>
    <t>uc2.ark:/13960/t5r789f00</t>
  </si>
  <si>
    <t>uc1.b307088</t>
  </si>
  <si>
    <t>006537948</t>
  </si>
  <si>
    <t>The orthoëpist: a pronouncing manual containing about four thousand five hundred words including a considerable number of the names of foreign authors, artists, etc., that are often mispronounced,</t>
  </si>
  <si>
    <t>uc2.ark:/13960/t6639q178</t>
  </si>
  <si>
    <t>uc1.b307097</t>
  </si>
  <si>
    <t>006537955</t>
  </si>
  <si>
    <t>Practical spelling; a text book for use in commercial schools, normal schools, colleges, academies, and high schools.</t>
  </si>
  <si>
    <t>uc1.b307101</t>
  </si>
  <si>
    <t>006537957</t>
  </si>
  <si>
    <t>Tests in spelling and pronunciation.</t>
  </si>
  <si>
    <t>Raub, Albert N.</t>
  </si>
  <si>
    <t>uc1.b307108</t>
  </si>
  <si>
    <t>006537961</t>
  </si>
  <si>
    <t>uc1.b306987</t>
  </si>
  <si>
    <t>uc1.b306988</t>
  </si>
  <si>
    <t>006537887</t>
  </si>
  <si>
    <t>Lessons in grammar for schools and teachers' institutes,</t>
  </si>
  <si>
    <t>Patrick, J. N.</t>
  </si>
  <si>
    <t>uc1.b306991</t>
  </si>
  <si>
    <t>006537890</t>
  </si>
  <si>
    <t>Better speech,</t>
  </si>
  <si>
    <t>Polk, Annie E.</t>
  </si>
  <si>
    <t>uc1.b306992</t>
  </si>
  <si>
    <t>006537891</t>
  </si>
  <si>
    <t>uc2.ark:/13960/t4mk69v30</t>
  </si>
  <si>
    <t>uc1.b306993</t>
  </si>
  <si>
    <t>006537892</t>
  </si>
  <si>
    <t>The doorway to English /</t>
  </si>
  <si>
    <t>Rader, L W</t>
  </si>
  <si>
    <t>uc1.b306994</t>
  </si>
  <si>
    <t>uc1.b306995</t>
  </si>
  <si>
    <t>uc1.b306997</t>
  </si>
  <si>
    <t>006537894</t>
  </si>
  <si>
    <t>Graded lessons in English : An elementary English grammar, consisting of one hundred practical lessons, carefully graded and adapted to the class-room /</t>
  </si>
  <si>
    <t>uc1.b306998</t>
  </si>
  <si>
    <t>006537895</t>
  </si>
  <si>
    <t>Higher lessons in English : a work on English grammar and composition, in which the science of the language is made tributary to the art of expression ... /</t>
  </si>
  <si>
    <t>uc1.b306999</t>
  </si>
  <si>
    <t>006537896</t>
  </si>
  <si>
    <t>Introductory language work : a simple, varied, and pleasing, but methodical, series of exercises in English to precede the study of technical grammar /</t>
  </si>
  <si>
    <t>uc2.ark:/13960/t6736qx54</t>
  </si>
  <si>
    <t>uc1.b307000</t>
  </si>
  <si>
    <t>006537897</t>
  </si>
  <si>
    <t>Introductory language work; a simple, varied, and pleasing, but methodical series of exercises in English to precede the study of technical grammar.</t>
  </si>
  <si>
    <t>uc1.b307002</t>
  </si>
  <si>
    <t>006537899</t>
  </si>
  <si>
    <t>Exercises on words. Designed as a course of practice on the rudiments of grammar and rhetoric.</t>
  </si>
  <si>
    <t>uc1.b307005</t>
  </si>
  <si>
    <t>006537900</t>
  </si>
  <si>
    <t>Better English for speaking and writing : a series of three books /</t>
  </si>
  <si>
    <t>Simons, Sarah E.</t>
  </si>
  <si>
    <t>uc1.b307006</t>
  </si>
  <si>
    <t>v. 3 c. 1</t>
  </si>
  <si>
    <t>uc1.b307007</t>
  </si>
  <si>
    <t>006537901</t>
  </si>
  <si>
    <t>English grammar on the productive system. A method of instruction recently adopted in Germany and Switzerland. Designed for shcools and academies /</t>
  </si>
  <si>
    <t>Smith, Roswell Chamberlain,</t>
  </si>
  <si>
    <t>uc1.b307010</t>
  </si>
  <si>
    <t>006537904</t>
  </si>
  <si>
    <t>Language lessons: an introductory grammar and composition for intermediate and grammar grades.</t>
  </si>
  <si>
    <t>uc1.b307011</t>
  </si>
  <si>
    <t>006537905</t>
  </si>
  <si>
    <t>New language lessons : an elementary grammar and composition /</t>
  </si>
  <si>
    <t>uc1.b307018</t>
  </si>
  <si>
    <t>006537907</t>
  </si>
  <si>
    <t>Pilot book for Sentence and theme.</t>
  </si>
  <si>
    <t>Composition for elementary schools; a composition grammar,</t>
  </si>
  <si>
    <t>Hosic, James Fleming.</t>
  </si>
  <si>
    <t>uc1.b306966</t>
  </si>
  <si>
    <t>006537872</t>
  </si>
  <si>
    <t>Two-book course in English</t>
  </si>
  <si>
    <t>hvd.32044097052716</t>
  </si>
  <si>
    <t>006537873</t>
  </si>
  <si>
    <t>hvd.32044102771581</t>
  </si>
  <si>
    <t>uc1.b306967</t>
  </si>
  <si>
    <t>uc1.b306968</t>
  </si>
  <si>
    <t>006537874</t>
  </si>
  <si>
    <t>A comprehensive grammar of the English language.</t>
  </si>
  <si>
    <t>uc1.b306969</t>
  </si>
  <si>
    <t>006537875</t>
  </si>
  <si>
    <t>An elementary grammar of the English language.</t>
  </si>
  <si>
    <t>uc2.ark:/13960/t43r0tj9v</t>
  </si>
  <si>
    <t>uc1.b306970</t>
  </si>
  <si>
    <t>006537876</t>
  </si>
  <si>
    <t>English grammar, in familiar lectures; accompanied by a compendium, embracing a new systematic order of parsing, a new system of punctuation, exercises in false syntax, and a system of philosophical grammar, in notes: to which are added an appendix and a key to the exercises. designed for the use of schools and private learners.</t>
  </si>
  <si>
    <t>Kirkham, Samuel</t>
  </si>
  <si>
    <t>uc1.b306971</t>
  </si>
  <si>
    <t>006537877</t>
  </si>
  <si>
    <t>General language; a series of lessons in grammar, word study, and history of the English language for junior high schools,</t>
  </si>
  <si>
    <t>uc1.b306973</t>
  </si>
  <si>
    <t>006537879</t>
  </si>
  <si>
    <t>Grammar to use,</t>
  </si>
  <si>
    <t>Lewis, William Dodge,</t>
  </si>
  <si>
    <t>uc2.ark:/13960/t71v5gb95</t>
  </si>
  <si>
    <t>uc1.b306974</t>
  </si>
  <si>
    <t>006537880</t>
  </si>
  <si>
    <t>Elementary English /</t>
  </si>
  <si>
    <t>Lyte, E. Oram</t>
  </si>
  <si>
    <t>uc2.ark:/13960/t6c24vh3k</t>
  </si>
  <si>
    <t>uc1.b306975</t>
  </si>
  <si>
    <t>006537881</t>
  </si>
  <si>
    <t>McFadden English series,</t>
  </si>
  <si>
    <t>McFadden, Effie Belle,</t>
  </si>
  <si>
    <t>uc1.b306976</t>
  </si>
  <si>
    <t>uc1.b306977</t>
  </si>
  <si>
    <t>uc1.b306981</t>
  </si>
  <si>
    <t>006537883</t>
  </si>
  <si>
    <t>English grammar : with chapters on composition, versification, paraphrasing, and punctuation /</t>
  </si>
  <si>
    <t>uc1.b306982</t>
  </si>
  <si>
    <t>006537884</t>
  </si>
  <si>
    <t>A first book in English for high schools,</t>
  </si>
  <si>
    <t>Murray, Arthur L.</t>
  </si>
  <si>
    <t>uc2.ark:/13960/t5s75b975</t>
  </si>
  <si>
    <t>uc1.b306983</t>
  </si>
  <si>
    <t>006537885</t>
  </si>
  <si>
    <t>English grammar : adapted to the different classes of learners, with an appendix, containing rules and observations, for assisting the more advanced students to write with perspicuity and accuracy /</t>
  </si>
  <si>
    <t>uc2.ark:/13960/t2d799g78</t>
  </si>
  <si>
    <t>uc1.b306984</t>
  </si>
  <si>
    <t>006537886</t>
  </si>
  <si>
    <t>My own language /</t>
  </si>
  <si>
    <t>Newlun, Chester O.</t>
  </si>
  <si>
    <t>uc1.b306985</t>
  </si>
  <si>
    <t>uc1.b306986</t>
  </si>
  <si>
    <t>uc1.b306942</t>
  </si>
  <si>
    <t>006537857</t>
  </si>
  <si>
    <t>Applied English grammar,</t>
  </si>
  <si>
    <t>Burleson, David Sinclair,</t>
  </si>
  <si>
    <t>uc1.b306943</t>
  </si>
  <si>
    <t>006537858</t>
  </si>
  <si>
    <t>School English : a manual for use in connection with the written English work of secondary schools /</t>
  </si>
  <si>
    <t>Butler, George Prentiss,</t>
  </si>
  <si>
    <t>uc2.ark:/13960/t6g15z558</t>
  </si>
  <si>
    <t>nyp.33433069255234</t>
  </si>
  <si>
    <t>006537860</t>
  </si>
  <si>
    <t>Dengler's lessons and exercises in English,</t>
  </si>
  <si>
    <t>Dengler, Walter E.</t>
  </si>
  <si>
    <t>uc1.b306949</t>
  </si>
  <si>
    <t>uc2.ark:/13960/t2g73bp0b</t>
  </si>
  <si>
    <t>uc1.b306952</t>
  </si>
  <si>
    <t>006537862</t>
  </si>
  <si>
    <t>Good English, oral and written, book one-three</t>
  </si>
  <si>
    <t>Elson, William Harris.</t>
  </si>
  <si>
    <t>uc1.b306953</t>
  </si>
  <si>
    <t>uc1.b306954</t>
  </si>
  <si>
    <t>uc1.b306955</t>
  </si>
  <si>
    <t>006537863</t>
  </si>
  <si>
    <t>Analysis of the English language. Part I. Grammar. Part II. Etymological derivations. Part III. Praxis. Containing a systematic course of examination-questions; all the questions on grammar and etymology proposed at the Woolwich competitive examinations from 1854 to 1869; the papers set at the Oxford and Cambridge local examinations for several years. Reprinted from the latest English ed., with corr., additions, and copious indices.</t>
  </si>
  <si>
    <t>Fleming, I. Plant.</t>
  </si>
  <si>
    <t>nyp.33433081988713</t>
  </si>
  <si>
    <t>006537864</t>
  </si>
  <si>
    <t>Grammar and practice,</t>
  </si>
  <si>
    <t>Frazee, Susan Isabel.</t>
  </si>
  <si>
    <t>uc1.b306956</t>
  </si>
  <si>
    <t>uc1.b306957</t>
  </si>
  <si>
    <t>006537865</t>
  </si>
  <si>
    <t>Manual and diagrams to accompany Metcalf's grammars,</t>
  </si>
  <si>
    <t>Garrison, Carl Louise.</t>
  </si>
  <si>
    <t>uc2.ark:/13960/t78s4pm4x</t>
  </si>
  <si>
    <t>uc1.b306959</t>
  </si>
  <si>
    <t>006537866</t>
  </si>
  <si>
    <t>First lessons in grammar : based upon the construction and analysis of sentences ; designed as an introduction to the "Analysis of sentences" / by Samuel S. Greene.</t>
  </si>
  <si>
    <t>hvd.hw23xq</t>
  </si>
  <si>
    <t>006537867</t>
  </si>
  <si>
    <t>A grammar of the English language.</t>
  </si>
  <si>
    <t>uc1.b306960</t>
  </si>
  <si>
    <t>uc2.ark:/13960/t3mw2dz4c</t>
  </si>
  <si>
    <t>uc1.b306961</t>
  </si>
  <si>
    <t>006537868</t>
  </si>
  <si>
    <t>A grammar of the English language : with an analysis of the sentence /</t>
  </si>
  <si>
    <t>Hart, John S.</t>
  </si>
  <si>
    <t>uc2.ark:/13960/t3bz64w8t</t>
  </si>
  <si>
    <t>uc1.b306963</t>
  </si>
  <si>
    <t>006537869</t>
  </si>
  <si>
    <t>A practical grammar of the English language /</t>
  </si>
  <si>
    <t>uc2.ark:/13960/t9w091g9s</t>
  </si>
  <si>
    <t>uc1.b306965</t>
  </si>
  <si>
    <t>006537871</t>
  </si>
  <si>
    <t>uc1.b305848</t>
  </si>
  <si>
    <t>006537201</t>
  </si>
  <si>
    <t>Methods and materials for composition in intermediate and grammar grades,</t>
  </si>
  <si>
    <t>Deming, Alhambra G.</t>
  </si>
  <si>
    <t>uc1.b305849</t>
  </si>
  <si>
    <t>006537202</t>
  </si>
  <si>
    <t>Community English, a book of undertakings for boys and girls.</t>
  </si>
  <si>
    <t>Flagg, Mildred Buchanan.</t>
  </si>
  <si>
    <t>uc2.ark:/13960/t3bz64t7f</t>
  </si>
  <si>
    <t>uc1.b305851</t>
  </si>
  <si>
    <t>006537203</t>
  </si>
  <si>
    <t>uc2.ark:/13960/t2r49kr58</t>
  </si>
  <si>
    <t>uc1.b305901</t>
  </si>
  <si>
    <t>006537216</t>
  </si>
  <si>
    <t>Handbook of effective writing /</t>
  </si>
  <si>
    <t>Smart, Walter Kay,</t>
  </si>
  <si>
    <t>uc1.b306150</t>
  </si>
  <si>
    <t>006537324</t>
  </si>
  <si>
    <t>uc2.ark:/13960/t2z31sb5v</t>
  </si>
  <si>
    <t>njp.32101071985822</t>
  </si>
  <si>
    <t>006537844</t>
  </si>
  <si>
    <t>uc1.b306921</t>
  </si>
  <si>
    <t>uc1.b306928</t>
  </si>
  <si>
    <t>006537848</t>
  </si>
  <si>
    <t>Practice in parsing and analysis /</t>
  </si>
  <si>
    <t>Arnold, Helen.</t>
  </si>
  <si>
    <t>uc1.b306929</t>
  </si>
  <si>
    <t>006537849</t>
  </si>
  <si>
    <t>Correct English in the school : twelve golden helps /</t>
  </si>
  <si>
    <t>uc1.b306930</t>
  </si>
  <si>
    <t>006537850</t>
  </si>
  <si>
    <t>The essentials of language and grammar /</t>
  </si>
  <si>
    <t>Bartlett, Albert Le Roy,</t>
  </si>
  <si>
    <t>nyp.33433069243917</t>
  </si>
  <si>
    <t>006537851</t>
  </si>
  <si>
    <t>A school grammar of the English language,</t>
  </si>
  <si>
    <t>uc1.b306931</t>
  </si>
  <si>
    <t>uc1.b306933</t>
  </si>
  <si>
    <t>006537852</t>
  </si>
  <si>
    <t>English for use,</t>
  </si>
  <si>
    <t>Beveridge, John Harrie,</t>
  </si>
  <si>
    <t>uc1.b306936</t>
  </si>
  <si>
    <t>006537853</t>
  </si>
  <si>
    <t>The first lines of English grammar; being a brief abstract of the author's larger work [Institutes of English grammer] designed for young learners.</t>
  </si>
  <si>
    <t>uc2.ark:/13960/t43r0v500</t>
  </si>
  <si>
    <t>uc1.b306937</t>
  </si>
  <si>
    <t>006537854</t>
  </si>
  <si>
    <t>The first lines of English grammar : being a brief abstract of the author's larger work, the Institutes of English grammar, designed for young learners /</t>
  </si>
  <si>
    <t>uc2.ark:/13960/t2t43nm64</t>
  </si>
  <si>
    <t>uc1.b306939</t>
  </si>
  <si>
    <t>006537855</t>
  </si>
  <si>
    <t>An Englishh grammar, in three books; developing the new science, made up of those constructive principles which form a sure guide in using the English language; but which are not found in the old theory of English grammar.</t>
  </si>
  <si>
    <t>Brown, James,</t>
  </si>
  <si>
    <t>uc2.ark:/13960/t3kw5d29z</t>
  </si>
  <si>
    <t>uc1.b306940</t>
  </si>
  <si>
    <t>006537856</t>
  </si>
  <si>
    <t>An English syntithology, developing the constructive principles of the English language, by appropriate polymorph terms used in this science only ...</t>
  </si>
  <si>
    <t>Imagination and fancy; or, Selections from the English poets, illustrative of those first requisites of their art; with markings of the best passages, critical notices of the writers, and an essay in answer to the question, "What is poetry?"</t>
  </si>
  <si>
    <t>loc.ark:/13960/t3jw8zt4v</t>
  </si>
  <si>
    <t>nyp.33433074840152</t>
  </si>
  <si>
    <t>uc1.b298070</t>
  </si>
  <si>
    <t>uc2.ark:/13960/t4vh5gx8g</t>
  </si>
  <si>
    <t>uc1.b298083</t>
  </si>
  <si>
    <t>006532157</t>
  </si>
  <si>
    <t>The technique of English nondramatic blank verse.</t>
  </si>
  <si>
    <t>uc1.32106001575882</t>
  </si>
  <si>
    <t>006532162</t>
  </si>
  <si>
    <t>uc1.b298091</t>
  </si>
  <si>
    <t>uc1.b298092</t>
  </si>
  <si>
    <t>006532163</t>
  </si>
  <si>
    <t>Conway, Gilbert.</t>
  </si>
  <si>
    <t>uc2.ark:/13960/t8x92563f</t>
  </si>
  <si>
    <t>uc1.b301257</t>
  </si>
  <si>
    <t>006534284</t>
  </si>
  <si>
    <t>Notes on English,</t>
  </si>
  <si>
    <t>Griffin, Eldon,</t>
  </si>
  <si>
    <t>uc2.ark:/13960/t5k934r9j</t>
  </si>
  <si>
    <t>uc1.b302948</t>
  </si>
  <si>
    <t>006535258</t>
  </si>
  <si>
    <t>Aldine first language book, for grades three and four,</t>
  </si>
  <si>
    <t>Bryce, Catherine Turner.</t>
  </si>
  <si>
    <t>uc1.b305361</t>
  </si>
  <si>
    <t>006536843</t>
  </si>
  <si>
    <t>Aldine first language book : a manual for teachers /</t>
  </si>
  <si>
    <t>Spaulding, Frank E.</t>
  </si>
  <si>
    <t>uc1.b305362</t>
  </si>
  <si>
    <t>006536844</t>
  </si>
  <si>
    <t>Aldine language method, first book; a manual for teachers using the First language book,</t>
  </si>
  <si>
    <t>uc1.b305363</t>
  </si>
  <si>
    <t>006536845</t>
  </si>
  <si>
    <t>Aldine language method, second book; a manual for teachers using the Second language book,</t>
  </si>
  <si>
    <t>loc.ark:/13960/t1sf3k997</t>
  </si>
  <si>
    <t>006536864</t>
  </si>
  <si>
    <t>Method and methods in the teaching of English,</t>
  </si>
  <si>
    <t>Goldwasser, Israel Edwin.</t>
  </si>
  <si>
    <t>nyp.33433069253627</t>
  </si>
  <si>
    <t>uc1.b305399</t>
  </si>
  <si>
    <t>uc1.b305400</t>
  </si>
  <si>
    <t>006536865</t>
  </si>
  <si>
    <t>uc2.ark:/13960/t1hh6gm1h</t>
  </si>
  <si>
    <t>uc1.b305402</t>
  </si>
  <si>
    <t>006536866</t>
  </si>
  <si>
    <t>How to write, or, Secondary lessons in the English language : illustrated with over 150 engravings /</t>
  </si>
  <si>
    <t>Powell, W. B.</t>
  </si>
  <si>
    <t>uc2.ark:/13960/t7kp7zk4p</t>
  </si>
  <si>
    <t>uc1.b305403</t>
  </si>
  <si>
    <t>006536867</t>
  </si>
  <si>
    <t>Mechanics of written English : a drill in the use of caps and points through the rimes of Mother Goose /</t>
  </si>
  <si>
    <t>Rankin, Jean Sherwood,</t>
  </si>
  <si>
    <t>uc1.b305406</t>
  </si>
  <si>
    <t>006536868</t>
  </si>
  <si>
    <t>A class-room conversation book.</t>
  </si>
  <si>
    <t>Sec, Fong F.</t>
  </si>
  <si>
    <t>uc1.b305815</t>
  </si>
  <si>
    <t>006537193</t>
  </si>
  <si>
    <t>Industrial booklets,</t>
  </si>
  <si>
    <t>Pickard, Andrew Ezra,</t>
  </si>
  <si>
    <t>uc2.ark:/13960/t2n58h400</t>
  </si>
  <si>
    <t>uc2.ark:/13960/t46q1wk55</t>
  </si>
  <si>
    <t>uc1.b280054</t>
  </si>
  <si>
    <t>006521622</t>
  </si>
  <si>
    <t>Handbook of English composition : a compilation of standard rules and usage /</t>
  </si>
  <si>
    <t>uc1.b286835</t>
  </si>
  <si>
    <t>006525675</t>
  </si>
  <si>
    <t>Aristotle's theory of poetry and fine art : with a critical text and a translation of the Poetics /</t>
  </si>
  <si>
    <t>Butcher, S. H.</t>
  </si>
  <si>
    <t>uc1.b287380</t>
  </si>
  <si>
    <t>006525937</t>
  </si>
  <si>
    <t>uc1.b287382</t>
  </si>
  <si>
    <t>006525938</t>
  </si>
  <si>
    <t>English literature from A.D. 670 to A.D. 1832 /</t>
  </si>
  <si>
    <t>uc1.b291096</t>
  </si>
  <si>
    <t>006528024</t>
  </si>
  <si>
    <t>Instituciones oratorias /</t>
  </si>
  <si>
    <t>Quintilian.</t>
  </si>
  <si>
    <t>uc1.b291097</t>
  </si>
  <si>
    <t>uc1.b293474</t>
  </si>
  <si>
    <t>006529603</t>
  </si>
  <si>
    <t>College composition,</t>
  </si>
  <si>
    <t>uc2.ark:/13960/t25b0282q</t>
  </si>
  <si>
    <t>uc1.b293517</t>
  </si>
  <si>
    <t>006529632</t>
  </si>
  <si>
    <t>First book in composition for the use of schools : on an entirely new plan /</t>
  </si>
  <si>
    <t>Brookfield, F.</t>
  </si>
  <si>
    <t>uc2.ark:/13960/t6154j61s</t>
  </si>
  <si>
    <t>uc1.b293521</t>
  </si>
  <si>
    <t>006529635</t>
  </si>
  <si>
    <t>Advanced elocution;</t>
  </si>
  <si>
    <t>Shoemaker, Rachel Walter Hinkle,</t>
  </si>
  <si>
    <t>uc2.ark:/13960/t0qr4rr87</t>
  </si>
  <si>
    <t>uc1.b293524</t>
  </si>
  <si>
    <t>006529636</t>
  </si>
  <si>
    <t>The scholar's companion : containing exercises in the orthography, derivation, and classification of English words /</t>
  </si>
  <si>
    <t>Butter, Henry.</t>
  </si>
  <si>
    <t>uc2.ark:/13960/t13n23j92</t>
  </si>
  <si>
    <t>uc1.b293550</t>
  </si>
  <si>
    <t>006529649</t>
  </si>
  <si>
    <t>A manual of English prose literature : biographical and critical, designed mainly to show characteristics of style /</t>
  </si>
  <si>
    <t>hvd.hx523b</t>
  </si>
  <si>
    <t>006531024</t>
  </si>
  <si>
    <t>Pulpit elocution : comprising suggestions on the importance of study; remarks on the effect of manner in speaking; the rules of reading, exemplified from the Scriptures, hymns, and sermons; observations on the principles of gesture; and a selection of pieces for practice in reading and speaking.</t>
  </si>
  <si>
    <t>uc1.b296116</t>
  </si>
  <si>
    <t>uc2.ark:/13960/t41r6rh1c</t>
  </si>
  <si>
    <t>uc1.b296403</t>
  </si>
  <si>
    <t>006531160</t>
  </si>
  <si>
    <t>The elements of composition, belles-lettres, and oratory.</t>
  </si>
  <si>
    <t>Layres, Augustus.</t>
  </si>
  <si>
    <t>uc1.b296404</t>
  </si>
  <si>
    <t>uc1.b298046</t>
  </si>
  <si>
    <t>006532135</t>
  </si>
  <si>
    <t>The poetry of life,</t>
  </si>
  <si>
    <t>uc2.ark:/13960/t1ng4m00r</t>
  </si>
  <si>
    <t>hvd.32044011743028</t>
  </si>
  <si>
    <t>006532149</t>
  </si>
  <si>
    <t>The actor's art; a practical treatise on stage declamation, public speaking, and deportment, for the use of artists, students, and amateurs, including a sketch on the history of the theatre, from the Greeks to the present time.</t>
  </si>
  <si>
    <t>Garcia, Gustave,</t>
  </si>
  <si>
    <t>uc1.b276138</t>
  </si>
  <si>
    <t>006519080</t>
  </si>
  <si>
    <t>The greater English poets of the nineteenth century,</t>
  </si>
  <si>
    <t>Payne, William Morton,</t>
  </si>
  <si>
    <t>uc2.ark:/13960/t6tx3mx0w</t>
  </si>
  <si>
    <t>uc1.b276140</t>
  </si>
  <si>
    <t>006519081</t>
  </si>
  <si>
    <t>Poets of the democracy /</t>
  </si>
  <si>
    <t>Martin, G. Currie</t>
  </si>
  <si>
    <t>uc1.b276142</t>
  </si>
  <si>
    <t>006519082</t>
  </si>
  <si>
    <t>Popular studies of nineteenth century poets.</t>
  </si>
  <si>
    <t>Mather, Marshall,</t>
  </si>
  <si>
    <t>uc2.ark:/13960/t2n58gg8x</t>
  </si>
  <si>
    <t>uc1.b276145</t>
  </si>
  <si>
    <t>006519084</t>
  </si>
  <si>
    <t>Lectures on the British poets /</t>
  </si>
  <si>
    <t>uc2.ark:/13960/t6542x80w</t>
  </si>
  <si>
    <t>uc1.b276155</t>
  </si>
  <si>
    <t>006519091</t>
  </si>
  <si>
    <t>Ideals of American poets,</t>
  </si>
  <si>
    <t>Duncan, Watson Boone,</t>
  </si>
  <si>
    <t>uc1.b276180</t>
  </si>
  <si>
    <t>006519103</t>
  </si>
  <si>
    <t>The principles of English verse /</t>
  </si>
  <si>
    <t>uc2.ark:/13960/t00z73q6n</t>
  </si>
  <si>
    <t>uc2.ark:/13960/t0bv7dn52</t>
  </si>
  <si>
    <t>006519109</t>
  </si>
  <si>
    <t>The poetry of the period /</t>
  </si>
  <si>
    <t>Austin, Alfred,</t>
  </si>
  <si>
    <t>uc1.b276198</t>
  </si>
  <si>
    <t>006519110</t>
  </si>
  <si>
    <t>The Elizabethan lyrists and their poetry,</t>
  </si>
  <si>
    <t>Cruse, Amy,</t>
  </si>
  <si>
    <t>uc1.b276203</t>
  </si>
  <si>
    <t>006519114</t>
  </si>
  <si>
    <t>A first book of poetics, for colleges and advanced schools,</t>
  </si>
  <si>
    <t>Shackford, Martha Hale,</t>
  </si>
  <si>
    <t>uc2.ark:/13960/t6ww7b46z</t>
  </si>
  <si>
    <t>uc1.b276210</t>
  </si>
  <si>
    <t>006519118</t>
  </si>
  <si>
    <t>English metres,</t>
  </si>
  <si>
    <t>Strunk, William,</t>
  </si>
  <si>
    <t>uc2.ark:/13960/t3kw5bh2k</t>
  </si>
  <si>
    <t>uc1.b276211</t>
  </si>
  <si>
    <t>006519119</t>
  </si>
  <si>
    <t>The laws of verse ; or principles of versification exemplified in metrical translations: together with an annotated reprint of the inaugural presidential address to the mathematical and physical section of the British Association at Exeter /</t>
  </si>
  <si>
    <t>uc1.b276456</t>
  </si>
  <si>
    <t>006519304</t>
  </si>
  <si>
    <t>Spoken drills and tests in English, a practice book,</t>
  </si>
  <si>
    <t>Cage, Mabel Vinson.</t>
  </si>
  <si>
    <t>uc1.b276457</t>
  </si>
  <si>
    <t>006519305</t>
  </si>
  <si>
    <t>An oral language practice book,</t>
  </si>
  <si>
    <t>uc1.b278494</t>
  </si>
  <si>
    <t>006520667</t>
  </si>
  <si>
    <t>Graded instruction in English : for the use of teachers /</t>
  </si>
  <si>
    <t>Bright, Orville T.</t>
  </si>
  <si>
    <t>Elocution for advanced pupils; a practical treatise</t>
  </si>
  <si>
    <t>Murray, John,</t>
  </si>
  <si>
    <t>uc1.b273609</t>
  </si>
  <si>
    <t>uc2.ark:/13960/t1ng4kj4f</t>
  </si>
  <si>
    <t>uc1.b273613</t>
  </si>
  <si>
    <t>006517351</t>
  </si>
  <si>
    <t>Key to French pronunciation</t>
  </si>
  <si>
    <t>Reynolds, Opal Pierce,</t>
  </si>
  <si>
    <t>uc1.b273614</t>
  </si>
  <si>
    <t>006517352</t>
  </si>
  <si>
    <t>Essentials of English : a textbook for schools /</t>
  </si>
  <si>
    <t>Rine, George W.,</t>
  </si>
  <si>
    <t>uc2.ark:/13960/t06w9917k</t>
  </si>
  <si>
    <t>uc1.b273624</t>
  </si>
  <si>
    <t>006517362</t>
  </si>
  <si>
    <t>The essentials of of our language : a guide to accuracy in the use of the English language /</t>
  </si>
  <si>
    <t>uc2.ark:/13960/t04x5777n</t>
  </si>
  <si>
    <t>uc1.b273625</t>
  </si>
  <si>
    <t>006517363</t>
  </si>
  <si>
    <t>Voice culture and elocution.</t>
  </si>
  <si>
    <t>Ross, William T.,</t>
  </si>
  <si>
    <t>uc2.ark:/13960/t5w66d880</t>
  </si>
  <si>
    <t>uc1.b273629</t>
  </si>
  <si>
    <t>006517366</t>
  </si>
  <si>
    <t>Student's guide in English /</t>
  </si>
  <si>
    <t>Stapp, Melvina.</t>
  </si>
  <si>
    <t>nyp.33433082504659</t>
  </si>
  <si>
    <t>006517369</t>
  </si>
  <si>
    <t>School elocution; a manual of vocal training in high schools, normal schools, and academies,</t>
  </si>
  <si>
    <t>Swett, John,</t>
  </si>
  <si>
    <t>uc1.b273632</t>
  </si>
  <si>
    <t>uc2.ark:/13960/t9377jf16</t>
  </si>
  <si>
    <t>hvd.hwkz43</t>
  </si>
  <si>
    <t>006518368</t>
  </si>
  <si>
    <t>Critical and historical essays, contributed to the Edinburgh Review.</t>
  </si>
  <si>
    <t>vol. 4</t>
  </si>
  <si>
    <t>hvd.hwkz44</t>
  </si>
  <si>
    <t>vol. 3</t>
  </si>
  <si>
    <t>hvd.hwkz4s</t>
  </si>
  <si>
    <t>vol. 5</t>
  </si>
  <si>
    <t>hvd.hwkz4t</t>
  </si>
  <si>
    <t>vol. 2</t>
  </si>
  <si>
    <t>hvd.32044011799186</t>
  </si>
  <si>
    <t>006518416</t>
  </si>
  <si>
    <t>Memoir of John Aikin, M. D.</t>
  </si>
  <si>
    <t>loc.ark:/13960/t3vt28m56</t>
  </si>
  <si>
    <t>uc1.b275052</t>
  </si>
  <si>
    <t>uc2.ark:/13960/t7xk87w9w</t>
  </si>
  <si>
    <t>nyp.33433074813266</t>
  </si>
  <si>
    <t>006518433</t>
  </si>
  <si>
    <t>Leisure labors; or, Miscellanies historical, literary, and political.</t>
  </si>
  <si>
    <t>Cobb, Joseph B.</t>
  </si>
  <si>
    <t>nyp.33433082509906</t>
  </si>
  <si>
    <t>uc1.b275078</t>
  </si>
  <si>
    <t>uc2.ark:/13960/t4th8fm9b</t>
  </si>
  <si>
    <t>yale.39002014268503</t>
  </si>
  <si>
    <t>loc.ark:/13960/t9k36cm2f</t>
  </si>
  <si>
    <t>006518587</t>
  </si>
  <si>
    <t>A manual of English prose literature, biographical and critical, designed mainly to show characteristics of style,</t>
  </si>
  <si>
    <t>uc1.b275329</t>
  </si>
  <si>
    <t>uc1.b275528</t>
  </si>
  <si>
    <t>006518700</t>
  </si>
  <si>
    <t>A history of English literature : in a series of biographical sketches /</t>
  </si>
  <si>
    <t>uc1.b276018</t>
  </si>
  <si>
    <t>006519010</t>
  </si>
  <si>
    <t>Sequel to the English reader : or, elegant selections in prose and poetry : designed to improve the highest class of learners in reading : to establish a taste for just and accurate composition : and to promote the interests of piety and virtue /</t>
  </si>
  <si>
    <t>uc1.b266911</t>
  </si>
  <si>
    <t>006513043</t>
  </si>
  <si>
    <t>Handbook of English composition; a compilation of standard rules and usage,</t>
  </si>
  <si>
    <t>uc2.ark:/13960/t4hm55j3b</t>
  </si>
  <si>
    <t>uc1.b266913</t>
  </si>
  <si>
    <t>006513044</t>
  </si>
  <si>
    <t>Nichol, John,</t>
  </si>
  <si>
    <t>uc2.ark:/13960/t2b856b1j</t>
  </si>
  <si>
    <t>uc1.b266914</t>
  </si>
  <si>
    <t>006513045</t>
  </si>
  <si>
    <t>A key to the exercises adapted to Murray's English grammar, calculated to enable private learners to become their own instructors, in grammar and composition.</t>
  </si>
  <si>
    <t>uc2.ark:/13960/t5v69cb0f</t>
  </si>
  <si>
    <t>hvd.hx5ps2</t>
  </si>
  <si>
    <t>006513242</t>
  </si>
  <si>
    <t>A primer of the Irish language, with copious reading lessons; for the use of the students in the College of St. Columba.</t>
  </si>
  <si>
    <t>uc1.b267192</t>
  </si>
  <si>
    <t>uc2.ark:/13960/t4sj1dn0d</t>
  </si>
  <si>
    <t>uva.x000758126</t>
  </si>
  <si>
    <t>uc1.b272568</t>
  </si>
  <si>
    <t>006516582</t>
  </si>
  <si>
    <t>Notes on Shakspere's versification : with appendix on the verse tests, and a short descriptiv bibliografy /</t>
  </si>
  <si>
    <t>uc2.ark:/13960/t55d8rh54</t>
  </si>
  <si>
    <t>hvd.hn1rgx</t>
  </si>
  <si>
    <t>006516583</t>
  </si>
  <si>
    <t>The English of Shakespeare : illustrated in a philological commentary on his Julius Caesar /</t>
  </si>
  <si>
    <t>uc1.b272656</t>
  </si>
  <si>
    <t>006516616</t>
  </si>
  <si>
    <t>Studies in Shakespeare /</t>
  </si>
  <si>
    <t>loc.ark:/13960/t2794rx86</t>
  </si>
  <si>
    <t>006516644</t>
  </si>
  <si>
    <t>uc1.b272711</t>
  </si>
  <si>
    <t>uc2.ark:/13960/t8qb9zg26</t>
  </si>
  <si>
    <t>uc1.b272901</t>
  </si>
  <si>
    <t>006516780</t>
  </si>
  <si>
    <t>American prose; selections,</t>
  </si>
  <si>
    <t>uc1.b273589</t>
  </si>
  <si>
    <t>006517334</t>
  </si>
  <si>
    <t>The accent of Latin words and the sounds of Latin letters,</t>
  </si>
  <si>
    <t>Colligan, James A.</t>
  </si>
  <si>
    <t>uc2.ark:/13960/t78s4nx0m</t>
  </si>
  <si>
    <t>uc1.b273590</t>
  </si>
  <si>
    <t>006517335</t>
  </si>
  <si>
    <t>A dictionary of English rhymes,</t>
  </si>
  <si>
    <t>uc2.ark:/13960/t13n23823</t>
  </si>
  <si>
    <t>uc1.b273591</t>
  </si>
  <si>
    <t>006517336</t>
  </si>
  <si>
    <t>A dictionary of English rhymes /</t>
  </si>
  <si>
    <t>uc1.b55948</t>
  </si>
  <si>
    <t>uc1.b273598</t>
  </si>
  <si>
    <t>006517340</t>
  </si>
  <si>
    <t>Elementary composition exercises,</t>
  </si>
  <si>
    <t>Hardy, Irène,</t>
  </si>
  <si>
    <t>uc1.b308337</t>
  </si>
  <si>
    <t>uc2.ark:/13960/t5gb21k17</t>
  </si>
  <si>
    <t>nyp.33433066604749</t>
  </si>
  <si>
    <t>006517348</t>
  </si>
  <si>
    <t>English grammar : adapted to the different classes of learners, with an appendix, containing rules and observations for assisting the more advanced students to write with perspicuity and accuracy /</t>
  </si>
  <si>
    <t>uc2.ark:/13960/t20c4wc7q</t>
  </si>
  <si>
    <t>uc1.b266878</t>
  </si>
  <si>
    <t>006513018</t>
  </si>
  <si>
    <t>Abridgment of Murray's English grammar : with an appendix, containing exercises in orthography, in parsing, in syntax, and in punctuation /</t>
  </si>
  <si>
    <t>uc2.ark:/13960/t70v8dp9n</t>
  </si>
  <si>
    <t>uc1.b266879</t>
  </si>
  <si>
    <t>006513019</t>
  </si>
  <si>
    <t>Grammatical questions,</t>
  </si>
  <si>
    <t>Bradley, Charles,</t>
  </si>
  <si>
    <t>uc1.b266893</t>
  </si>
  <si>
    <t>006513028</t>
  </si>
  <si>
    <t>The speaker; or, Miscellaneous pieces, selected from the best English writers, disposed under proper heads for the improvement of youth, in reading and speaking. To which are prefixed two essays: I. On elocution. II. On reading works of taste.</t>
  </si>
  <si>
    <t>njp.32101063584260</t>
  </si>
  <si>
    <t>006513031</t>
  </si>
  <si>
    <t>The English reader; or, Pieces in prose and poetry, selected from the best writers. Designed to assist young persons to read with propriety and effect; to improve their language and sentiments; and to inculcate some of the most important principles of piety and virtue. With a few preliminary observations on the principles of good reading.</t>
  </si>
  <si>
    <t>uc1.b266899</t>
  </si>
  <si>
    <t>006513032</t>
  </si>
  <si>
    <t>uc1.b266901</t>
  </si>
  <si>
    <t>006513034</t>
  </si>
  <si>
    <t>The English reader : or, Pieces in prose and poetry, selected from the best writers ... /</t>
  </si>
  <si>
    <t>uc2.ark:/13960/t6xw4bw41</t>
  </si>
  <si>
    <t>006513035</t>
  </si>
  <si>
    <t>The English reader; or, Pieces in prose and verse, from the best writers.</t>
  </si>
  <si>
    <t>uc1.b266903</t>
  </si>
  <si>
    <t>006513036</t>
  </si>
  <si>
    <t>Introduction to the English reader; or, A selection of pieces, in prose and poetry, calculated to improved the younger classes of learners in reading, and to imbue their minds with love of virtue. To which are added, rules and observations for assisting children to read with propriety.</t>
  </si>
  <si>
    <t>uc2.ark:/13960/t72v2gg18</t>
  </si>
  <si>
    <t>006513037</t>
  </si>
  <si>
    <t>The teaching of oral English,</t>
  </si>
  <si>
    <t>Bolenius, Emma Miller.</t>
  </si>
  <si>
    <t>uc1.b263551</t>
  </si>
  <si>
    <t>uc2.ark:/13960/t6b27sr08</t>
  </si>
  <si>
    <t>uc1.b263559</t>
  </si>
  <si>
    <t>006510908</t>
  </si>
  <si>
    <t>The teaching of English,</t>
  </si>
  <si>
    <t>Roberts, Albert Ernest.</t>
  </si>
  <si>
    <t>uc2.ark:/13960/t92808633</t>
  </si>
  <si>
    <t>uc1.b263560</t>
  </si>
  <si>
    <t>006510909</t>
  </si>
  <si>
    <t>uc2.ark:/13960/t81j9bd2q</t>
  </si>
  <si>
    <t>uc1.b266798</t>
  </si>
  <si>
    <t>006512945</t>
  </si>
  <si>
    <t>The schoolmaster/</t>
  </si>
  <si>
    <t>uc1.b266863</t>
  </si>
  <si>
    <t>006513003</t>
  </si>
  <si>
    <t>A brief English grammar on a logical method /</t>
  </si>
  <si>
    <t>uc2.ark:/13960/t1xd0tm31</t>
  </si>
  <si>
    <t>uc1.b266864</t>
  </si>
  <si>
    <t>006513004</t>
  </si>
  <si>
    <t>uc2.ark:/13960/t8bg2mh0v</t>
  </si>
  <si>
    <t>uc1.b266865</t>
  </si>
  <si>
    <t>006513005</t>
  </si>
  <si>
    <t>Elements of the English language: an introduction to the study of grammar and composition. For common schools.</t>
  </si>
  <si>
    <t>Bigsby, Bernard.</t>
  </si>
  <si>
    <t>uc2.ark:/13960/t2k64dk37</t>
  </si>
  <si>
    <t>uc1.b266866</t>
  </si>
  <si>
    <t>006513006</t>
  </si>
  <si>
    <t>The institutes of English grammar, methodically arranged; with forms of parsing and correcting, examples of parsing, questions for examination, false syntax for correction, exercises for writing, observations for the advanced student, methods of analysis, and a key to the oral exercises: to which are added four appendixes ...</t>
  </si>
  <si>
    <t>hvd.hn1t2g</t>
  </si>
  <si>
    <t>006513008</t>
  </si>
  <si>
    <t>An introduction to the study of English grammar /</t>
  </si>
  <si>
    <t>uc1.b266868</t>
  </si>
  <si>
    <t>uc2.ark:/13960/t47p8xc7g</t>
  </si>
  <si>
    <t>uc1.b266870</t>
  </si>
  <si>
    <t>006513010</t>
  </si>
  <si>
    <t>English grammar.</t>
  </si>
  <si>
    <t>Morris, Richard,</t>
  </si>
  <si>
    <t>uc2.ark:/13960/t6tx3867q</t>
  </si>
  <si>
    <t>uc1.b266871</t>
  </si>
  <si>
    <t>006513011</t>
  </si>
  <si>
    <t>[English grammar.</t>
  </si>
  <si>
    <t>uc1.b266874</t>
  </si>
  <si>
    <t>006513014</t>
  </si>
  <si>
    <t>English grammar, adapted to the different classes of learners: with an appendix; containing rules and observations for assisting the more advanced students to write with perspicuity and accuracy.</t>
  </si>
  <si>
    <t>uc2.ark:/13960/t1td9qx4s</t>
  </si>
  <si>
    <t>uc1.b266875</t>
  </si>
  <si>
    <t>006513015</t>
  </si>
  <si>
    <t>English grammar, adapted to the different classes of learners. With an appendix, containing rules and observations.</t>
  </si>
  <si>
    <t>uc1.b266876</t>
  </si>
  <si>
    <t>006513016</t>
  </si>
  <si>
    <t>Common-school literature, English and American : with several hundred extracts for literary culture /</t>
  </si>
  <si>
    <t>Westlake, J. Willis</t>
  </si>
  <si>
    <t>uc1.b261604</t>
  </si>
  <si>
    <t>006509674</t>
  </si>
  <si>
    <t>A short introduction to English versification,</t>
  </si>
  <si>
    <t>Pyre, James Francis Augustine,</t>
  </si>
  <si>
    <t>uc1.b261605</t>
  </si>
  <si>
    <t>006509675</t>
  </si>
  <si>
    <t>A brief extract of a new English prosody based upon the laws of English rhythm /</t>
  </si>
  <si>
    <t>uc1.b261606</t>
  </si>
  <si>
    <t>006509676</t>
  </si>
  <si>
    <t>The art of verse making,</t>
  </si>
  <si>
    <t>Jordan, Modeste Hannis.</t>
  </si>
  <si>
    <t>uc2.ark:/13960/t7vm45w79</t>
  </si>
  <si>
    <t>uc1.b261834</t>
  </si>
  <si>
    <t>006509838</t>
  </si>
  <si>
    <t>Hints on language in connection with sight-reading and writing in primary and intermedfiate schools.</t>
  </si>
  <si>
    <t>Bent, Samuel Arthur,</t>
  </si>
  <si>
    <t>uc2.ark:/13960/t24b30v7r</t>
  </si>
  <si>
    <t>uc1.b262253</t>
  </si>
  <si>
    <t>006510108</t>
  </si>
  <si>
    <t>A memoir of Roger Ascham.</t>
  </si>
  <si>
    <t>uc1.b262995</t>
  </si>
  <si>
    <t>006510603</t>
  </si>
  <si>
    <t>Thring, Edward.</t>
  </si>
  <si>
    <t>uc1.b263494</t>
  </si>
  <si>
    <t>006510870</t>
  </si>
  <si>
    <t>First steps in Americanization; a handbook for teachers,</t>
  </si>
  <si>
    <t>Mahoney, John Joseph,</t>
  </si>
  <si>
    <t>uc2.ark:/13960/t4hm55d03</t>
  </si>
  <si>
    <t>uc1.b263495</t>
  </si>
  <si>
    <t>006510871</t>
  </si>
  <si>
    <t>A method of teaching English to foreigners ...</t>
  </si>
  <si>
    <t>Reaman, George Elmore.</t>
  </si>
  <si>
    <t>uc1.b263497</t>
  </si>
  <si>
    <t>006510873</t>
  </si>
  <si>
    <t>The elementary course in English; a syllabus with graded lists and references,</t>
  </si>
  <si>
    <t>Hosic, James Fleming,</t>
  </si>
  <si>
    <t>uc2.ark:/13960/t51g0ms7f</t>
  </si>
  <si>
    <t>loc.ark:/13960/t7vm4vz8z</t>
  </si>
  <si>
    <t>006510878</t>
  </si>
  <si>
    <t>Live language lessons; teachers' manual,</t>
  </si>
  <si>
    <t>uc1.b263510</t>
  </si>
  <si>
    <t>uc2.ark:/13960/t39022812</t>
  </si>
  <si>
    <t>loc.ark:/13960/t2c82x642</t>
  </si>
  <si>
    <t>006510886</t>
  </si>
  <si>
    <t>English problems in the solving, for the junior and senior high schools,</t>
  </si>
  <si>
    <t>Simons, Sarah Emma,</t>
  </si>
  <si>
    <t>uc1.b263521</t>
  </si>
  <si>
    <t>uc2.ark:/13960/t0cv4fb5m</t>
  </si>
  <si>
    <t>uc1.b263531</t>
  </si>
  <si>
    <t>006510895</t>
  </si>
  <si>
    <t>Sound and symbol, a scheme of instruction, introductory to school courses in modern languages and shorthand,</t>
  </si>
  <si>
    <t>Findlay, J. J.</t>
  </si>
  <si>
    <t>uc1.b263532</t>
  </si>
  <si>
    <t>006510896</t>
  </si>
  <si>
    <t>The History and pedagogy of reading. With a review of the history of reading and writing and of methods, texts, and hygiene in reading,</t>
  </si>
  <si>
    <t>loc.ark:/13960/t4dn4z29h</t>
  </si>
  <si>
    <t>006510903</t>
  </si>
  <si>
    <t>Technical exposition; a textbook on the application of exposition to technical writing, designed for students in scientific, agricultural, and engineering colleges,</t>
  </si>
  <si>
    <t>Thompson, Karl Owen,</t>
  </si>
  <si>
    <t>uc2.ark:/13960/t9q23v385</t>
  </si>
  <si>
    <t>uc1.b258663</t>
  </si>
  <si>
    <t>006507640</t>
  </si>
  <si>
    <t>The principles of composition /</t>
  </si>
  <si>
    <t>Pearson, Henry Greenleaf,</t>
  </si>
  <si>
    <t>uc2.ark:/13960/t7np20j0f</t>
  </si>
  <si>
    <t>uc1.b258666</t>
  </si>
  <si>
    <t>006507642</t>
  </si>
  <si>
    <t>The principles of argumentation /</t>
  </si>
  <si>
    <t>uc2.ark:/13960/t7rn33681</t>
  </si>
  <si>
    <t>nyp.33433082523634</t>
  </si>
  <si>
    <t>006507644</t>
  </si>
  <si>
    <t>Essentials of exposition and argument; a manual for high schools, academies, and debating clubs,</t>
  </si>
  <si>
    <t>Foster, William Trufant,</t>
  </si>
  <si>
    <t>uc1.b258669</t>
  </si>
  <si>
    <t>uc2.ark:/13960/t2j67ck9j</t>
  </si>
  <si>
    <t>uc1.b258683</t>
  </si>
  <si>
    <t>006507654</t>
  </si>
  <si>
    <t>Laycock, Craven,</t>
  </si>
  <si>
    <t>uc2.ark:/13960/t7np20n94</t>
  </si>
  <si>
    <t>uc1.b259726</t>
  </si>
  <si>
    <t>006508363</t>
  </si>
  <si>
    <t>Petite phonétique comparée des principales langues européennes,</t>
  </si>
  <si>
    <t>Passy, Paul,</t>
  </si>
  <si>
    <t>uc2.ark:/13960/t85h7fg01</t>
  </si>
  <si>
    <t>uc1.b259803</t>
  </si>
  <si>
    <t>006508410</t>
  </si>
  <si>
    <t>The science of speech; an elementary manual of English phonetics for teachers,</t>
  </si>
  <si>
    <t>Dumville, Benjamin.</t>
  </si>
  <si>
    <t>uc1.b259806</t>
  </si>
  <si>
    <t>006508411</t>
  </si>
  <si>
    <t>uc2.ark:/13960/t7jq0wt6b</t>
  </si>
  <si>
    <t>uc1.b259853</t>
  </si>
  <si>
    <t>006508444</t>
  </si>
  <si>
    <t>An answer to the question 'what is poetry?' including remarks on versification.</t>
  </si>
  <si>
    <t>uc2.ark:/13960/t1td9tg9m</t>
  </si>
  <si>
    <t>uc1.b259857</t>
  </si>
  <si>
    <t>006508447</t>
  </si>
  <si>
    <t>Written English; a guide to the rules of composition,</t>
  </si>
  <si>
    <t>Erskine, John,</t>
  </si>
  <si>
    <t>uc2.ark:/13960/t9377909b</t>
  </si>
  <si>
    <t>uc1.b259929</t>
  </si>
  <si>
    <t>006508474</t>
  </si>
  <si>
    <t>The School board readers : standard IV : adapted to the requirements of the new code, 1871 /</t>
  </si>
  <si>
    <t>uc2.ark:/13960/t6sx67585</t>
  </si>
  <si>
    <t>uc1.b259930</t>
  </si>
  <si>
    <t>006508475</t>
  </si>
  <si>
    <t>The School board readers : standard V : adapted to the requirements of the new code, 1871 /</t>
  </si>
  <si>
    <t>uc2.ark:/13960/t53f4ph8z</t>
  </si>
  <si>
    <t>uc1.b260562</t>
  </si>
  <si>
    <t>006508941</t>
  </si>
  <si>
    <t>The English language: suggestions for its correct and fluent use without technical grammar,</t>
  </si>
  <si>
    <t>Saul, S. S.</t>
  </si>
  <si>
    <t>uc2.ark:/13960/t86h4gs6j</t>
  </si>
  <si>
    <t>uc1.b261538</t>
  </si>
  <si>
    <t>006509627</t>
  </si>
  <si>
    <t>uc2.ark:/13960/t07w69q29</t>
  </si>
  <si>
    <t>nyp.33433082513718</t>
  </si>
  <si>
    <t>006507605</t>
  </si>
  <si>
    <t>Composition planning /</t>
  </si>
  <si>
    <t>Opdycke, John B.</t>
  </si>
  <si>
    <t>uc1.b258605</t>
  </si>
  <si>
    <t>uc2.ark:/13960/t6251jj3d</t>
  </si>
  <si>
    <t>uc1.b258611</t>
  </si>
  <si>
    <t>006507607</t>
  </si>
  <si>
    <t>uc1.b258614</t>
  </si>
  <si>
    <t>006507609</t>
  </si>
  <si>
    <t>nyp.33433074803044</t>
  </si>
  <si>
    <t>006507610</t>
  </si>
  <si>
    <t>The well of English and the bucket,</t>
  </si>
  <si>
    <t>Johnson, Burges,</t>
  </si>
  <si>
    <t>uc1.b258619</t>
  </si>
  <si>
    <t>uc2.ark:/13960/t4hm56s5v</t>
  </si>
  <si>
    <t>uc1.b258620</t>
  </si>
  <si>
    <t>006507611</t>
  </si>
  <si>
    <t>Composition and rhetoric based on literary models,</t>
  </si>
  <si>
    <t>Kavana, Rose M.</t>
  </si>
  <si>
    <t>uc2.ark:/13960/t4dn42n9c</t>
  </si>
  <si>
    <t>uc1.b258621</t>
  </si>
  <si>
    <t>006507612</t>
  </si>
  <si>
    <t>Oral composition; a text book for high schools,</t>
  </si>
  <si>
    <t>Ward, Cornelia Carhart,</t>
  </si>
  <si>
    <t>uc2.ark:/13960/t2n58g73c</t>
  </si>
  <si>
    <t>uc1.b258623</t>
  </si>
  <si>
    <t>006507613</t>
  </si>
  <si>
    <t>English for business, as applied in commercial, technical, and other secondary schools,</t>
  </si>
  <si>
    <t>uc2.ark:/13960/t5cc0xp0h</t>
  </si>
  <si>
    <t>uc1.b258624</t>
  </si>
  <si>
    <t>006507614</t>
  </si>
  <si>
    <t>English for secondary schools,</t>
  </si>
  <si>
    <t>Webster, W. F.</t>
  </si>
  <si>
    <t>uc2.ark:/13960/t9n29s957</t>
  </si>
  <si>
    <t>uc1.b258632</t>
  </si>
  <si>
    <t>006507621</t>
  </si>
  <si>
    <t>uc1.b258641</t>
  </si>
  <si>
    <t>006507626</t>
  </si>
  <si>
    <t>Drill book in vocal culture and gesture /</t>
  </si>
  <si>
    <t>Thwing, Edward Payson,</t>
  </si>
  <si>
    <t>uc1.b258647</t>
  </si>
  <si>
    <t>006507630</t>
  </si>
  <si>
    <t>Tarbell's lessons in language /</t>
  </si>
  <si>
    <t>bk.2</t>
  </si>
  <si>
    <t>Tarbell, H. S.</t>
  </si>
  <si>
    <t>uc2.ark:/13960/t4th8fc58</t>
  </si>
  <si>
    <t>uc1.b258653</t>
  </si>
  <si>
    <t>006507632</t>
  </si>
  <si>
    <t>Thought-building in composition, a training-manual in the method and mechanics of writing, with a supplementary division on journalistic writing as a means of practice,</t>
  </si>
  <si>
    <t>Neal, Robert Wilson,</t>
  </si>
  <si>
    <t>uc2.ark:/13960/t6zw1cn2h</t>
  </si>
  <si>
    <t>uc1.b258654</t>
  </si>
  <si>
    <t>006507633</t>
  </si>
  <si>
    <t>Good English in good form,</t>
  </si>
  <si>
    <t>Ranous, Dora Knowlton,</t>
  </si>
  <si>
    <t>uc2.ark:/13960/t7kp7ws13</t>
  </si>
  <si>
    <t>uc1.b258655</t>
  </si>
  <si>
    <t>006507634</t>
  </si>
  <si>
    <t>Specimens of exposition and agrument,</t>
  </si>
  <si>
    <t>Percival, Milton Oswin,</t>
  </si>
  <si>
    <t>uc2.ark:/13960/t55d8sr65</t>
  </si>
  <si>
    <t>uc2.ark:/13960/t7hq3vx7k</t>
  </si>
  <si>
    <t>uc1.b258658</t>
  </si>
  <si>
    <t>006507636</t>
  </si>
  <si>
    <t>Practical elocution; for use in colleges and schools, and by private students.</t>
  </si>
  <si>
    <t>Shoemaker, J. W.</t>
  </si>
  <si>
    <t>uc1.b258661</t>
  </si>
  <si>
    <t>006507639</t>
  </si>
  <si>
    <t>Fulton, Edward,</t>
  </si>
  <si>
    <t>uc2.ark:/13960/t6j10058v</t>
  </si>
  <si>
    <t>nyp.33433082513585</t>
  </si>
  <si>
    <t>006507406</t>
  </si>
  <si>
    <t>Sentences and thinking; a practice book in sentence making,</t>
  </si>
  <si>
    <t>Foerster, Norman,</t>
  </si>
  <si>
    <t>uc1.b258297</t>
  </si>
  <si>
    <t>uc2.ark:/13960/t8pc2x95c</t>
  </si>
  <si>
    <t>uc1.b258300</t>
  </si>
  <si>
    <t>006507408</t>
  </si>
  <si>
    <t>A handbook of exposition.</t>
  </si>
  <si>
    <t>Jelliffe, Robert Archibald,</t>
  </si>
  <si>
    <t>uc2.ark:/13960/t9c53j588</t>
  </si>
  <si>
    <t>uva.x000392423</t>
  </si>
  <si>
    <t>uc1.b258302</t>
  </si>
  <si>
    <t>006507409</t>
  </si>
  <si>
    <t>Business English, its principles and practice,</t>
  </si>
  <si>
    <t>Hotchkiss, George Burton,</t>
  </si>
  <si>
    <t>uc1.b307964</t>
  </si>
  <si>
    <t>uc2.ark:/13960/t3416wq90</t>
  </si>
  <si>
    <t>nyp.33433082502901</t>
  </si>
  <si>
    <t>006507411</t>
  </si>
  <si>
    <t>Enlarged practice-book in English composition /</t>
  </si>
  <si>
    <t>uc1.b258306</t>
  </si>
  <si>
    <t>uc2.ark:/13960/t6639p419</t>
  </si>
  <si>
    <t>uc1.b258308</t>
  </si>
  <si>
    <t>006507412</t>
  </si>
  <si>
    <t>uc2.ark:/13960/t08w3mm3b</t>
  </si>
  <si>
    <t>uc1.b258311</t>
  </si>
  <si>
    <t>006507414</t>
  </si>
  <si>
    <t>Written English; a course of lessons in the main things to know in order to write English correctly,</t>
  </si>
  <si>
    <t>Woolley, Edwin Campbell,</t>
  </si>
  <si>
    <t>uc2.ark:/13960/t9n29sh5x</t>
  </si>
  <si>
    <t>uc1.b258326</t>
  </si>
  <si>
    <t>006507420</t>
  </si>
  <si>
    <t>The might and mirth of literature. A treatise on figurative language. In which upwards of six hundred writers are referred to, and two hundred and twenty figures illustrated ...</t>
  </si>
  <si>
    <t>Macbeth, John Walker Vilant.</t>
  </si>
  <si>
    <t>uc2.ark:/13960/t8bg2mc40</t>
  </si>
  <si>
    <t>uc1.b258567</t>
  </si>
  <si>
    <t>006507587</t>
  </si>
  <si>
    <t>Specimens of exposition /</t>
  </si>
  <si>
    <t>Lamont, Hammond,</t>
  </si>
  <si>
    <t>uc2.ark:/13960/t5v69c59j</t>
  </si>
  <si>
    <t>uc1.b258575</t>
  </si>
  <si>
    <t>006507592</t>
  </si>
  <si>
    <t>A first book in writing English,</t>
  </si>
  <si>
    <t>uc1.b307969</t>
  </si>
  <si>
    <t>uc2.ark:/13960/t5s75bt8c</t>
  </si>
  <si>
    <t>nyp.33433069256463</t>
  </si>
  <si>
    <t>006507593</t>
  </si>
  <si>
    <t>Fundamental English,</t>
  </si>
  <si>
    <t>McNichols, John Patrick,</t>
  </si>
  <si>
    <t>uc1.b258578</t>
  </si>
  <si>
    <t>uc2.ark:/13960/t2g739r95</t>
  </si>
  <si>
    <t>nyp.33433082512256</t>
  </si>
  <si>
    <t>006507597</t>
  </si>
  <si>
    <t>Writing in English; a modern school composition,</t>
  </si>
  <si>
    <t>uc1.b258592</t>
  </si>
  <si>
    <t>uc2.ark:/13960/t4wh2h60s</t>
  </si>
  <si>
    <t>uc1.b258603</t>
  </si>
  <si>
    <t>006507603</t>
  </si>
  <si>
    <t>Elements of composition and rhetoric,</t>
  </si>
  <si>
    <t>Waddy, Virginia.</t>
  </si>
  <si>
    <t>uc2.ark:/13960/t55d8r99c</t>
  </si>
  <si>
    <t>uc1.b258604</t>
  </si>
  <si>
    <t>006507604</t>
  </si>
  <si>
    <t>The elements of rhetoric and composition,</t>
  </si>
  <si>
    <t>Thorndike, Ashley Horace,</t>
  </si>
  <si>
    <t>uc2.ark:/13960/t1td9qs6z</t>
  </si>
  <si>
    <t>uc1.b258247</t>
  </si>
  <si>
    <t>006507372</t>
  </si>
  <si>
    <t>Handbook of best readings;</t>
  </si>
  <si>
    <t>Clark, S. H.</t>
  </si>
  <si>
    <t>uc1.b258253</t>
  </si>
  <si>
    <t>006507377</t>
  </si>
  <si>
    <t>Choice readings for public and private entertainments, and for the use of schools, colleges and public readers, with elocutionary advice /</t>
  </si>
  <si>
    <t>uc2.ark:/13960/t6xw4br85</t>
  </si>
  <si>
    <t>nyp.33433066604673</t>
  </si>
  <si>
    <t>006507388</t>
  </si>
  <si>
    <t>The principle of oral English,</t>
  </si>
  <si>
    <t>Palmer, Erastus.</t>
  </si>
  <si>
    <t>uc1.b258267</t>
  </si>
  <si>
    <t>uc2.ark:/13960/t6639p387</t>
  </si>
  <si>
    <t>nyp.33433069254492</t>
  </si>
  <si>
    <t>006507390</t>
  </si>
  <si>
    <t>Expressive English /</t>
  </si>
  <si>
    <t>nyp.33433081982187</t>
  </si>
  <si>
    <t>uc1.b258270</t>
  </si>
  <si>
    <t>uc2.ark:/13960/t2h709b2k</t>
  </si>
  <si>
    <t>uc1.b258271</t>
  </si>
  <si>
    <t>006507391</t>
  </si>
  <si>
    <t>English composition in theory and practice /</t>
  </si>
  <si>
    <t>uc2.ark:/13960/t43r0r911</t>
  </si>
  <si>
    <t>uc1.b258272</t>
  </si>
  <si>
    <t>006507392</t>
  </si>
  <si>
    <t>uc2.ark:/13960/t0ks6mn3p</t>
  </si>
  <si>
    <t>uc1.b258275</t>
  </si>
  <si>
    <t>006507393</t>
  </si>
  <si>
    <t>Rhetorical praxis. The principles of rhetoric, exemplified and applied in copious exercises for systematic practice, chiefly in the development of the thought. For use in Schools and colleges.</t>
  </si>
  <si>
    <t>uc2.ark:/13960/t9c53j59r</t>
  </si>
  <si>
    <t>uc1.b258277</t>
  </si>
  <si>
    <t>006507394</t>
  </si>
  <si>
    <t>Freshman English and theme-correcting in Harvard college,</t>
  </si>
  <si>
    <t>Copeland, Charles Townsend,</t>
  </si>
  <si>
    <t>nyp.33433069253551</t>
  </si>
  <si>
    <t>006507395</t>
  </si>
  <si>
    <t>Illustrated lessons in composition and rhetoric,</t>
  </si>
  <si>
    <t>Clippinger, Erle Elsworth,</t>
  </si>
  <si>
    <t>uc1.b258278</t>
  </si>
  <si>
    <t>uc2.ark:/13960/t2k64df6w</t>
  </si>
  <si>
    <t>uc1.b258281</t>
  </si>
  <si>
    <t>006507396</t>
  </si>
  <si>
    <t>Lessons in English for foreign women; for use in settlements and evening schools,</t>
  </si>
  <si>
    <t>Austin, Ruth.</t>
  </si>
  <si>
    <t>uc2.ark:/13960/t20c4w82z</t>
  </si>
  <si>
    <t>uc1.b258282</t>
  </si>
  <si>
    <t>006507397</t>
  </si>
  <si>
    <t>Oratory sacred and secular; or, The extemporaneous speaker, with sketches of the most eminent speakers of all ages.</t>
  </si>
  <si>
    <t>Pittenger, William,</t>
  </si>
  <si>
    <t>uc2.ark:/13960/t11n8178c</t>
  </si>
  <si>
    <t>nyp.33433082512215</t>
  </si>
  <si>
    <t>006507403</t>
  </si>
  <si>
    <t>The working principles of rhetoric examined in their literary relations and illustrated with examples /</t>
  </si>
  <si>
    <t>uc1.b258292</t>
  </si>
  <si>
    <t>uc1.b258295</t>
  </si>
  <si>
    <t>006507405</t>
  </si>
  <si>
    <t>English prose composition, with illustrative examples,</t>
  </si>
  <si>
    <t>An analysis of the derivative words in the English language : or, A key to their precise analytic definitions, by prefixes and suffixes ... /</t>
  </si>
  <si>
    <t>uc2.ark:/13960/t8z895f2q</t>
  </si>
  <si>
    <t>nyp.33433082310800</t>
  </si>
  <si>
    <t>006507306</t>
  </si>
  <si>
    <t>The structure of the English sentence,</t>
  </si>
  <si>
    <t>uc1.b258136</t>
  </si>
  <si>
    <t>uc1.b258145</t>
  </si>
  <si>
    <t>006507311</t>
  </si>
  <si>
    <t>A manual of etymology : containing Latin &amp; Greek derivatives : with a key, giving the prefix, root, and suffix /</t>
  </si>
  <si>
    <t>Webb, A. C.</t>
  </si>
  <si>
    <t>uc2.ark:/13960/t6b27sn6t</t>
  </si>
  <si>
    <t>uc1.b258157</t>
  </si>
  <si>
    <t>006507318</t>
  </si>
  <si>
    <t>Writing and speaking, a text-book of rhetoric,</t>
  </si>
  <si>
    <t>uc1.b258158</t>
  </si>
  <si>
    <t>uc1.b258169</t>
  </si>
  <si>
    <t>006507320</t>
  </si>
  <si>
    <t>Philosophy of rhetoric. By John Bascom ...</t>
  </si>
  <si>
    <t>uc2.ark:/13960/t22b8z16c</t>
  </si>
  <si>
    <t>uc1.b258176</t>
  </si>
  <si>
    <t>006507325</t>
  </si>
  <si>
    <t>Elements of rhetoric and English composition: first and second high school courses,</t>
  </si>
  <si>
    <t>uc2.ark:/13960/t1qf8n385</t>
  </si>
  <si>
    <t>nyp.33433082512306</t>
  </si>
  <si>
    <t>006507326</t>
  </si>
  <si>
    <t>Composition-rhetoric /</t>
  </si>
  <si>
    <t>uc1.b258177</t>
  </si>
  <si>
    <t>uc1.b307918</t>
  </si>
  <si>
    <t>nyp.33433069253577</t>
  </si>
  <si>
    <t>006507327</t>
  </si>
  <si>
    <t>Business English : a practice book /</t>
  </si>
  <si>
    <t>Buhlig, Rose,</t>
  </si>
  <si>
    <t>uc1.b258178</t>
  </si>
  <si>
    <t>uc2.ark:/13960/t2k64df3f</t>
  </si>
  <si>
    <t>uc1.b258192</t>
  </si>
  <si>
    <t>006507336</t>
  </si>
  <si>
    <t>Foundations of expression : studies and problems for developing the voice, body, and mind in reading and speaking /</t>
  </si>
  <si>
    <t>uc2.ark:/13960/t7wm16t4j</t>
  </si>
  <si>
    <t>uc1.b258219</t>
  </si>
  <si>
    <t>006507353</t>
  </si>
  <si>
    <t>Paragraph writing,</t>
  </si>
  <si>
    <t>uc1.b258224</t>
  </si>
  <si>
    <t>006507357</t>
  </si>
  <si>
    <t>Self-cultivation in English and The glory of the imperfect /</t>
  </si>
  <si>
    <t>uc2.ark:/13960/t0dv1g57x</t>
  </si>
  <si>
    <t>njp.32101064792201</t>
  </si>
  <si>
    <t>006507358</t>
  </si>
  <si>
    <t>Primer of elocution and action /</t>
  </si>
  <si>
    <t>uc1.b258225</t>
  </si>
  <si>
    <t>uc2.ark:/13960/t8v982r7z</t>
  </si>
  <si>
    <t>njp.32101063584427</t>
  </si>
  <si>
    <t>006507360</t>
  </si>
  <si>
    <t>The rhetoric of oratory,</t>
  </si>
  <si>
    <t>uc1.b258227</t>
  </si>
  <si>
    <t>uc2.ark:/13960/t2d797z67</t>
  </si>
  <si>
    <t>uc1.b258231</t>
  </si>
  <si>
    <t>006507363</t>
  </si>
  <si>
    <t>The science of discourse; a rhetoric for high schools and colleges,</t>
  </si>
  <si>
    <t>Tompkins, Arnold.</t>
  </si>
  <si>
    <t>uc2.ark:/13960/t4rj4f19x</t>
  </si>
  <si>
    <t>uc1.b258238</t>
  </si>
  <si>
    <t>006507367</t>
  </si>
  <si>
    <t>Written and oral composition,</t>
  </si>
  <si>
    <t>Sampson, Martin Wright,</t>
  </si>
  <si>
    <t>uc2.ark:/13960/t15m64t2g</t>
  </si>
  <si>
    <t>uc1.b258058</t>
  </si>
  <si>
    <t>006507261</t>
  </si>
  <si>
    <t>nyp.33433066604699</t>
  </si>
  <si>
    <t>006507262</t>
  </si>
  <si>
    <t>The essentials of elocution / by Alfred Ayres.</t>
  </si>
  <si>
    <t>Ayres, Alfred,</t>
  </si>
  <si>
    <t>uc1.b258062</t>
  </si>
  <si>
    <t>uc2.ark:/13960/t0js9kq5z</t>
  </si>
  <si>
    <t>uc1.b258072</t>
  </si>
  <si>
    <t>006507267</t>
  </si>
  <si>
    <t>Handbook for teachers of interpretation; a textbook for teachers and for prospective teachers of oral expression in high schools and in colleges,</t>
  </si>
  <si>
    <t>Babcock, Maud May,</t>
  </si>
  <si>
    <t>njp.32101064791914</t>
  </si>
  <si>
    <t>006507274</t>
  </si>
  <si>
    <t>Elocution: the sources and elements of its power. A textbook for schools and colleges, and a book for every public speaker, and student of the English language.</t>
  </si>
  <si>
    <t>uc1.b258083</t>
  </si>
  <si>
    <t>uc2.ark:/13960/t53f4ph5h</t>
  </si>
  <si>
    <t>nyp.33433082522586</t>
  </si>
  <si>
    <t>006507278</t>
  </si>
  <si>
    <t>The speaking voice : principles of training simplified and condensed /</t>
  </si>
  <si>
    <t>uc1.b258088</t>
  </si>
  <si>
    <t>uc2.ark:/13960/t6k070w9c</t>
  </si>
  <si>
    <t>nyp.33433066584495</t>
  </si>
  <si>
    <t>006507284</t>
  </si>
  <si>
    <t>Advanced readings and recitations,</t>
  </si>
  <si>
    <t>Fletcher, Austin Barclay,</t>
  </si>
  <si>
    <t>uc1.b258100</t>
  </si>
  <si>
    <t>uc1.b307766</t>
  </si>
  <si>
    <t>uc2.ark:/13960/t45q4vc8b</t>
  </si>
  <si>
    <t>uc1.b258112</t>
  </si>
  <si>
    <t>006507291</t>
  </si>
  <si>
    <t>Teutonic etymology : the formation of Teutonic words in the English language /</t>
  </si>
  <si>
    <t>Gibbs, Josiah W.</t>
  </si>
  <si>
    <t>uc2.ark:/13960/t83j3d429</t>
  </si>
  <si>
    <t>uc1.b258115</t>
  </si>
  <si>
    <t>006507292</t>
  </si>
  <si>
    <t>Word-building. Fifty lessons, combining Latin, Greek, and Anglo-Saxon roots, prefixes, and suffixes, into about fifty-five hundred common derivative words in English, with a brief history of the English language.</t>
  </si>
  <si>
    <t>uc2.ark:/13960/t8pc2x87w</t>
  </si>
  <si>
    <t>uc1.b258123</t>
  </si>
  <si>
    <t>006507298</t>
  </si>
  <si>
    <t>An Analysis of derivative words in the English language : or, A key to their precise analytic definitions, by prefixes and suffixes /</t>
  </si>
  <si>
    <t>Town, Salem,</t>
  </si>
  <si>
    <t>uc1.b258129</t>
  </si>
  <si>
    <t>006507301</t>
  </si>
  <si>
    <t>Words and their uses, past and present. A study of the English language.</t>
  </si>
  <si>
    <t>uc2.ark:/13960/fk74t6fm31</t>
  </si>
  <si>
    <t>uc1.b258130</t>
  </si>
  <si>
    <t>006507302</t>
  </si>
  <si>
    <t>uc1.b258132</t>
  </si>
  <si>
    <t>006507303</t>
  </si>
  <si>
    <t>Public speaking for normal and academy students,</t>
  </si>
  <si>
    <t>Raine, James Watt.</t>
  </si>
  <si>
    <t>uc2.ark:/13960/t5r788g4z</t>
  </si>
  <si>
    <t>uc1.b257993</t>
  </si>
  <si>
    <t>006507219</t>
  </si>
  <si>
    <t>Vocal expression in speech; a treatise on the fundamentals of public speaking adapted to the use of colleges and universities,</t>
  </si>
  <si>
    <t>Gordon, Henry Evarts,</t>
  </si>
  <si>
    <t>uc2.ark:/13960/t9h41nq3d</t>
  </si>
  <si>
    <t>uc1.b257994</t>
  </si>
  <si>
    <t>006507220</t>
  </si>
  <si>
    <t>Analysis of the principles of rhetorical delivery as applied in reading and speaking.</t>
  </si>
  <si>
    <t>Porter, Ebenezer,</t>
  </si>
  <si>
    <t>uc2.ark:/13960/t3qv3fz19</t>
  </si>
  <si>
    <t>uc1.b258002</t>
  </si>
  <si>
    <t>006507225</t>
  </si>
  <si>
    <t>Reasonable elocution. A text-book for schools, colleges, clergymen, lawyers, actors, etc.</t>
  </si>
  <si>
    <t>Graham, F. Taverner.</t>
  </si>
  <si>
    <t>uc2.ark:/13960/t6542n64m</t>
  </si>
  <si>
    <t>uc1.b258009</t>
  </si>
  <si>
    <t>006507228</t>
  </si>
  <si>
    <t>Lives enshrined in language : or, proper names which have become common parts of speech /</t>
  </si>
  <si>
    <t>Stenhouse, Thomas.</t>
  </si>
  <si>
    <t>uc2.ark:/13960/t6m041t0q</t>
  </si>
  <si>
    <t>uc1.b258012</t>
  </si>
  <si>
    <t>006507231</t>
  </si>
  <si>
    <t>A grammar containing the etymology and syntax of the English language : for advanced grammar grades, and for high schools, academies, etc. /</t>
  </si>
  <si>
    <t>uc2.ark:/13960/t1qf8n33r</t>
  </si>
  <si>
    <t>uc1.b258020</t>
  </si>
  <si>
    <t>006507237</t>
  </si>
  <si>
    <t>uc2.ark:/13960/t0qr4r625</t>
  </si>
  <si>
    <t>uc1.b258022</t>
  </si>
  <si>
    <t>006507239</t>
  </si>
  <si>
    <t>Graded exercises in analysis, synthesis, and false syntax, with an exemplified outline of the classification of sentences and causes, and a table of diacritical marks, with questions.</t>
  </si>
  <si>
    <t>Parshall, N. C.</t>
  </si>
  <si>
    <t>uc2.ark:/13960/t2988594z</t>
  </si>
  <si>
    <t>uc1.b258028</t>
  </si>
  <si>
    <t>006507244</t>
  </si>
  <si>
    <t>Principles of vocal expression : being a revision of the Rhetoric of vocal expression /</t>
  </si>
  <si>
    <t>Chamberlain, Wm. B.</t>
  </si>
  <si>
    <t>uc2.ark:/13960/t4gm84f1f</t>
  </si>
  <si>
    <t>uc1.b258032</t>
  </si>
  <si>
    <t>006507246</t>
  </si>
  <si>
    <t>Elocutionary manual : the principles of elocution ; with exercises and notations /</t>
  </si>
  <si>
    <t>uc1.b258034</t>
  </si>
  <si>
    <t>006507247</t>
  </si>
  <si>
    <t>Essentials of public speaking ; for secondary schools /</t>
  </si>
  <si>
    <t>uc1.b258046</t>
  </si>
  <si>
    <t>006507252</t>
  </si>
  <si>
    <t>A system of elocution, with special reference to gesture, to the treatment of stammering, and defective articulation ...</t>
  </si>
  <si>
    <t>Comstock, Andrew,</t>
  </si>
  <si>
    <t>Greene, Samuel Stillman,</t>
  </si>
  <si>
    <t>uc2.ark:/13960/t4pk09s7c</t>
  </si>
  <si>
    <t>uc1.b257826</t>
  </si>
  <si>
    <t>006507132</t>
  </si>
  <si>
    <t>The pronunciation of 10,000 proper names; giving famous geographical and biographical names, names of books, works of art, characters in fiction, foreign titles, etc.</t>
  </si>
  <si>
    <t>uc2.ark:/13960/t7gq6v15s</t>
  </si>
  <si>
    <t>uc1.b257828</t>
  </si>
  <si>
    <t>006507133</t>
  </si>
  <si>
    <t>First lessons in grammar : based upon the construction and analysis of sentences : designed as an introduction to the "analysis of sentences" /</t>
  </si>
  <si>
    <t>uc2.ark:/13960/t5k934067</t>
  </si>
  <si>
    <t>uc1.b257843</t>
  </si>
  <si>
    <t>006507143</t>
  </si>
  <si>
    <t>English reader; or, Pieces in prose and poetry, selected from the best writers. Designed to assist young persons to read with propriety and effect ... With a few preliminary observations on the principles of good reading improved by the addition of a concordant and synonymising vocabulary ...</t>
  </si>
  <si>
    <t>uc1.b257847</t>
  </si>
  <si>
    <t>006507145</t>
  </si>
  <si>
    <t>On the study of words.</t>
  </si>
  <si>
    <t>uc2.ark:/13960/t5m904w9h</t>
  </si>
  <si>
    <t>uc1.b257872</t>
  </si>
  <si>
    <t>006507154</t>
  </si>
  <si>
    <t>The science of elocution : with exercises and selections systematically arranged for acquiring the art of reading and speaking /</t>
  </si>
  <si>
    <t>Hamill, S. S.</t>
  </si>
  <si>
    <t>uc2.ark:/13960/t3rv0gp38</t>
  </si>
  <si>
    <t>uc1.b257874</t>
  </si>
  <si>
    <t>006507156</t>
  </si>
  <si>
    <t>Elocution simplified : with an appendix on lisping, stammering, stuttering, and other defects of speech /</t>
  </si>
  <si>
    <t>Fobes, Walter K.</t>
  </si>
  <si>
    <t>uc2.ark:/13960/t44q7th53</t>
  </si>
  <si>
    <t>uc1.b257888</t>
  </si>
  <si>
    <t>006507167</t>
  </si>
  <si>
    <t>The essentials of English composition,</t>
  </si>
  <si>
    <t>Linn, James Weber,</t>
  </si>
  <si>
    <t>uc2.ark:/13960/t2w37pf9j</t>
  </si>
  <si>
    <t>uc1.b257911</t>
  </si>
  <si>
    <t>006507175</t>
  </si>
  <si>
    <t>A system of rhetoric, in a method entirely new; ccontaining all the tropes and figures necessary to illustrate the classics, both poetical and historical.</t>
  </si>
  <si>
    <t>Stirling, John,</t>
  </si>
  <si>
    <t>uc2.ark:/13960/t1hh6fr0d</t>
  </si>
  <si>
    <t>uc1.b257970</t>
  </si>
  <si>
    <t>006507209</t>
  </si>
  <si>
    <t>Fulton, Robert Irving,</t>
  </si>
  <si>
    <t>uc2.ark:/13960/t8kd1tm0s</t>
  </si>
  <si>
    <t>uc1.b257974</t>
  </si>
  <si>
    <t>006507210</t>
  </si>
  <si>
    <t>Practical speaking : as taught in Yale College /</t>
  </si>
  <si>
    <t>North, Erasmus Darwin,</t>
  </si>
  <si>
    <t>uc2.ark:/13960/t1pg1m632</t>
  </si>
  <si>
    <t>uc1.b257976</t>
  </si>
  <si>
    <t>006507211</t>
  </si>
  <si>
    <t>006507068</t>
  </si>
  <si>
    <t>Advanced lessons in English grammar : for use in higher grammar classes /</t>
  </si>
  <si>
    <t>Maxwell, William H.</t>
  </si>
  <si>
    <t>uc1.b306980</t>
  </si>
  <si>
    <t>uc2.ark:/13960/t9n29s887</t>
  </si>
  <si>
    <t>uc2.ark:/13960/t6sx67566</t>
  </si>
  <si>
    <t>006507071</t>
  </si>
  <si>
    <t>The institutes of English grammar, methodically arranged : with examples for parsing, questions for examination, false syntax for correction, exercises for writing, observations for the advanced student, and a key to the oral exercises : to which are added, four appendixes : designed for the use of schools, academies, and private learners /</t>
  </si>
  <si>
    <t>uc1.b257682</t>
  </si>
  <si>
    <t>006507072</t>
  </si>
  <si>
    <t>The King's English abridged for school use /</t>
  </si>
  <si>
    <t>hvd.hn1rda</t>
  </si>
  <si>
    <t>006507073</t>
  </si>
  <si>
    <t>Analytical and practical grammar : a practical grammar of the English language : with analysis of sentences.</t>
  </si>
  <si>
    <t>Bullions, Peter,</t>
  </si>
  <si>
    <t>uc2.ark:/13960/t10p10b4r</t>
  </si>
  <si>
    <t>uc1.b257686</t>
  </si>
  <si>
    <t>006507074</t>
  </si>
  <si>
    <t>A practical grammar : in which words, phrases, and sentences are classified according to their offices, and their various relations to one another : illustrated by a complete system of diagrams /</t>
  </si>
  <si>
    <t>Clark, S. W.</t>
  </si>
  <si>
    <t>uc2.ark:/13960/t5n875s96</t>
  </si>
  <si>
    <t>uc1.b257792</t>
  </si>
  <si>
    <t>006507115</t>
  </si>
  <si>
    <t>The principles of English grammar : comprising the substance of all the most approved English grammars extant, briefly defined, and neatly arranged ; with copious exercises in parsing and syntax /</t>
  </si>
  <si>
    <t>Lennie, William,</t>
  </si>
  <si>
    <t>uc2.ark:/13960/t6qz25c68</t>
  </si>
  <si>
    <t>uc1.b257796</t>
  </si>
  <si>
    <t>006507117</t>
  </si>
  <si>
    <t>Principles of English grammar. A new ed., rev., re-arranged and improved.</t>
  </si>
  <si>
    <t>uc1.b306941</t>
  </si>
  <si>
    <t>uc2.ark:/13960/t0gt5hz3h</t>
  </si>
  <si>
    <t>uc1.b257800</t>
  </si>
  <si>
    <t>006507118</t>
  </si>
  <si>
    <t>A primer of essentials in grammar and rhetoric for secondary schools,</t>
  </si>
  <si>
    <t>Knight, Marietta.</t>
  </si>
  <si>
    <t>uc2.ark:/13960/t9z032b4b</t>
  </si>
  <si>
    <t>uc1.b257803</t>
  </si>
  <si>
    <t>006507120</t>
  </si>
  <si>
    <t>An elementary grammar of the English language, for the use of schools /</t>
  </si>
  <si>
    <t>Harvey, Thomas W.</t>
  </si>
  <si>
    <t>uc1.b306962</t>
  </si>
  <si>
    <t>uc2.ark:/13960/t1mg7jd61</t>
  </si>
  <si>
    <t>uc1.b257805</t>
  </si>
  <si>
    <t>006507121</t>
  </si>
  <si>
    <t>An introduction to the study of English grammar.</t>
  </si>
  <si>
    <t>English for coming Americans, teacher's manual; a rational system for teaching English to foreigners</t>
  </si>
  <si>
    <t>Roberts, Peter,</t>
  </si>
  <si>
    <t>uc2.ark:/13960/t0ft8h175</t>
  </si>
  <si>
    <t>uc1.b257607</t>
  </si>
  <si>
    <t>006507035</t>
  </si>
  <si>
    <t>A progressive grammar of the English tongue: based on the results of modern philology.</t>
  </si>
  <si>
    <t>Swinton, William,</t>
  </si>
  <si>
    <t>uc1.b307012</t>
  </si>
  <si>
    <t>uc2.ark:/13960/t56d5s627</t>
  </si>
  <si>
    <t>uc1.b257609</t>
  </si>
  <si>
    <t>006507036</t>
  </si>
  <si>
    <t>A progressive grammar of the English tongue : based on the results of modern philology /</t>
  </si>
  <si>
    <t>uc1.b307013</t>
  </si>
  <si>
    <t>uc2.ark:/13960/t85h7fw3v</t>
  </si>
  <si>
    <t>uc1.b257610</t>
  </si>
  <si>
    <t>006507037</t>
  </si>
  <si>
    <t>Grammar for common schools /</t>
  </si>
  <si>
    <t>Tweed, Benjamin Franklin</t>
  </si>
  <si>
    <t>uc1.b307017</t>
  </si>
  <si>
    <t>uc2.ark:/13960/t82j6c66j</t>
  </si>
  <si>
    <t>uc1.b257614</t>
  </si>
  <si>
    <t>006507039</t>
  </si>
  <si>
    <t>Kimball, Lillian Gertrude.</t>
  </si>
  <si>
    <t>uc2.ark:/13960/t42r3rq0r</t>
  </si>
  <si>
    <t>uc1.b257619</t>
  </si>
  <si>
    <t>006507041</t>
  </si>
  <si>
    <t>The little grammar /</t>
  </si>
  <si>
    <t>uc1.b257622</t>
  </si>
  <si>
    <t>006507043</t>
  </si>
  <si>
    <t>English grammar simplified; its study made easy,</t>
  </si>
  <si>
    <t>uc1.b257632</t>
  </si>
  <si>
    <t>006507050</t>
  </si>
  <si>
    <t>Common essentials in spelling; a word list and teacher's manual for elementary schools,</t>
  </si>
  <si>
    <t>Studley, Clarence Knight,</t>
  </si>
  <si>
    <t>uc1.b307118</t>
  </si>
  <si>
    <t>uc2.ark:/13960/t15m64t10</t>
  </si>
  <si>
    <t>uc1.b257633</t>
  </si>
  <si>
    <t>006507051</t>
  </si>
  <si>
    <t>Relative efficiency of phonetic alphabets; an experimental investigation of the comparative merits of the Webster key alphabet and the proposed key alphabet submitted to the National Education Association,</t>
  </si>
  <si>
    <t>Whipple, Guy Montrose,</t>
  </si>
  <si>
    <t>uc2.ark:/13960/t7xk87m99</t>
  </si>
  <si>
    <t>uc1.b257657</t>
  </si>
  <si>
    <t>006507061</t>
  </si>
  <si>
    <t>The teaching of English classics in the grammar grades, suggestions for study, questions, and subjects for written exercises on standard literature,</t>
  </si>
  <si>
    <t>Wariner, Eugene Clarence.</t>
  </si>
  <si>
    <t>uc1.b257660</t>
  </si>
  <si>
    <t>006507063</t>
  </si>
  <si>
    <t>Lingua materna; chapters on the school teaching of English,</t>
  </si>
  <si>
    <t>Wilson, Richard,</t>
  </si>
  <si>
    <t>uc2.ark:/13960/t2b85652s</t>
  </si>
  <si>
    <t>uc1.b257666</t>
  </si>
  <si>
    <t>006507066</t>
  </si>
  <si>
    <t>A common-school grammar of the English language /</t>
  </si>
  <si>
    <t>nyp.33433082310818</t>
  </si>
  <si>
    <t>006507067</t>
  </si>
  <si>
    <t>uc1.b257667</t>
  </si>
  <si>
    <t>uc2.ark:/13960/t6f18wb22</t>
  </si>
  <si>
    <t>uc1.b257669</t>
  </si>
  <si>
    <t>The Yersin phono-rhythmic method of French pronunciation, accent, and diction.</t>
  </si>
  <si>
    <t>nyp.33433075910434</t>
  </si>
  <si>
    <t>006506684</t>
  </si>
  <si>
    <t>Perfect French possible : some essential and adequate helps to French pronunciation and rhythm /</t>
  </si>
  <si>
    <t>Knowles, Mary Henrietta (Davis)</t>
  </si>
  <si>
    <t>uc1.b256886</t>
  </si>
  <si>
    <t>uc2.ark:/13960/t9r20vz2n</t>
  </si>
  <si>
    <t>uc1.b256891</t>
  </si>
  <si>
    <t>006506687</t>
  </si>
  <si>
    <t>First principles of French pronunciation /</t>
  </si>
  <si>
    <t>Saillens, Émile.</t>
  </si>
  <si>
    <t>uc2.ark:/13960/t8df6p45z</t>
  </si>
  <si>
    <t>uc1.b256921</t>
  </si>
  <si>
    <t>006506705</t>
  </si>
  <si>
    <t>A practical introduction to French phonetics : for the use of English-speaking students and teachers /</t>
  </si>
  <si>
    <t>Nicholson, G. G.</t>
  </si>
  <si>
    <t>uc2.ark:/13960/t20c4w711</t>
  </si>
  <si>
    <t>uc1.b257290</t>
  </si>
  <si>
    <t>006506849</t>
  </si>
  <si>
    <t>An English grammar, for the use of high school, academy, and college classes,</t>
  </si>
  <si>
    <t>Baskervill, William Malone,</t>
  </si>
  <si>
    <t>uc2.ark:/13960/t8df6p49w</t>
  </si>
  <si>
    <t>uc1.b257296</t>
  </si>
  <si>
    <t>006506852</t>
  </si>
  <si>
    <t>Vocational English; a textbook for commercial and technical schools,</t>
  </si>
  <si>
    <t>Bowlin, William Ray,</t>
  </si>
  <si>
    <t>uc2.ark:/13960/t84j0f01m</t>
  </si>
  <si>
    <t>hvd.hn1ttx</t>
  </si>
  <si>
    <t>006506860</t>
  </si>
  <si>
    <t>The poetry of the Orient /</t>
  </si>
  <si>
    <t>Alger, William Rounseville,</t>
  </si>
  <si>
    <t>hvd.hnyvds</t>
  </si>
  <si>
    <t>uc1.b257321</t>
  </si>
  <si>
    <t>uc2.ark:/13960/t1pg1jn0m</t>
  </si>
  <si>
    <t>uc1.b257440</t>
  </si>
  <si>
    <t>006506950</t>
  </si>
  <si>
    <t>A phonetic Spanish reader : extracts from great writers selected and transcribed /</t>
  </si>
  <si>
    <t>uc1.b257552</t>
  </si>
  <si>
    <t>006507013</t>
  </si>
  <si>
    <t>Good speech : an introduction to English phonetics /</t>
  </si>
  <si>
    <t>uc2.ark:/13960/t22b8z09c</t>
  </si>
  <si>
    <t>njp.32101067682672</t>
  </si>
  <si>
    <t>006507014</t>
  </si>
  <si>
    <t>Die englische Orthographie von Caxton bis Shakespeare.</t>
  </si>
  <si>
    <t>Rudolf, Ernst,</t>
  </si>
  <si>
    <t>uc1.b257554</t>
  </si>
  <si>
    <t>uc1.b257560</t>
  </si>
  <si>
    <t>006507016</t>
  </si>
  <si>
    <t>English spelling and spelling reform,</t>
  </si>
  <si>
    <t>uc2.ark:/13960/t5k93cr03</t>
  </si>
  <si>
    <t>uc1.b257570</t>
  </si>
  <si>
    <t>006507020</t>
  </si>
  <si>
    <t>A phonetic reader for use in junior classes,</t>
  </si>
  <si>
    <t>Mackenzie, Catherine F.</t>
  </si>
  <si>
    <t>uc2.ark:/13960/t5r788g5f</t>
  </si>
  <si>
    <t>uc1.b257577</t>
  </si>
  <si>
    <t>006507024</t>
  </si>
  <si>
    <t>The Pacific coast speller.</t>
  </si>
  <si>
    <t>uc2.ark:/13960/t7pn91c5n</t>
  </si>
  <si>
    <t>uc1.b257581</t>
  </si>
  <si>
    <t>006507025</t>
  </si>
  <si>
    <t>A philological introduction to Greek and Latin for students,</t>
  </si>
  <si>
    <t>Baur, Ferdinand Christian,</t>
  </si>
  <si>
    <t>uc2.ark:/13960/t11n81621</t>
  </si>
  <si>
    <t>uc1.b252328</t>
  </si>
  <si>
    <t>006503708</t>
  </si>
  <si>
    <t>A Panjabi phonetic reader /</t>
  </si>
  <si>
    <t>Bailey, Thomas Grahame,</t>
  </si>
  <si>
    <t>uc1.b252552</t>
  </si>
  <si>
    <t>006503875</t>
  </si>
  <si>
    <t>Spenser's poem, entitled Colin Clouts come home againe, explained; with remarks upon the Amoretti sonnets, and also upon a few of the minor poems of other early English poets.</t>
  </si>
  <si>
    <t>Hitchcock, Ethan Allen,</t>
  </si>
  <si>
    <t>uc2.ark:/13960/t4wh2h42v</t>
  </si>
  <si>
    <t>uc1.b252795</t>
  </si>
  <si>
    <t>006503996</t>
  </si>
  <si>
    <t>A study of metre /</t>
  </si>
  <si>
    <t>uc2.ark:/13960/t0sq8vg2s</t>
  </si>
  <si>
    <t>uc1.b253179</t>
  </si>
  <si>
    <t>006504262</t>
  </si>
  <si>
    <t>The Modern Greek: its pronunciation and relations to ancient Greek, with an appendix on rules of accentuation, etc.</t>
  </si>
  <si>
    <t>Timayenis, T. T.</t>
  </si>
  <si>
    <t>uc2.ark:/13960/t7gq6v05b</t>
  </si>
  <si>
    <t>hvd.32044097062368</t>
  </si>
  <si>
    <t>006504318</t>
  </si>
  <si>
    <t>Latin pronunciation and the Latin alphabet.</t>
  </si>
  <si>
    <t>Tafel, Leonhard,</t>
  </si>
  <si>
    <t>uc1.b253256</t>
  </si>
  <si>
    <t>uc2.ark:/13960/t1jh3gm44</t>
  </si>
  <si>
    <t>uc1.b253853</t>
  </si>
  <si>
    <t>006504735</t>
  </si>
  <si>
    <t>A guide to the Anglo-Saxon tongue: a grammar after Erasmus Rask, extracts in prose and verse, with notes, etc. for the use of learners, and an appendix.</t>
  </si>
  <si>
    <t>Vernon, Edward Johnston,</t>
  </si>
  <si>
    <t>nyp.33433069244089</t>
  </si>
  <si>
    <t>006504736</t>
  </si>
  <si>
    <t>A guide to the Anglo-Saxon tongue : a grammar after Erasmus Rask ; extracts in prose and verse with notes, etc. for the use of learners and an appendix /</t>
  </si>
  <si>
    <t>uc1.b253881</t>
  </si>
  <si>
    <t>006504756</t>
  </si>
  <si>
    <t>Altenglisches Elementarbuch /</t>
  </si>
  <si>
    <t>Bülbring, Karl D.</t>
  </si>
  <si>
    <t>uc2.ark:/13960/t4qj7bn64</t>
  </si>
  <si>
    <t>nyp.33433069240830</t>
  </si>
  <si>
    <t>006505605</t>
  </si>
  <si>
    <t>On the study of words. Lectures addressed (originally) to the pupils at the Diocesan training-school, Winchester,</t>
  </si>
  <si>
    <t>uc1.b255318</t>
  </si>
  <si>
    <t>uc2.ark:/13960/t3vt1kb6f</t>
  </si>
  <si>
    <t>uc1.b256010</t>
  </si>
  <si>
    <t>006506071</t>
  </si>
  <si>
    <t>The pronunciation of the names of Italian painters,</t>
  </si>
  <si>
    <t>uc2.ark:/13960/t6rx96802</t>
  </si>
  <si>
    <t>uc1.b256738</t>
  </si>
  <si>
    <t>006506602</t>
  </si>
  <si>
    <t>Elements of Spanish pronunciation,</t>
  </si>
  <si>
    <t>Moreno-Lacalle, Julian,</t>
  </si>
  <si>
    <t>uc2.ark:/13960/t3222tw84</t>
  </si>
  <si>
    <t>uc1.b256884</t>
  </si>
  <si>
    <t>006506683</t>
  </si>
  <si>
    <t>Stebbing, W.</t>
  </si>
  <si>
    <t>uc1.b249288</t>
  </si>
  <si>
    <t>uc1.b249289</t>
  </si>
  <si>
    <t>uc2.ark:/13960/t52f7sh43</t>
  </si>
  <si>
    <t>uc2.ark:/13960/t85h7kt3m</t>
  </si>
  <si>
    <t>hvd.hn1k3v</t>
  </si>
  <si>
    <t>006501944</t>
  </si>
  <si>
    <t>History of the English language and literature.</t>
  </si>
  <si>
    <t>Chambers, Robert,</t>
  </si>
  <si>
    <t>nyp.33433074785498</t>
  </si>
  <si>
    <t>uc1.b249317</t>
  </si>
  <si>
    <t>uc2.ark:/13960/t5p846m7k</t>
  </si>
  <si>
    <t>uc1.b249327</t>
  </si>
  <si>
    <t>006501950</t>
  </si>
  <si>
    <t>History of the English language and literature, from the earliest times until the present day, including the American literature,</t>
  </si>
  <si>
    <t>Bierbaum, Friedrich Julius,</t>
  </si>
  <si>
    <t>uc2.ark:/13960/t8ff3pz8b</t>
  </si>
  <si>
    <t>uc1.b249334</t>
  </si>
  <si>
    <t>006501955</t>
  </si>
  <si>
    <t>English literature, With chapters on English literature (1832-1892 and on American literature,</t>
  </si>
  <si>
    <t>Brooke, Stopford A</t>
  </si>
  <si>
    <t>uc1.b250043</t>
  </si>
  <si>
    <t>006502393</t>
  </si>
  <si>
    <t>Quest and vision: essays in life and literature.</t>
  </si>
  <si>
    <t>uc1.b250280</t>
  </si>
  <si>
    <t>006502477</t>
  </si>
  <si>
    <t>Specimens of prose description,</t>
  </si>
  <si>
    <t>uc2.ark:/13960/t6f18w89j</t>
  </si>
  <si>
    <t>uc1.b250890</t>
  </si>
  <si>
    <t>006502729</t>
  </si>
  <si>
    <t>Longer English poems, with notes, philological and explanatory, and an introduction on the teaching of English. Chiefly for use in schools.</t>
  </si>
  <si>
    <t>uc2.ark:/13960/t47p8x499</t>
  </si>
  <si>
    <t>hvd.32044011231156</t>
  </si>
  <si>
    <t>006502761</t>
  </si>
  <si>
    <t>Specimens of the early English poets; to which is prefixed, an Historical sketch of the rise and progress of the English poetry and language, with a biography of each poet, &amp;c.</t>
  </si>
  <si>
    <t>hvd.32044090276544</t>
  </si>
  <si>
    <t>hvd.32044090276551</t>
  </si>
  <si>
    <t>uc1.b250941</t>
  </si>
  <si>
    <t>uc1.b250942</t>
  </si>
  <si>
    <t>uc1.b250943</t>
  </si>
  <si>
    <t>uc1.b251131</t>
  </si>
  <si>
    <t>006502882</t>
  </si>
  <si>
    <t>A rhyming, spelling, and pronouncing dictionary of the English language in which, I. The whole laguage is arranged according to its terminations. II. Every word is explained and divided into syllables exactly as pronounced ... to which ... is added an index of allowable rhymes, with authorities for their usage from our best poets.</t>
  </si>
  <si>
    <t>uc2.ark:/13960/t0js9kp41</t>
  </si>
  <si>
    <t>uc1.b252311</t>
  </si>
  <si>
    <t>006503697</t>
  </si>
  <si>
    <t>General phonetics for missionaries and students of languages /</t>
  </si>
  <si>
    <t>Noël-Armfield, George.</t>
  </si>
  <si>
    <t>uc2.ark:/13960/t8x924h2k</t>
  </si>
  <si>
    <t>uc1.b252326</t>
  </si>
  <si>
    <t>006503706</t>
  </si>
  <si>
    <t>Otte, Friedrich W. K.</t>
  </si>
  <si>
    <t>uc1.b3410108</t>
  </si>
  <si>
    <t>uc1.b3410651</t>
  </si>
  <si>
    <t>006291693</t>
  </si>
  <si>
    <t>English composition and rhetoric. A manual.</t>
  </si>
  <si>
    <t>uc2.ark:/13960/t6348rh2k</t>
  </si>
  <si>
    <t>uva.x000742299</t>
  </si>
  <si>
    <t>uc1.b3436835</t>
  </si>
  <si>
    <t>006294555</t>
  </si>
  <si>
    <t>A history of criticism and literary taste in Europe from the earliest texts to the present day;</t>
  </si>
  <si>
    <t>v.3 cop.2</t>
  </si>
  <si>
    <t>uc1.b3560702</t>
  </si>
  <si>
    <t>hvd.32044090367046</t>
  </si>
  <si>
    <t>006301653</t>
  </si>
  <si>
    <t>The history of England from the accession of James II.</t>
  </si>
  <si>
    <t>Macaulay, Thomas Babington Macaulay</t>
  </si>
  <si>
    <t>hvd.32044090367053</t>
  </si>
  <si>
    <t>hvd.32044090367061</t>
  </si>
  <si>
    <t>nyp.33433075895676</t>
  </si>
  <si>
    <t>nyp.33433075895684</t>
  </si>
  <si>
    <t>uc1.b238480</t>
  </si>
  <si>
    <t>006495290</t>
  </si>
  <si>
    <t>The child-voice in singing, treated from a physiological and a practical standpoint, and especially adapted to schools and boy choirs,</t>
  </si>
  <si>
    <t>Howard, Francis Edward,</t>
  </si>
  <si>
    <t>uc2.ark:/13960/t24b31824</t>
  </si>
  <si>
    <t>uc1.b238492</t>
  </si>
  <si>
    <t>006495298</t>
  </si>
  <si>
    <t>The institutes of English grammar /</t>
  </si>
  <si>
    <t>uc2.ark:/13960/t3028rz7c</t>
  </si>
  <si>
    <t>uc1.b238497</t>
  </si>
  <si>
    <t>006495302</t>
  </si>
  <si>
    <t>Higher lessons in English. A work on English grammar and composition, in which the science of the language is made tributary to the art of expression. A course of practical lessons carefully graded, and adapted to every day use in the schoolroom.</t>
  </si>
  <si>
    <t>uc2.ark:/13960/t55d8r42r</t>
  </si>
  <si>
    <t>uc1.b239092</t>
  </si>
  <si>
    <t>006495673</t>
  </si>
  <si>
    <t>English evidence; teacher testimony from the summer session, University of California, 1924,</t>
  </si>
  <si>
    <t>uc1.b240548</t>
  </si>
  <si>
    <t>006496500</t>
  </si>
  <si>
    <t>uc1.b240549</t>
  </si>
  <si>
    <t>006496501</t>
  </si>
  <si>
    <t>Teaching children to read /</t>
  </si>
  <si>
    <t>uc1.b240574</t>
  </si>
  <si>
    <t>006496510</t>
  </si>
  <si>
    <t>Klapper, Paul.</t>
  </si>
  <si>
    <t>loc.ark:/13960/t6640bh9w</t>
  </si>
  <si>
    <t>006501035</t>
  </si>
  <si>
    <t>New voices : an introduction to contemporary poetry /</t>
  </si>
  <si>
    <t>nyp.33433082515333</t>
  </si>
  <si>
    <t>uc1.b247923</t>
  </si>
  <si>
    <t>uc2.ark:/13960/t8x925r9h</t>
  </si>
  <si>
    <t>uc1.b248084</t>
  </si>
  <si>
    <t>006501118</t>
  </si>
  <si>
    <t>The home book of verse, American and English, 1580-1918;</t>
  </si>
  <si>
    <t>uc1.b248085</t>
  </si>
  <si>
    <t>uc1.b248190</t>
  </si>
  <si>
    <t>006501192</t>
  </si>
  <si>
    <t>uc1.b248191</t>
  </si>
  <si>
    <t>uc1.b248192</t>
  </si>
  <si>
    <t>uc1.b248193</t>
  </si>
  <si>
    <t>uc1.b252943</t>
  </si>
  <si>
    <t>uc1.31158009907113</t>
  </si>
  <si>
    <t>006501935</t>
  </si>
  <si>
    <t>Five centuries of English verse;</t>
  </si>
  <si>
    <t>uc2.ark:/13960/t23b5zv9r</t>
  </si>
  <si>
    <t>pur1.32754074128087</t>
  </si>
  <si>
    <t>006183240</t>
  </si>
  <si>
    <t>A style guide for CBO : about writing and word usage.</t>
  </si>
  <si>
    <t>Zacharias, Johanna.</t>
  </si>
  <si>
    <t>uc1.b4195073</t>
  </si>
  <si>
    <t>uc1.b4210899</t>
  </si>
  <si>
    <t>006186943</t>
  </si>
  <si>
    <t>The Century handbook of writing,</t>
  </si>
  <si>
    <t>Greever, Garland,</t>
  </si>
  <si>
    <t>uc2.ark:/13960/t3pv6gc9s</t>
  </si>
  <si>
    <t>hvd.hncbbf</t>
  </si>
  <si>
    <t>006193345</t>
  </si>
  <si>
    <t>An index of such English books, printed before the year MDC., as are now in the archiepiscopal library at Lambeth.</t>
  </si>
  <si>
    <t>nyp.33433069140089</t>
  </si>
  <si>
    <t>uc1.b4229640</t>
  </si>
  <si>
    <t>uc2.ark:/13960/t5w66nd2s</t>
  </si>
  <si>
    <t>uc1.b4229675</t>
  </si>
  <si>
    <t>006193356</t>
  </si>
  <si>
    <t>Handbook to the popular, poetical and dramatic literature of Great Britain, from the invention of printing to the restoration.</t>
  </si>
  <si>
    <t>uc1.b3137696</t>
  </si>
  <si>
    <t>006209732</t>
  </si>
  <si>
    <t>The library of literary criticism of English and American authors.</t>
  </si>
  <si>
    <t>Moulton, Charles Wells,</t>
  </si>
  <si>
    <t>uc1.b3137697</t>
  </si>
  <si>
    <t>uc1.b3137700</t>
  </si>
  <si>
    <t>uc1.b3137701</t>
  </si>
  <si>
    <t>uc1.b3137703</t>
  </si>
  <si>
    <t>uc1.b4300471</t>
  </si>
  <si>
    <t>006213714</t>
  </si>
  <si>
    <t>Mysticism in seventeenth-century English literature /</t>
  </si>
  <si>
    <t>Thompson, Elbert Nevius Sebring,</t>
  </si>
  <si>
    <t>uc2.ark:/13960/t04x5685q</t>
  </si>
  <si>
    <t>uc1.b4305470</t>
  </si>
  <si>
    <t>006214790</t>
  </si>
  <si>
    <t>Complete English grammar for common and high schools /</t>
  </si>
  <si>
    <t>Hoenshel, Eli J</t>
  </si>
  <si>
    <t>uc2.ark:/13960/t3ws8vs09</t>
  </si>
  <si>
    <t>uc1.b4498130</t>
  </si>
  <si>
    <t>006248975</t>
  </si>
  <si>
    <t>Effective English and letter writing; a practical drill in the principles of grammar and their application to business forms, customs and usages, consisting of a series of carefully graded lessons that trace by easy steps the natural development of the subjects treated.</t>
  </si>
  <si>
    <t>Kennedy, Wylie Wesley,</t>
  </si>
  <si>
    <t>uc2.ark:/13960/t2v40xc7z</t>
  </si>
  <si>
    <t>uc1.b4500788</t>
  </si>
  <si>
    <t>006250227</t>
  </si>
  <si>
    <t>The treatment of nature in English poetry between Pope and Wordsworth. By Myra Reynolds.</t>
  </si>
  <si>
    <t>uc2.ark:/13960/t5r78jb0j</t>
  </si>
  <si>
    <t>uc1.b4517747</t>
  </si>
  <si>
    <t>006255100</t>
  </si>
  <si>
    <t>Applied business English,</t>
  </si>
  <si>
    <t>Hagar, Hubert A.</t>
  </si>
  <si>
    <t>uc1.b3386154</t>
  </si>
  <si>
    <t>006284003</t>
  </si>
  <si>
    <t>Early reviews of English poets,</t>
  </si>
  <si>
    <t>Haney, John Louis,</t>
  </si>
  <si>
    <t>uc1.b3410107</t>
  </si>
  <si>
    <t>006291586</t>
  </si>
  <si>
    <t>Translations from modern Chinese.</t>
  </si>
  <si>
    <t>A grammar of rhetoric and polite literature : comprehending the principles of language and style... with rules for the study of composition and eloquence: illustrated by appropriate examples selected chiefly from the British classics... /</t>
  </si>
  <si>
    <t>uc1.b4097397</t>
  </si>
  <si>
    <t>006152794</t>
  </si>
  <si>
    <t>The principles of English versification /</t>
  </si>
  <si>
    <t>uc2.ark:/13960/t28914s3q</t>
  </si>
  <si>
    <t>uc1.b4097829</t>
  </si>
  <si>
    <t>006152998</t>
  </si>
  <si>
    <t>Latin, Englis, Merican; Latin, English, American,</t>
  </si>
  <si>
    <t>Foulk, Ruby Olive.</t>
  </si>
  <si>
    <t>uc1.b4097989</t>
  </si>
  <si>
    <t>006153077</t>
  </si>
  <si>
    <t>The origin and history of the English language, and of the early literature it embodies /</t>
  </si>
  <si>
    <t>Marsh, George P.</t>
  </si>
  <si>
    <t>uc2.ark:/13960/t9z039c55</t>
  </si>
  <si>
    <t>nyp.33433082200001</t>
  </si>
  <si>
    <t>006153877</t>
  </si>
  <si>
    <t>Lives of the most eminent English poets; with critical observations on their works.</t>
  </si>
  <si>
    <t>uc1.b4099851</t>
  </si>
  <si>
    <t>nyp.33433044520587</t>
  </si>
  <si>
    <t>006155847</t>
  </si>
  <si>
    <t>English childhood; Wordsworth's treatment of childhood in the light of English poetry from Prior to Crabbe,</t>
  </si>
  <si>
    <t>Babenroth, A. Charles</t>
  </si>
  <si>
    <t>uc1.b4104389</t>
  </si>
  <si>
    <t>uc2.ark:/13960/t5bc44v6b</t>
  </si>
  <si>
    <t>uc1.b4105547</t>
  </si>
  <si>
    <t>006156364</t>
  </si>
  <si>
    <t>The portrait of a scholar &amp; other essays written in Macedonia, 1916-1918.</t>
  </si>
  <si>
    <t>uc1.b4109878</t>
  </si>
  <si>
    <t>006157392</t>
  </si>
  <si>
    <t>The history of early English literature : being the history of English poetry from its beginnings to the accession of King Ælfred /</t>
  </si>
  <si>
    <t>uc1.b55971</t>
  </si>
  <si>
    <t>uc2.ark:/13960/t2988dd9m</t>
  </si>
  <si>
    <t>hvd.32044051069532</t>
  </si>
  <si>
    <t>006157405</t>
  </si>
  <si>
    <t>Lectures on the dramatic literature of the age of Elizabeth.</t>
  </si>
  <si>
    <t>hvd.hwkb4j</t>
  </si>
  <si>
    <t>loc.ark:/13960/t9183w965</t>
  </si>
  <si>
    <t>uc1.b4109916</t>
  </si>
  <si>
    <t>uc2.ark:/13960/t83j3nb4v</t>
  </si>
  <si>
    <t>uc1.b4113554</t>
  </si>
  <si>
    <t>006157926</t>
  </si>
  <si>
    <t>Voice building and tone placing, showing a new method of relieving injured vocal cords by tone exercises,</t>
  </si>
  <si>
    <t>Curtis, H. Holbrook</t>
  </si>
  <si>
    <t>uc2.ark:/13960/t3kw59c1w</t>
  </si>
  <si>
    <t>hvd.hnqqbz</t>
  </si>
  <si>
    <t>006170533</t>
  </si>
  <si>
    <t>Batavian anthology; or, Specimens of the Dutch poets; with remarks on the poetical literature and language of the Netherlands, to the end of the seventeenth century.</t>
  </si>
  <si>
    <t>Bowring, John,</t>
  </si>
  <si>
    <t>uc2.ark:/13960/t78s4wk3g</t>
  </si>
  <si>
    <t>uc2.ark:/13960/t6j106x67</t>
  </si>
  <si>
    <t>006152292</t>
  </si>
  <si>
    <t>A text-book on rhetoric : supplementing the development of the science with exhaustive practice in composition : a course of practical lessons adapted for use in high-schools and academies and in the lower classes of colleges /</t>
  </si>
  <si>
    <t>Kellogg, Brainerd.</t>
  </si>
  <si>
    <t>uc1.b4095481</t>
  </si>
  <si>
    <t>006152340</t>
  </si>
  <si>
    <t>Lectures on the English poets : delivered at the Surrey Institution /</t>
  </si>
  <si>
    <t>uc1.b4095491</t>
  </si>
  <si>
    <t>006152345</t>
  </si>
  <si>
    <t>The rhymers' lexicon,</t>
  </si>
  <si>
    <t>Loring, Andrew,</t>
  </si>
  <si>
    <t>uc2.ark:/13960/t7sn0c03d</t>
  </si>
  <si>
    <t>uc1.b4095504</t>
  </si>
  <si>
    <t>006152349</t>
  </si>
  <si>
    <t>Orthometry : the art of versification and the technicalities of poetry : with a new and complete rhyming dictionary /</t>
  </si>
  <si>
    <t>Brewer, Robert Frederick</t>
  </si>
  <si>
    <t>uc2.ark:/13960/t1fj2mv5f</t>
  </si>
  <si>
    <t>uc1.32106001661237</t>
  </si>
  <si>
    <t>006152376</t>
  </si>
  <si>
    <t>Sidney's Apologie for poetrie;</t>
  </si>
  <si>
    <t>Sidney, Philip,</t>
  </si>
  <si>
    <t>uc1.b4095586</t>
  </si>
  <si>
    <t>006152390</t>
  </si>
  <si>
    <t>How to write clearly and effectively; a guide to everyday writing in your business and social life.</t>
  </si>
  <si>
    <t>McCloskey, Frank H.</t>
  </si>
  <si>
    <t>uc1.b4095589</t>
  </si>
  <si>
    <t>006152391</t>
  </si>
  <si>
    <t>Pattern and purpose in writing.</t>
  </si>
  <si>
    <t>Lamar, Lavoisier.</t>
  </si>
  <si>
    <t>uc1.b4095619</t>
  </si>
  <si>
    <t>006152412</t>
  </si>
  <si>
    <t>The English language; its grammar, history and literature,</t>
  </si>
  <si>
    <t>uc2.ark:/13960/t5p84fm41</t>
  </si>
  <si>
    <t>uc1.b4097306</t>
  </si>
  <si>
    <t>006152754</t>
  </si>
  <si>
    <t>Bell's Standard elocutionist. Principles and exercises, (from "Elocutionary manual"); followed by a copius selection of extracts in prose and poetry, classified and adapted for reading and recitation.</t>
  </si>
  <si>
    <t>Bell, David Charles,</t>
  </si>
  <si>
    <t>uc2.ark:/13960/t81j9k788</t>
  </si>
  <si>
    <t>hvd.hw22ys</t>
  </si>
  <si>
    <t>006152759</t>
  </si>
  <si>
    <t>Orthophony, or, The cultivation of the voice, in elocution : a manual of elementary exercises, adapted to Dr. Rush's "Philosophy of the human voice," and the system of vocal culture introduced by Mr. James E. Murdoch : designed as an introduction to Russell's "American elocutionist" /</t>
  </si>
  <si>
    <t>uc1.b4097318</t>
  </si>
  <si>
    <t>uc2.ark:/13960/t2z32056z</t>
  </si>
  <si>
    <t>uc1.b4097322</t>
  </si>
  <si>
    <t>006152762</t>
  </si>
  <si>
    <t>uc2.ark:/13960/t7fr02785</t>
  </si>
  <si>
    <t>uc1.b4091293</t>
  </si>
  <si>
    <t>006151282</t>
  </si>
  <si>
    <t>A complete etymology of the English language: containing the Anglo-Saxon, French, Dutch, German, Welsh, Danish, Gothic, Swedish, Gaelic, Italian, Latin, and Greek roots, and the English words derived therefrom, accurately spelled, accented, and defined.</t>
  </si>
  <si>
    <t>Smith, William W.</t>
  </si>
  <si>
    <t>uc2.ark:/13960/t03x8f74h</t>
  </si>
  <si>
    <t>uc1.b4091295</t>
  </si>
  <si>
    <t>006151284</t>
  </si>
  <si>
    <t>Pronunciation drills for learners of English</t>
  </si>
  <si>
    <t>Trager, Edith Crowell.</t>
  </si>
  <si>
    <t>nyp.33433082312350</t>
  </si>
  <si>
    <t>006151292</t>
  </si>
  <si>
    <t>Leaves from a word-hunter's note-book. Being some contributions to English etymology,</t>
  </si>
  <si>
    <t>Palmer, Abram Smythe.</t>
  </si>
  <si>
    <t>uc1.b4091322</t>
  </si>
  <si>
    <t>uc2.ark:/13960/t7qn6960g</t>
  </si>
  <si>
    <t>uc1.b306944</t>
  </si>
  <si>
    <t>006151310</t>
  </si>
  <si>
    <t>English grammar ... Compiled under the direction of the State board of education.</t>
  </si>
  <si>
    <t>uc1.b4091365</t>
  </si>
  <si>
    <t>uc2.ark:/13960/t6pz5cm38</t>
  </si>
  <si>
    <t>uc1.b4091375</t>
  </si>
  <si>
    <t>006151316</t>
  </si>
  <si>
    <t>The English language in American education,</t>
  </si>
  <si>
    <t>uc1.b4093207</t>
  </si>
  <si>
    <t>006151737</t>
  </si>
  <si>
    <t>Principles of English etymology,</t>
  </si>
  <si>
    <t>uc1.b4093208</t>
  </si>
  <si>
    <t>uc1.b4093292</t>
  </si>
  <si>
    <t>006151764</t>
  </si>
  <si>
    <t>On the English language, past and present;</t>
  </si>
  <si>
    <t>uc2.ark:/13960/t5h999c1g</t>
  </si>
  <si>
    <t>uc1.b4093298</t>
  </si>
  <si>
    <t>006151767</t>
  </si>
  <si>
    <t>A concentric grammar course.</t>
  </si>
  <si>
    <t>Haes, Dulcie E.</t>
  </si>
  <si>
    <t>uc1.b4093301</t>
  </si>
  <si>
    <t>006151770</t>
  </si>
  <si>
    <t>Handbook of writing /</t>
  </si>
  <si>
    <t>Fitzhugh, Robert Tyson,</t>
  </si>
  <si>
    <t>uc1.b4093304</t>
  </si>
  <si>
    <t>006151773</t>
  </si>
  <si>
    <t>Words and sentences : including a review of grammar /</t>
  </si>
  <si>
    <t>Hitchcock, Alfred M.</t>
  </si>
  <si>
    <t>uc2.ark:/13960/t2j67mf7p</t>
  </si>
  <si>
    <t>nyp.33433069240806</t>
  </si>
  <si>
    <t>006151785</t>
  </si>
  <si>
    <t>The study of words,</t>
  </si>
  <si>
    <t>uc1.b4093334</t>
  </si>
  <si>
    <t>uc2.ark:/13960/t6rx9f61j</t>
  </si>
  <si>
    <t>uc1.$b617712</t>
  </si>
  <si>
    <t>006151790</t>
  </si>
  <si>
    <t>The philosophy of the human voice : embracing its physiological history; together with a system of principles, by which criticism in the art of elocution may be rendered inteligible [i.e. intelligible], and instruction, definite and comprehensive to which is added a brief analysis of song and recitative /</t>
  </si>
  <si>
    <t>Rush, James,</t>
  </si>
  <si>
    <t>uc1.b4093346</t>
  </si>
  <si>
    <t>uc1.b4089185</t>
  </si>
  <si>
    <t>006150549</t>
  </si>
  <si>
    <t>uc2.ark:/13960/t3cz3cs34</t>
  </si>
  <si>
    <t>006150602</t>
  </si>
  <si>
    <t>English, past and present : five lectures /</t>
  </si>
  <si>
    <t>uc2.ark:/13960/t39029345</t>
  </si>
  <si>
    <t>006150603</t>
  </si>
  <si>
    <t>English, past and present.</t>
  </si>
  <si>
    <t>njp.32101067683142</t>
  </si>
  <si>
    <t>006150759</t>
  </si>
  <si>
    <t>Zur Geschichte der englischen Gaumenlaute.</t>
  </si>
  <si>
    <t>Förster, Emil,</t>
  </si>
  <si>
    <t>uc1.b4089903</t>
  </si>
  <si>
    <t>njp.32101074743293</t>
  </si>
  <si>
    <t>006150767</t>
  </si>
  <si>
    <t>Changes in the English language, between the publication of Wiclif's Bible and that of the authorised version. A.D. 1400 to A.D. 1600.</t>
  </si>
  <si>
    <t>Wood, Henry Trueman,</t>
  </si>
  <si>
    <t>uc1.b4089917</t>
  </si>
  <si>
    <t>uc1.b4089918</t>
  </si>
  <si>
    <t>006150768</t>
  </si>
  <si>
    <t>The English language : its history and structure. With chapters on derivation, paraphrazing, sentence-making, and punctuation.</t>
  </si>
  <si>
    <t>uc2.ark:/13960/t57d3238n</t>
  </si>
  <si>
    <t>uc1.b4089929</t>
  </si>
  <si>
    <t>006150771</t>
  </si>
  <si>
    <t>The growth of English; an elementary account of the present form of our language, and its development,</t>
  </si>
  <si>
    <t>uc2.ark:/13960/t4kk9g153</t>
  </si>
  <si>
    <t>uc2.ark:/13960/t1qf8w058</t>
  </si>
  <si>
    <t>006150785</t>
  </si>
  <si>
    <t>Growth and structure of the English language,</t>
  </si>
  <si>
    <t>uc1.b4089992</t>
  </si>
  <si>
    <t>006150802</t>
  </si>
  <si>
    <t>uc1.b4091086</t>
  </si>
  <si>
    <t>006151173</t>
  </si>
  <si>
    <t>A new spelling book on the comparative method with side-lights from history.</t>
  </si>
  <si>
    <t>uc2.ark:/13960/t3jw8j71t</t>
  </si>
  <si>
    <t>uc1.b4091165</t>
  </si>
  <si>
    <t>006151214</t>
  </si>
  <si>
    <t>A history of English sounds from the earliest period : including an investigation of th general laws of sound change, and full word lists /</t>
  </si>
  <si>
    <t>uc1.b4091167</t>
  </si>
  <si>
    <t>006151215</t>
  </si>
  <si>
    <t>English composition and rhetoric /</t>
  </si>
  <si>
    <t>uc1.b4093319</t>
  </si>
  <si>
    <t>uc1.b4091182</t>
  </si>
  <si>
    <t>006151225</t>
  </si>
  <si>
    <t>English grammar and analysis,</t>
  </si>
  <si>
    <t>Davidson, William.</t>
  </si>
  <si>
    <t>uc2.ark:/13960/t2891c90w</t>
  </si>
  <si>
    <t>hvd.hwp9cr</t>
  </si>
  <si>
    <t>006151237</t>
  </si>
  <si>
    <t>The etymology and syntax of the English language explained and illustrated.</t>
  </si>
  <si>
    <t>Crombie, Alexander,</t>
  </si>
  <si>
    <t>uc1.b4091208</t>
  </si>
  <si>
    <t>uc2.ark:/13960/t0gt5rt81</t>
  </si>
  <si>
    <t>uc1.b4091209</t>
  </si>
  <si>
    <t>006151238</t>
  </si>
  <si>
    <t>A new English grammar, containing the nine parts of speech with compleat vocabulary, dialogues, anecdotes, letters moral and mercantile.</t>
  </si>
  <si>
    <t>Brown, John,</t>
  </si>
  <si>
    <t>Higher lessons in English : a work on English grammar and composition, in which the science of the language is made tributary to the art of expression : a course of practical lessons carefully graded, and adapted to every day use in the school-room /</t>
  </si>
  <si>
    <t>Reed, Alonzo,</t>
  </si>
  <si>
    <t>uc2.ark:/13960/t6vx0f74z</t>
  </si>
  <si>
    <t>nyp.33433081982237</t>
  </si>
  <si>
    <t>006110776</t>
  </si>
  <si>
    <t>Our living language: how to teach it and how to use it</t>
  </si>
  <si>
    <t>Driggs, Howard R.</t>
  </si>
  <si>
    <t>uc1.b3146711</t>
  </si>
  <si>
    <t>uc2.ark:/13960/t2s46t26v</t>
  </si>
  <si>
    <t>loc.ark:/13960/t3611vm2k</t>
  </si>
  <si>
    <t>006125244</t>
  </si>
  <si>
    <t>uc1.b3229122</t>
  </si>
  <si>
    <t>uc2.ark:/13960/t7hq41c3x</t>
  </si>
  <si>
    <t>uc1.b3230395</t>
  </si>
  <si>
    <t>006125277</t>
  </si>
  <si>
    <t>The convincing word /</t>
  </si>
  <si>
    <t>Watkins, Dwight Everett,</t>
  </si>
  <si>
    <t>uc1.b3290423</t>
  </si>
  <si>
    <t>006128682</t>
  </si>
  <si>
    <t>Shakspere's predecessors in the English drama /</t>
  </si>
  <si>
    <t>uc2.ark:/13960/t88g8q25b</t>
  </si>
  <si>
    <t>hvd.32044013637319</t>
  </si>
  <si>
    <t>006128966</t>
  </si>
  <si>
    <t>The history of English poetry, from the close of the eleventh to the commencement of the eighteenth century.</t>
  </si>
  <si>
    <t>hvd.32044014224984</t>
  </si>
  <si>
    <t>hvd.hwdqf6</t>
  </si>
  <si>
    <t>hvd.hwdqtw</t>
  </si>
  <si>
    <t>hvd.hwdqtx</t>
  </si>
  <si>
    <t>uc1.b3294890</t>
  </si>
  <si>
    <t>uc1.b3294891</t>
  </si>
  <si>
    <t>uc1.b3294892</t>
  </si>
  <si>
    <t>uc1.b3294893</t>
  </si>
  <si>
    <t>uc1.b3311811</t>
  </si>
  <si>
    <t>006130355</t>
  </si>
  <si>
    <t>v. 1-5</t>
  </si>
  <si>
    <t>uc1.b3311812</t>
  </si>
  <si>
    <t>v. 6-11</t>
  </si>
  <si>
    <t>uc1.b3311895</t>
  </si>
  <si>
    <t>006130386</t>
  </si>
  <si>
    <t>Literary remains of Charles Stuart Calverley /</t>
  </si>
  <si>
    <t>nc01.ark:/13960/t0rr2q686</t>
  </si>
  <si>
    <t>006130413</t>
  </si>
  <si>
    <t>Essays critical and imaginative,</t>
  </si>
  <si>
    <t>Wilson, John,</t>
  </si>
  <si>
    <t>nc01.ark:/13960/t21c2w19r</t>
  </si>
  <si>
    <t>nc01.ark:/13960/t6h13x17k</t>
  </si>
  <si>
    <t>nc01.ark:/13960/t6qz3493w</t>
  </si>
  <si>
    <t>uc1.b3311977</t>
  </si>
  <si>
    <t>uc1.b3311978</t>
  </si>
  <si>
    <t>uc1.b3311979</t>
  </si>
  <si>
    <t>uc1.b3311980</t>
  </si>
  <si>
    <t>uc1.b4068650</t>
  </si>
  <si>
    <t>006142832</t>
  </si>
  <si>
    <t>The sounds of Munster Irish : being a contribution to the phonology of Desi-Irish to serve as an introduction to the metrical system of Munster poetry /</t>
  </si>
  <si>
    <t>Henebry, Richard.</t>
  </si>
  <si>
    <t>nyp.33433081977500</t>
  </si>
  <si>
    <t>006147705</t>
  </si>
  <si>
    <t>German orthography and phonology : a treatise with a word-list /</t>
  </si>
  <si>
    <t>uc1.b4082328</t>
  </si>
  <si>
    <t>nyp.33433069239592</t>
  </si>
  <si>
    <t>006150538</t>
  </si>
  <si>
    <t>Origins of the English people and of the English language;</t>
  </si>
  <si>
    <t>Roemer, Jean,</t>
  </si>
  <si>
    <t>uc2.ark:/13960/t2k64jn0b</t>
  </si>
  <si>
    <t>uc1.b3130923</t>
  </si>
  <si>
    <t>006107399</t>
  </si>
  <si>
    <t>The English grammar of William Cobbett /</t>
  </si>
  <si>
    <t>uc2.ark:/13960/t34171z0t</t>
  </si>
  <si>
    <t>uc1.b3132074</t>
  </si>
  <si>
    <t>006107778</t>
  </si>
  <si>
    <t>Teaching the language-arts : speech, reading, composition /</t>
  </si>
  <si>
    <t>uc2.ark:/13960/t21c22c2x</t>
  </si>
  <si>
    <t>uc1.b305360</t>
  </si>
  <si>
    <t>006108588</t>
  </si>
  <si>
    <t>Common school English, a graded series of language lessons.</t>
  </si>
  <si>
    <t>Kennedy, James G.</t>
  </si>
  <si>
    <t>uc1.b3135237</t>
  </si>
  <si>
    <t>uc1.b3135318</t>
  </si>
  <si>
    <t>006108626</t>
  </si>
  <si>
    <t>uc1.b3135345</t>
  </si>
  <si>
    <t>006108644</t>
  </si>
  <si>
    <t>Poets of America /</t>
  </si>
  <si>
    <t>uc2.ark:/13960/t06w97721</t>
  </si>
  <si>
    <t>uc1.b3135346</t>
  </si>
  <si>
    <t>006108645</t>
  </si>
  <si>
    <t>Victorian poets /</t>
  </si>
  <si>
    <t>uc2.ark:/13960/t78s4tm33</t>
  </si>
  <si>
    <t>uc1.b3136287</t>
  </si>
  <si>
    <t>006109210</t>
  </si>
  <si>
    <t>Introduction to the English reader; or, A selection of pieces, in prose and poetry; calculated to improve the younger classes of learners in reading; and to imbue their minds with the love of virtue. To which are added, rules and observations for assisting children to read with propriety.</t>
  </si>
  <si>
    <t>uc1.b3136572</t>
  </si>
  <si>
    <t>006109281</t>
  </si>
  <si>
    <t>Key to the exercises, adapted to Murray's English grammar, calculated to enable private learners to become their own instructors, in grammar and composition.</t>
  </si>
  <si>
    <t>uc2.ark:/13960/t4kk9cc2w</t>
  </si>
  <si>
    <t>uc1.b3136896</t>
  </si>
  <si>
    <t>006109361</t>
  </si>
  <si>
    <t>The California text-book : containing a grammar of the Spanish language in English ; of the English in Spanish conversational dialogues in both languages, and a full description of California /</t>
  </si>
  <si>
    <t>Urcullu, José de,</t>
  </si>
  <si>
    <t>uc2.ark:/13960/t9k35vr8j</t>
  </si>
  <si>
    <t>uc1.b3139720</t>
  </si>
  <si>
    <t>006109445</t>
  </si>
  <si>
    <t>Outlines of the history of the English language for the use of the junior classes in colleges and the higher classes in schools.</t>
  </si>
  <si>
    <t>uc2.ark:/13960/t55d8wk9m</t>
  </si>
  <si>
    <t>uc1.$b617238</t>
  </si>
  <si>
    <t>006109550</t>
  </si>
  <si>
    <t>English composition.</t>
  </si>
  <si>
    <t>uc1.b3140735</t>
  </si>
  <si>
    <t>uc2.ark:/13960/t4pk0d505</t>
  </si>
  <si>
    <t>uc1.b3146104</t>
  </si>
  <si>
    <t>006110591</t>
  </si>
  <si>
    <t>English pronunciation for foreigners,</t>
  </si>
  <si>
    <t>uc2.ark:/13960/t9p26qn2m</t>
  </si>
  <si>
    <t>njp.32101073848424</t>
  </si>
  <si>
    <t>006099348</t>
  </si>
  <si>
    <t>Modern philology: its discoveries, history, and influence. With maps, tabular views, and an index.</t>
  </si>
  <si>
    <t>Dwight, Benjamin W.</t>
  </si>
  <si>
    <t>uc1.b638416</t>
  </si>
  <si>
    <t>uc1.b638417</t>
  </si>
  <si>
    <t>uc1.b638422</t>
  </si>
  <si>
    <t>006099351</t>
  </si>
  <si>
    <t>Language-student's manual,</t>
  </si>
  <si>
    <t>Patterson, William Robert.</t>
  </si>
  <si>
    <t>uc2.ark:/13960/t0vq2z943</t>
  </si>
  <si>
    <t>uc1.b665426</t>
  </si>
  <si>
    <t>006099863</t>
  </si>
  <si>
    <t>Selkirk, J. B.</t>
  </si>
  <si>
    <t>uc1.b3124576</t>
  </si>
  <si>
    <t>006105130</t>
  </si>
  <si>
    <t>The works of William Shakespeare : the text carefully restored according to the first editions /</t>
  </si>
  <si>
    <t>Shakespeare, William,</t>
  </si>
  <si>
    <t>uc1.b3124577</t>
  </si>
  <si>
    <t>uc1.b3124578</t>
  </si>
  <si>
    <t>uc1.b3124579</t>
  </si>
  <si>
    <t>uc1.b3124580</t>
  </si>
  <si>
    <t>uc1.b3124581</t>
  </si>
  <si>
    <t>uc1.b3124582</t>
  </si>
  <si>
    <t>uc1.b3124583</t>
  </si>
  <si>
    <t>uc1.b3124584</t>
  </si>
  <si>
    <t>uc1.b3124585</t>
  </si>
  <si>
    <t>uva.x030153931</t>
  </si>
  <si>
    <t>uc1.b3124948</t>
  </si>
  <si>
    <t>006105323</t>
  </si>
  <si>
    <t>Phonation ...</t>
  </si>
  <si>
    <t>Cutter, Ephraim,</t>
  </si>
  <si>
    <t>uc2.ark:/13960/t92806t2v</t>
  </si>
  <si>
    <t>uc1.b3127673</t>
  </si>
  <si>
    <t>006105976</t>
  </si>
  <si>
    <t>Anti mias : an essay in isometry /</t>
  </si>
  <si>
    <t>Walker, R. J.</t>
  </si>
  <si>
    <t>uc1.b3127674</t>
  </si>
  <si>
    <t>uc1.b3129803</t>
  </si>
  <si>
    <t>006106953</t>
  </si>
  <si>
    <t>Reliques of ancient English poetry : consisting of old heroic ballads, songs, and other pieces of our earlier poets, together with some of later date /</t>
  </si>
  <si>
    <t>uc1.b3129804</t>
  </si>
  <si>
    <t>uc1.b3129805</t>
  </si>
  <si>
    <t>uc2.ark:/13960/t5s75fk8g</t>
  </si>
  <si>
    <t>006107270</t>
  </si>
  <si>
    <t>The philology of the English tongue /</t>
  </si>
  <si>
    <t>uc1.b3130484</t>
  </si>
  <si>
    <t>006107271</t>
  </si>
  <si>
    <t>History of the English language /</t>
  </si>
  <si>
    <t>uc2.ark:/13960/t0tq6035h</t>
  </si>
  <si>
    <t>uc1.b3130486</t>
  </si>
  <si>
    <t>006107272</t>
  </si>
  <si>
    <t>A hand-book of the English language : for the use of students of the universities and higher classes of schools /</t>
  </si>
  <si>
    <t>uc2.ark:/13960/t13n27748</t>
  </si>
  <si>
    <t>loc.ark:/13960/t09w0z38b</t>
  </si>
  <si>
    <t>006107277</t>
  </si>
  <si>
    <t>Special method in language in the eight grades,</t>
  </si>
  <si>
    <t>McMurry, Charles Alexander,</t>
  </si>
  <si>
    <t>uc1.b306979</t>
  </si>
  <si>
    <t>uc1.b3130493</t>
  </si>
  <si>
    <t>nyp.33433082523394</t>
  </si>
  <si>
    <t>006107285</t>
  </si>
  <si>
    <t>The elements of reading and oratory ...</t>
  </si>
  <si>
    <t>Mandeville, Henry,</t>
  </si>
  <si>
    <t>uc1.b3130512</t>
  </si>
  <si>
    <t>uc1.b3130523</t>
  </si>
  <si>
    <t>006107287</t>
  </si>
  <si>
    <t>Delsarte system of oratory /</t>
  </si>
  <si>
    <t>inu.32000007692363</t>
  </si>
  <si>
    <t>006060075</t>
  </si>
  <si>
    <t>Lectures on the English poets and the English comic writers /</t>
  </si>
  <si>
    <t>uc2.ark:/13960/t7rn33f3r</t>
  </si>
  <si>
    <t>006064031</t>
  </si>
  <si>
    <t>Scottish life and poetry.</t>
  </si>
  <si>
    <t>uc1.b525120</t>
  </si>
  <si>
    <t>006085115</t>
  </si>
  <si>
    <t>The practical English grammar, with exercises and questions.</t>
  </si>
  <si>
    <t>Armstrong, Robert,</t>
  </si>
  <si>
    <t>uc1.b602629</t>
  </si>
  <si>
    <t>006092991</t>
  </si>
  <si>
    <t>An A.B.C. of English usage,</t>
  </si>
  <si>
    <t>Treble, H. A.</t>
  </si>
  <si>
    <t>nyp.33433069240947</t>
  </si>
  <si>
    <t>006093455</t>
  </si>
  <si>
    <t>English roots and the derivation of words from the ancient Anglo-Saxon : two lectures enlarged, with a Supplement /</t>
  </si>
  <si>
    <t>Hoare, Edward Newenham,</t>
  </si>
  <si>
    <t>uc1.b604709</t>
  </si>
  <si>
    <t>uc2.ark:/13960/t8ff3sj5r</t>
  </si>
  <si>
    <t>uc1.b604739</t>
  </si>
  <si>
    <t>006093471</t>
  </si>
  <si>
    <t>English roots and the derivation of words from the ancient Anglo-Saxon two lectures.</t>
  </si>
  <si>
    <t>uc2.ark:/13960/t7qn64q3k</t>
  </si>
  <si>
    <t>uc1.b604832</t>
  </si>
  <si>
    <t>006093514</t>
  </si>
  <si>
    <t>uc2.ark:/13960/t2n58jk9k</t>
  </si>
  <si>
    <t>uc1.b616443</t>
  </si>
  <si>
    <t>006096946</t>
  </si>
  <si>
    <t>A brief history of the English language,</t>
  </si>
  <si>
    <t>uc2.ark:/13960/t4cn7439v</t>
  </si>
  <si>
    <t>hvd.hx5dkp</t>
  </si>
  <si>
    <t>006096947</t>
  </si>
  <si>
    <t>The rise, progress, and present structure of the English language. /</t>
  </si>
  <si>
    <t>Harrison, Matthew,</t>
  </si>
  <si>
    <t>uc1.b616446</t>
  </si>
  <si>
    <t>uc2.ark:/13960/t7tm76f5r</t>
  </si>
  <si>
    <t>njp.32101071985772</t>
  </si>
  <si>
    <t>006096952</t>
  </si>
  <si>
    <t>The philology of the English tongue,</t>
  </si>
  <si>
    <t>uc1.b620286</t>
  </si>
  <si>
    <t>006097379</t>
  </si>
  <si>
    <t>A college course in writing from models,</t>
  </si>
  <si>
    <t>Young, Frances Campbell (Berkeley)</t>
  </si>
  <si>
    <t>uc2.ark:/13960/t7wm1934c</t>
  </si>
  <si>
    <t>uc1.b620566</t>
  </si>
  <si>
    <t>006097547</t>
  </si>
  <si>
    <t>Principles of composition,</t>
  </si>
  <si>
    <t>Boynton, Percy Holmes,</t>
  </si>
  <si>
    <t>uc2.ark:/13960/t4cn7438c</t>
  </si>
  <si>
    <t>uc1.b625395</t>
  </si>
  <si>
    <t>006098777</t>
  </si>
  <si>
    <t>Walker's critical pronouncing dictionary and expositor of the English language : abridged, containing many important words omitted in other abridgements, calculatea not only as a book of general reference, but as a complete class book for schools and academies to which is added, an abridgement of Walker's rules for the pronunciation of Greek, Latin, and Scripture proper names.</t>
  </si>
  <si>
    <t>uc2.ark:/13960/t81j9dv4b</t>
  </si>
  <si>
    <t>uc1.b625893</t>
  </si>
  <si>
    <t>006098936</t>
  </si>
  <si>
    <t>inu.32000006890950</t>
  </si>
  <si>
    <t>006054797</t>
  </si>
  <si>
    <t>Norse myth in English poetry,</t>
  </si>
  <si>
    <t>Herford, C. H.</t>
  </si>
  <si>
    <t>uc2.ark:/13960/t1xd13j7r</t>
  </si>
  <si>
    <t>inu.32000006890968</t>
  </si>
  <si>
    <t>006054799</t>
  </si>
  <si>
    <t>The mystical poets of the English church,</t>
  </si>
  <si>
    <t>Osmond, Percy Herbert,</t>
  </si>
  <si>
    <t>njp.32101072898602</t>
  </si>
  <si>
    <t>inu.30000005037720</t>
  </si>
  <si>
    <t>006054801</t>
  </si>
  <si>
    <t>A history of English balladry, and other studies.</t>
  </si>
  <si>
    <t>inu.30000011328907</t>
  </si>
  <si>
    <t>006057092</t>
  </si>
  <si>
    <t>Shakespeare : his life, art, and characters : with an historical sketch of the origin and growth of the drama in England /</t>
  </si>
  <si>
    <t>Hudson, Henry Norman,</t>
  </si>
  <si>
    <t>uc1.b3565706</t>
  </si>
  <si>
    <t>v.1 c.2</t>
  </si>
  <si>
    <t>uc1.b4110262</t>
  </si>
  <si>
    <t>inu.39000004516766</t>
  </si>
  <si>
    <t>006057684</t>
  </si>
  <si>
    <t>Specimens of the Table talk of Samuel Taylor Coleridge.</t>
  </si>
  <si>
    <t>inu.30000079451955</t>
  </si>
  <si>
    <t>006057691</t>
  </si>
  <si>
    <t>Biographia literaria, chapters I-IV, XIV-XXII. Wordsworth, prefaces and essays on poetry, 1800-1815,</t>
  </si>
  <si>
    <t>Coleridge, Samuel.</t>
  </si>
  <si>
    <t>inu.32000006449682</t>
  </si>
  <si>
    <t>006057714</t>
  </si>
  <si>
    <t>Scottish and other miscellanies /</t>
  </si>
  <si>
    <t>inu.32000000103962</t>
  </si>
  <si>
    <t>006058002</t>
  </si>
  <si>
    <t>Culture &amp; anarchy, an essay in political and social criticism; and Friendship's garland : being the conversations, letters, and opinions of the late Arminius, baron von Thunder-ten-Tronckh.</t>
  </si>
  <si>
    <t>inu.32000006464129</t>
  </si>
  <si>
    <t>006058403</t>
  </si>
  <si>
    <t>Characters of Shakespeare's plays : &amp; Lectures on the English poets /</t>
  </si>
  <si>
    <t>inu.32000005659364</t>
  </si>
  <si>
    <t>006058492</t>
  </si>
  <si>
    <t>Doctor Syntax's three tours: in search of the picturesque, consolation, and a wife.</t>
  </si>
  <si>
    <t>inu.30000005470244</t>
  </si>
  <si>
    <t>006058573</t>
  </si>
  <si>
    <t>Lives of the most eminent English poets, with critical observations on their works;</t>
  </si>
  <si>
    <t>inu.30000047616150</t>
  </si>
  <si>
    <t>006058976</t>
  </si>
  <si>
    <t>Roundabout papers (from the Cornhill magazine) to which is added the Second funeral of Napoleon. The four Georges. The English humourists of the eighteenth century ...</t>
  </si>
  <si>
    <t>inu.39000003784506</t>
  </si>
  <si>
    <t>006059205</t>
  </si>
  <si>
    <t>The lays of ancient Rome &amp; miscellaneous essays and poems.</t>
  </si>
  <si>
    <t>inu.32000004513109</t>
  </si>
  <si>
    <t>006059264</t>
  </si>
  <si>
    <t>George Meredith in anecdote and criticism /</t>
  </si>
  <si>
    <t>Hammerton, John Alexander,</t>
  </si>
  <si>
    <t>wu.89089004758</t>
  </si>
  <si>
    <t>005747880</t>
  </si>
  <si>
    <t>The burden of the Victorian lyric : a comparative study of Elizabethan and Victorian lyrics /</t>
  </si>
  <si>
    <t>Walbridge, Fannie Rose.</t>
  </si>
  <si>
    <t>wu.89094357498</t>
  </si>
  <si>
    <t>005753521</t>
  </si>
  <si>
    <t>Pronounciation of Greek and Latin /</t>
  </si>
  <si>
    <t>Benedict, Nehemiah Wisner,</t>
  </si>
  <si>
    <t>wu.89013483144</t>
  </si>
  <si>
    <t>005764102</t>
  </si>
  <si>
    <t>The art of memory; being a comprehensive and practical system of memory culture,</t>
  </si>
  <si>
    <t>Fuller, Henry H.</t>
  </si>
  <si>
    <t>wu.89094623584</t>
  </si>
  <si>
    <t>005764490</t>
  </si>
  <si>
    <t>Aptitudes and the languages,</t>
  </si>
  <si>
    <t>O'Connor, Johnson,</t>
  </si>
  <si>
    <t>wu.89098851819</t>
  </si>
  <si>
    <t>005777080</t>
  </si>
  <si>
    <t>Speech and manners for home and school /</t>
  </si>
  <si>
    <t>Kirkland, E. S.</t>
  </si>
  <si>
    <t>nyp.33433074838784</t>
  </si>
  <si>
    <t>005828571</t>
  </si>
  <si>
    <t>Popular songs of Ireland /</t>
  </si>
  <si>
    <t>Croker, Thomas Crofton,</t>
  </si>
  <si>
    <t>uc1.$b436676</t>
  </si>
  <si>
    <t>uc2.ark:/13960/t0cv4bq0w</t>
  </si>
  <si>
    <t>uc1.b4545579</t>
  </si>
  <si>
    <t>005873372</t>
  </si>
  <si>
    <t>wu.89097339261</t>
  </si>
  <si>
    <t>wu.89080123524</t>
  </si>
  <si>
    <t>005921629</t>
  </si>
  <si>
    <t>Lessons in English grammar,</t>
  </si>
  <si>
    <t>nyp.33433081982286</t>
  </si>
  <si>
    <t>005932783</t>
  </si>
  <si>
    <t>The English language /</t>
  </si>
  <si>
    <t>uc1.$b616466</t>
  </si>
  <si>
    <t>uc1.$b616467</t>
  </si>
  <si>
    <t>uc2.ark:/13960/t74t6kk62</t>
  </si>
  <si>
    <t>njp.32101067483501</t>
  </si>
  <si>
    <t>005934640</t>
  </si>
  <si>
    <t>Sequel to the English reader : or, Elegant selections in prose and poetry ... /</t>
  </si>
  <si>
    <t>mdp.39015071701689</t>
  </si>
  <si>
    <t>005938322</t>
  </si>
  <si>
    <t>inu.32000009469125</t>
  </si>
  <si>
    <t>006034111</t>
  </si>
  <si>
    <t>Chronicles of England; a metrical history.</t>
  </si>
  <si>
    <t>Raymond, George.</t>
  </si>
  <si>
    <t>inu.32000007478144</t>
  </si>
  <si>
    <t>006054016</t>
  </si>
  <si>
    <t>Disguise plots in Elizabethan drama; a study in stage tradition,</t>
  </si>
  <si>
    <t>uc2.ark:/13960/t56d5t71m</t>
  </si>
  <si>
    <t>006054748</t>
  </si>
  <si>
    <t>A compendious history of English literature, and of the English language, from the Norman conquest : with numerous specimens /</t>
  </si>
  <si>
    <t>uc2.ark:/13960/t7br8rg6q</t>
  </si>
  <si>
    <t>inu.39000002419484</t>
  </si>
  <si>
    <t>006054762</t>
  </si>
  <si>
    <t>inu.39000001470173</t>
  </si>
  <si>
    <t>006054763</t>
  </si>
  <si>
    <t>inu.39000000145347</t>
  </si>
  <si>
    <t>006054764</t>
  </si>
  <si>
    <t>inu.30000053832469</t>
  </si>
  <si>
    <t>006054765</t>
  </si>
  <si>
    <t>"The influence of the revival of classical studies on English literature during the reigns of Elizabeth and James I." An essay which obtained the Le Bas prize for the year 1856.</t>
  </si>
  <si>
    <t>Farrar, Frederic William,</t>
  </si>
  <si>
    <t>Correct English ; complete grammar and drill book /</t>
  </si>
  <si>
    <t>Baker, Josephine Turck.</t>
  </si>
  <si>
    <t>mdp.35128001330099</t>
  </si>
  <si>
    <t>005332296</t>
  </si>
  <si>
    <t>Direct communication, written and spoken</t>
  </si>
  <si>
    <t>Davis, Robert Gorham.</t>
  </si>
  <si>
    <t>mdp.39015062319499</t>
  </si>
  <si>
    <t>005370339</t>
  </si>
  <si>
    <t>Attic &amp; Elizabethan tragedy,</t>
  </si>
  <si>
    <t>Watt, Lauchlan MacLean,</t>
  </si>
  <si>
    <t>mdp.39015069112186</t>
  </si>
  <si>
    <t>005373834</t>
  </si>
  <si>
    <t>Ways of thinking and writing /</t>
  </si>
  <si>
    <t>Cushwa, Frank W.</t>
  </si>
  <si>
    <t>uc1.b257889</t>
  </si>
  <si>
    <t>005558465</t>
  </si>
  <si>
    <t>A grammar of rhetoric and polite literature; comprehending the principles of language and style; the elements of taste and criticism; with rules for the study of composition and eloquence ...</t>
  </si>
  <si>
    <t>uc2.ark:/13960/t09w0cm3m</t>
  </si>
  <si>
    <t>uc2.ark:/13960/t3rv0m63n</t>
  </si>
  <si>
    <t>005571146</t>
  </si>
  <si>
    <t>The old English dramatists /</t>
  </si>
  <si>
    <t>mdp.39015071314804</t>
  </si>
  <si>
    <t>005623285</t>
  </si>
  <si>
    <t>Preparation for college English : an interpretation of college entrance standards in English /</t>
  </si>
  <si>
    <t>uc1.b179516</t>
  </si>
  <si>
    <t>005697056</t>
  </si>
  <si>
    <t>Origins and meanings of popular phrases and names,</t>
  </si>
  <si>
    <t>Hargrave, Basil.</t>
  </si>
  <si>
    <t>uc2.ark:/13960/t7xk87d1r</t>
  </si>
  <si>
    <t>wu.89094396157</t>
  </si>
  <si>
    <t>uc1.b287854</t>
  </si>
  <si>
    <t>005715176</t>
  </si>
  <si>
    <t>The theory and practice of technical writing,</t>
  </si>
  <si>
    <t>uc2.ark:/13960/t8df6mq9p</t>
  </si>
  <si>
    <t>wu.89083906321</t>
  </si>
  <si>
    <t>wu.89037965498</t>
  </si>
  <si>
    <t>005716937</t>
  </si>
  <si>
    <t>wu.89037965522</t>
  </si>
  <si>
    <t>005716940</t>
  </si>
  <si>
    <t>Rhythm and harmony in poetry and music, together with Music as a representative art;</t>
  </si>
  <si>
    <t>loc.ark:/13960/t3708z54k</t>
  </si>
  <si>
    <t>005723780</t>
  </si>
  <si>
    <t>Technical writing,</t>
  </si>
  <si>
    <t>Rickard, T. A.</t>
  </si>
  <si>
    <t>uc1.b33579</t>
  </si>
  <si>
    <t>uc2.ark:/13960/t94748759</t>
  </si>
  <si>
    <t>wu.89047181920</t>
  </si>
  <si>
    <t>wu.89083906610</t>
  </si>
  <si>
    <t>wu.89011020914</t>
  </si>
  <si>
    <t>005726987</t>
  </si>
  <si>
    <t>The pejorative development : the meaning of English words /</t>
  </si>
  <si>
    <t>Bleyer, Willard Grosvenor,</t>
  </si>
  <si>
    <t>uc1.b3126779</t>
  </si>
  <si>
    <t>005735601</t>
  </si>
  <si>
    <t>English in business and engineering,</t>
  </si>
  <si>
    <t>Stevenson, Brenton Wallace,</t>
  </si>
  <si>
    <t>wu.89083906669</t>
  </si>
  <si>
    <t>wu.89083906917</t>
  </si>
  <si>
    <t>005735606</t>
  </si>
  <si>
    <t>Good form in technical writing /</t>
  </si>
  <si>
    <t>wu.89085970291</t>
  </si>
  <si>
    <t>005739504</t>
  </si>
  <si>
    <t>Some objective methods of measuring excellence in English composition /</t>
  </si>
  <si>
    <t>Dolch, Edward W.</t>
  </si>
  <si>
    <t>Hill's manual of social &amp; business forms : a guide to correct writing, showing how to express written thought plainly, rapidly, elegantly and correctly in social and business life : embracing instruction and examples in penmanship, spelling, use of capital letters, punctuation, composition, writing for the press, proof-reading, epistolary correspondence, notes of invitation, cards, commercial forms, legal business forms, family records, synonyms, short-hand writing, duties of secretaries, Parliamentary rules, sign writing, epitaths, engravers' inscriptions, brush-marking, job printing, postal regulations, writing poetry, etc., etc. /</t>
  </si>
  <si>
    <t>Hill, Thomas E.</t>
  </si>
  <si>
    <t>mdp.39015062434876</t>
  </si>
  <si>
    <t>005085058</t>
  </si>
  <si>
    <t>English pattern practices : establishing the patterns as habits /</t>
  </si>
  <si>
    <t>Lado, Robert,</t>
  </si>
  <si>
    <t>mdp.39015062434884</t>
  </si>
  <si>
    <t>005085078</t>
  </si>
  <si>
    <t>English sentence patterns : understanding and producing grammatical structures : an oral approach /</t>
  </si>
  <si>
    <t>mdp.39015062318707</t>
  </si>
  <si>
    <t>005087985</t>
  </si>
  <si>
    <t>Euphues : the Peripatician /</t>
  </si>
  <si>
    <t>uc2.ark:/13960/t4gm83s1h</t>
  </si>
  <si>
    <t>mdp.49015002998822</t>
  </si>
  <si>
    <t>005120204</t>
  </si>
  <si>
    <t>The history of England from the accession of James II /</t>
  </si>
  <si>
    <t>mdp.49015003003606</t>
  </si>
  <si>
    <t>mdp.49015003003614</t>
  </si>
  <si>
    <t>mdp.49015003003622</t>
  </si>
  <si>
    <t>mdp.49015003003630</t>
  </si>
  <si>
    <t>mdp.39015064790242</t>
  </si>
  <si>
    <t>005219509</t>
  </si>
  <si>
    <t>English phonetics : (especially for teachers of English as a foreign language) /</t>
  </si>
  <si>
    <t>Shên, Yao,</t>
  </si>
  <si>
    <t>mdp.39015063640331</t>
  </si>
  <si>
    <t>005237318</t>
  </si>
  <si>
    <t>Lyrical ballads : reprinted from the first edition of 1798 /</t>
  </si>
  <si>
    <t>hvd.32044011327319</t>
  </si>
  <si>
    <t>005260976</t>
  </si>
  <si>
    <t>Culture and anarchy : an essay in political and social criticism /</t>
  </si>
  <si>
    <t>uc1.b3315315</t>
  </si>
  <si>
    <t>005261351</t>
  </si>
  <si>
    <t>The coming of love : and other poems /</t>
  </si>
  <si>
    <t>mdp.39015065549829</t>
  </si>
  <si>
    <t>005265968</t>
  </si>
  <si>
    <t>Sketches in history and poetry /</t>
  </si>
  <si>
    <t>Shairp, J. C.</t>
  </si>
  <si>
    <t>uc2.ark:/13960/t6g15xz4p</t>
  </si>
  <si>
    <t>uc1.32106018715638</t>
  </si>
  <si>
    <t>005267737</t>
  </si>
  <si>
    <t>Tragedy, rhetoric, and the historiography of Tacitus' Annales /</t>
  </si>
  <si>
    <t>Santoro L'Hoir, Francesca.</t>
  </si>
  <si>
    <t>mdp.35128001329844</t>
  </si>
  <si>
    <t>005332273</t>
  </si>
  <si>
    <t>The international reciter : a complete program and manual of modern elocution containing the best productions by the best authors, with an exhaustive treatise on the subject of vocal and physical culture and gesturing. . . including recitals in prose and verse.</t>
  </si>
  <si>
    <t>Kightlinger, Flora N.</t>
  </si>
  <si>
    <t>mdp.49015002684083</t>
  </si>
  <si>
    <t>004541279</t>
  </si>
  <si>
    <t>Critical and miscellaneous essays : collected and republished (first time 1839, final 1869) /</t>
  </si>
  <si>
    <t>mdp.49015002684091</t>
  </si>
  <si>
    <t>mdp.49015002684109</t>
  </si>
  <si>
    <t>mdp.49015002684117</t>
  </si>
  <si>
    <t>mdp.39015061866367</t>
  </si>
  <si>
    <t>004972008</t>
  </si>
  <si>
    <t>The modern business speller : including pronunciation and meaning of more than 3,000 different words and rules of spelling preceded by an orthoepy, for use in business colleges, academies and high schools /</t>
  </si>
  <si>
    <t>Mayne, D. D.</t>
  </si>
  <si>
    <t>nyp.33433069252884</t>
  </si>
  <si>
    <t>mdp.39015061866359</t>
  </si>
  <si>
    <t>004972160</t>
  </si>
  <si>
    <t>A practical English grammar : for grammar schools, ungraded schools, academies, and the lower grades in high schools /</t>
  </si>
  <si>
    <t>Hyde, Mary F.</t>
  </si>
  <si>
    <t>mdp.39015061869049</t>
  </si>
  <si>
    <t>004974457</t>
  </si>
  <si>
    <t>mdp.39015061869056</t>
  </si>
  <si>
    <t>mdp.39015061869064</t>
  </si>
  <si>
    <t>uc2.ark:/13960/t1pg1jr8t</t>
  </si>
  <si>
    <t>uc2.ark:/13960/t4nk37g2x</t>
  </si>
  <si>
    <t>uc2.ark:/13960/t7fq9rq1d</t>
  </si>
  <si>
    <t>mdp.39015061869536</t>
  </si>
  <si>
    <t>004977713</t>
  </si>
  <si>
    <t>Language lessons /</t>
  </si>
  <si>
    <t>uc1.b306948</t>
  </si>
  <si>
    <t>uc2.ark:/13960/t6930sq25</t>
  </si>
  <si>
    <t>mdp.39015061869569</t>
  </si>
  <si>
    <t>004977743</t>
  </si>
  <si>
    <t>Intermediate lessons in English grammar.</t>
  </si>
  <si>
    <t>mdp.39015061467596</t>
  </si>
  <si>
    <t>004983760</t>
  </si>
  <si>
    <t>004436914</t>
  </si>
  <si>
    <t>mdp.49015000548876</t>
  </si>
  <si>
    <t>004436927</t>
  </si>
  <si>
    <t>Elizabethan drama, 1558-1642; a history of the drama in England from the accession of Queen Elizabeth to the closing of the theaters, to which is prefixed a résumé of the earlier drama from its beginnings,</t>
  </si>
  <si>
    <t>mdp.49015002914126</t>
  </si>
  <si>
    <t>004455682</t>
  </si>
  <si>
    <t>Word origins; the romance of language.</t>
  </si>
  <si>
    <t>Hunt, Cecil,</t>
  </si>
  <si>
    <t>mdp.49015000751546</t>
  </si>
  <si>
    <t>004457422</t>
  </si>
  <si>
    <t>The training of boys' voices,</t>
  </si>
  <si>
    <t>Johnson, Claude Ellsworth.</t>
  </si>
  <si>
    <t>mdp.49015000759614</t>
  </si>
  <si>
    <t>004458215</t>
  </si>
  <si>
    <t>A history of literary criticism in the renaissance.</t>
  </si>
  <si>
    <t>mdp.49015000813957</t>
  </si>
  <si>
    <t>004463623</t>
  </si>
  <si>
    <t>mdp.49015000870890</t>
  </si>
  <si>
    <t>004469581</t>
  </si>
  <si>
    <t>Government regulation of the Elizabethan drama.</t>
  </si>
  <si>
    <t>Gildersleeve, Virginia Crocheron,</t>
  </si>
  <si>
    <t>mdp.49015000900655</t>
  </si>
  <si>
    <t>004472734</t>
  </si>
  <si>
    <t>The science and art of elocution;</t>
  </si>
  <si>
    <t>mdp.49015000900663</t>
  </si>
  <si>
    <t>004472735</t>
  </si>
  <si>
    <t>Advanced elocution; designed as a practical treatise for teachers and students in vocal training, articulation, physical culture and gesture,</t>
  </si>
  <si>
    <t>Shoemaker, Rachel Walter (Hinkle),</t>
  </si>
  <si>
    <t>mdp.49015000901851</t>
  </si>
  <si>
    <t>004472838</t>
  </si>
  <si>
    <t>Reading and elocution: theoretical and practical.</t>
  </si>
  <si>
    <t>Randall Diehl, Anna.</t>
  </si>
  <si>
    <t>mdp.49015001286021</t>
  </si>
  <si>
    <t>004511723</t>
  </si>
  <si>
    <t>Table talk of Samuel Taylor Coleridge, and The Rime of the ancient mariner, Christabel, &amp;c.,</t>
  </si>
  <si>
    <t>mdp.49015001303669</t>
  </si>
  <si>
    <t>004513531</t>
  </si>
  <si>
    <t>The history of the English language.</t>
  </si>
  <si>
    <t>Emerson, Oliver Farrar,</t>
  </si>
  <si>
    <t>mdp.39015000528946</t>
  </si>
  <si>
    <t>004513730</t>
  </si>
  <si>
    <t>Essentials of English grammar /</t>
  </si>
  <si>
    <t>mdp.49015001413815</t>
  </si>
  <si>
    <t>004525279</t>
  </si>
  <si>
    <t>A practical manual of elocution : embracing voice and gesture.</t>
  </si>
  <si>
    <t>Caldwell, Merritt,</t>
  </si>
  <si>
    <t>mdp.49015001414011</t>
  </si>
  <si>
    <t>004525299</t>
  </si>
  <si>
    <t>Elocution and the dramatic art.</t>
  </si>
  <si>
    <t>Smithson, David J.</t>
  </si>
  <si>
    <t>mdp.49015001414078</t>
  </si>
  <si>
    <t>004525305</t>
  </si>
  <si>
    <t>A history of English poetry from the aesthetic point of view. Part I. The period from Langland to Spenser /</t>
  </si>
  <si>
    <t>Peterson, Hans Christian,</t>
  </si>
  <si>
    <t>uc2.ark:/13960/t3xs5rv42</t>
  </si>
  <si>
    <t>mdp.39015071589686</t>
  </si>
  <si>
    <t>003935567</t>
  </si>
  <si>
    <t>A course in argumentative writing /</t>
  </si>
  <si>
    <t>mdp.39015071637248</t>
  </si>
  <si>
    <t>003937190</t>
  </si>
  <si>
    <t>Studies by members of the Department of English, series number 2.</t>
  </si>
  <si>
    <t>mdp.39015071694207</t>
  </si>
  <si>
    <t>003937672</t>
  </si>
  <si>
    <t>An introduction to the methods and materials of literary criticism : the bases in aesthetics and poetics /</t>
  </si>
  <si>
    <t>mdp.39015071694132</t>
  </si>
  <si>
    <t>003937702</t>
  </si>
  <si>
    <t>mdp.39015071694215</t>
  </si>
  <si>
    <t>003937709</t>
  </si>
  <si>
    <t>mdp.39015071694223</t>
  </si>
  <si>
    <t>mdp.39015071694272</t>
  </si>
  <si>
    <t>003937713</t>
  </si>
  <si>
    <t>Paragraph-writing, : with appendices on newspaper 'style' and proof-reading; /</t>
  </si>
  <si>
    <t>mdp.39015071117785</t>
  </si>
  <si>
    <t>004159789</t>
  </si>
  <si>
    <t>On the limits of descriptive writing apropos of Lessing's Laocoon, by Frank Egbert Bryant ...</t>
  </si>
  <si>
    <t>mdp.39015047088870</t>
  </si>
  <si>
    <t>004197223</t>
  </si>
  <si>
    <t>Advanced pages of Elements of English grammar,</t>
  </si>
  <si>
    <t>Brown, George P.</t>
  </si>
  <si>
    <t>mdp.49015000372020</t>
  </si>
  <si>
    <t>004419131</t>
  </si>
  <si>
    <t>mdp.49015000372442</t>
  </si>
  <si>
    <t>004419172</t>
  </si>
  <si>
    <t>The pronunciation of standard English in America /</t>
  </si>
  <si>
    <t>mdp.49015002910405</t>
  </si>
  <si>
    <t>004420711</t>
  </si>
  <si>
    <t>The rhyming dictionary of the English language : in which the whole language is arranged according to its terminations, with an index of allowable rhymes /</t>
  </si>
  <si>
    <t>mdp.49015000388034</t>
  </si>
  <si>
    <t>004420715</t>
  </si>
  <si>
    <t>Wood's Unabridged rhyming dictionary,</t>
  </si>
  <si>
    <t>Wood, Clement,</t>
  </si>
  <si>
    <t>mdp.49015002910413</t>
  </si>
  <si>
    <t>mdp.49015000466566</t>
  </si>
  <si>
    <t>004428617</t>
  </si>
  <si>
    <t>Some diversions of a man of letters,</t>
  </si>
  <si>
    <t>mdp.49015000477258</t>
  </si>
  <si>
    <t>004429745</t>
  </si>
  <si>
    <t>A history of Elizabethan literature.</t>
  </si>
  <si>
    <t>mdp.49015000485749</t>
  </si>
  <si>
    <t>004430614</t>
  </si>
  <si>
    <t>Help for the teacher of written composition : new directions in research /</t>
  </si>
  <si>
    <t>mdp.49015000495409</t>
  </si>
  <si>
    <t>004431604</t>
  </si>
  <si>
    <t>mdp.49015002092766</t>
  </si>
  <si>
    <t>004431741</t>
  </si>
  <si>
    <t>mdp.49015002092774</t>
  </si>
  <si>
    <t>mdp.49015000498247</t>
  </si>
  <si>
    <t>004431882</t>
  </si>
  <si>
    <t>Elizabethan poetry in the eighteenth century.</t>
  </si>
  <si>
    <t>Wasserman, Earl R.</t>
  </si>
  <si>
    <t>mdp.49015000548769</t>
  </si>
  <si>
    <t>003887181</t>
  </si>
  <si>
    <t>Poems &amp; ballads : second &amp; third series /</t>
  </si>
  <si>
    <t>mdp.39015033689772</t>
  </si>
  <si>
    <t>003915548</t>
  </si>
  <si>
    <t>Collections and notes, 1867-1876; Second series ofBibliographical collections and notes on early English literature, 1474-1700.</t>
  </si>
  <si>
    <t>uc1.32106002801923</t>
  </si>
  <si>
    <t>003915555</t>
  </si>
  <si>
    <t>Check-list or brief catalogue of the English books, 1475-1640, in the Henry E. Huntington library and art gallery,</t>
  </si>
  <si>
    <t>mdp.39015024941562</t>
  </si>
  <si>
    <t>003918549</t>
  </si>
  <si>
    <t>[Pamphlets in philology and the humanities. Vol. 15].</t>
  </si>
  <si>
    <t>mdp.39015025255715</t>
  </si>
  <si>
    <t>003918707</t>
  </si>
  <si>
    <t>[Pamphlets in philology and the humanities. Vol. 2]</t>
  </si>
  <si>
    <t>mdp.39015025255723</t>
  </si>
  <si>
    <t>003918708</t>
  </si>
  <si>
    <t>[Pamphlets in philology and the humanities. Vol. 4]</t>
  </si>
  <si>
    <t>mdp.39015024941133</t>
  </si>
  <si>
    <t>003918714</t>
  </si>
  <si>
    <t>[Pamphlets in philology and the humanities. Vol. 22].</t>
  </si>
  <si>
    <t>mdp.39015024941612</t>
  </si>
  <si>
    <t>003918721</t>
  </si>
  <si>
    <t>[Pamphlets in philology and the humanities. Vol. 1].</t>
  </si>
  <si>
    <t>mdp.39015024941604</t>
  </si>
  <si>
    <t>003918734</t>
  </si>
  <si>
    <t>[Pamphlets in philology and the humanities Vol.3].</t>
  </si>
  <si>
    <t>mdp.39015025255731</t>
  </si>
  <si>
    <t>003918849</t>
  </si>
  <si>
    <t>[Pamphlets in philology and the humanities. Vol. 5]</t>
  </si>
  <si>
    <t>mdp.39015025255756</t>
  </si>
  <si>
    <t>003918876</t>
  </si>
  <si>
    <t>[Pamphlets in philology and the humanities. Vol. 9]</t>
  </si>
  <si>
    <t>mdp.39015025255780</t>
  </si>
  <si>
    <t>003918908</t>
  </si>
  <si>
    <t>[Pamphlets in philology and the humanities. Vol. 12]</t>
  </si>
  <si>
    <t>mdp.39015025255798</t>
  </si>
  <si>
    <t>003918925</t>
  </si>
  <si>
    <t>[Pamphlets in philology and the humanities. Vol. 14]</t>
  </si>
  <si>
    <t>mdp.39015024941570</t>
  </si>
  <si>
    <t>003918953</t>
  </si>
  <si>
    <t>[Pamphlets in philology and the humanities. Vol. 17]</t>
  </si>
  <si>
    <t>mdp.39015009375083</t>
  </si>
  <si>
    <t>003922930</t>
  </si>
  <si>
    <t>Aristotle's Treatise on rhetoric, literally translated with Hobbes' analysis, examination questions, and an appendix containing the Greek definitions.</t>
  </si>
  <si>
    <t>Aristotle</t>
  </si>
  <si>
    <t>mdp.39015013429330</t>
  </si>
  <si>
    <t>miun.bac1501.0009.001</t>
  </si>
  <si>
    <t>003925768</t>
  </si>
  <si>
    <t>[Christian pamphlets. Vol. 9].</t>
  </si>
  <si>
    <t>miun.bac1512.0013.001</t>
  </si>
  <si>
    <t>003925772</t>
  </si>
  <si>
    <t>[Christian pamphlets. Vol. 13].</t>
  </si>
  <si>
    <t>uc2.ark:/13960/t18k79v00</t>
  </si>
  <si>
    <t>003929137</t>
  </si>
  <si>
    <t>Training in English composition /</t>
  </si>
  <si>
    <t>njp.32101072898610</t>
  </si>
  <si>
    <t>003929185</t>
  </si>
  <si>
    <t>The oldest English epic : Beowulf, Finnsburg, Waldere, Deor, Widsith, and the German Hildebrand /</t>
  </si>
  <si>
    <t>mdp.39015008864681</t>
  </si>
  <si>
    <t>003569673</t>
  </si>
  <si>
    <t>Select translations from Scaliger's Poetics,</t>
  </si>
  <si>
    <t>Scaligero, Giulio Cesare,</t>
  </si>
  <si>
    <t>mdp.39015053481746</t>
  </si>
  <si>
    <t>003581245</t>
  </si>
  <si>
    <t>The speaker; or Miscellaneous pieces, selected from the best English writers, disposed under proper heads for the improvement of youth, in reading and speaking; to which is prefixed An essay on elocution.</t>
  </si>
  <si>
    <t>Enfield, William,</t>
  </si>
  <si>
    <t>mdp.39015054109569</t>
  </si>
  <si>
    <t>003596114</t>
  </si>
  <si>
    <t>Poems of the English race,</t>
  </si>
  <si>
    <t>mdp.39015013275113</t>
  </si>
  <si>
    <t>003600711</t>
  </si>
  <si>
    <t>The science of speech,</t>
  </si>
  <si>
    <t>Bell, Alexander Melville.</t>
  </si>
  <si>
    <t>nyp.33433074391412</t>
  </si>
  <si>
    <t>uc1.b64568</t>
  </si>
  <si>
    <t>uc2.ark:/13960/t8jd4s52b</t>
  </si>
  <si>
    <t>uc1.b3548829</t>
  </si>
  <si>
    <t>003706632</t>
  </si>
  <si>
    <t>Tropes and figures in Anglo-Saxon prose.</t>
  </si>
  <si>
    <t>Tupper, James Waddell,</t>
  </si>
  <si>
    <t>uc2.ark:/13960/t6g163q21</t>
  </si>
  <si>
    <t>mdp.39015055435716</t>
  </si>
  <si>
    <t>003783706</t>
  </si>
  <si>
    <t>What is English? : A book of strategy for English teachers /</t>
  </si>
  <si>
    <t>Ward, C. H.</t>
  </si>
  <si>
    <t>nyp.33433069253502</t>
  </si>
  <si>
    <t>uc1.b301264</t>
  </si>
  <si>
    <t>uc2.ark:/13960/t5h992z92</t>
  </si>
  <si>
    <t>mdp.39015003959361</t>
  </si>
  <si>
    <t>003787171</t>
  </si>
  <si>
    <t>Public speaking /</t>
  </si>
  <si>
    <t>miun.auh9586.0001.001</t>
  </si>
  <si>
    <t>uc1.b14724</t>
  </si>
  <si>
    <t>003792671</t>
  </si>
  <si>
    <t>On the history and use of the suffixes -ery (-ry), -age, and -ment in English.</t>
  </si>
  <si>
    <t>Gadde, Fredrik,</t>
  </si>
  <si>
    <t>uc2.ark:/13960/t9h41mw6p</t>
  </si>
  <si>
    <t>mdp.39015014594579</t>
  </si>
  <si>
    <t>003797275</t>
  </si>
  <si>
    <t>Manual of French pronunciation, with selections for practice in prose and poetry,</t>
  </si>
  <si>
    <t>Mixer, A. H.</t>
  </si>
  <si>
    <t>uc1.b14620</t>
  </si>
  <si>
    <t>003841448</t>
  </si>
  <si>
    <t>The spelling of English by Porto Rican pupils,</t>
  </si>
  <si>
    <t>St. John, Charles Webster.</t>
  </si>
  <si>
    <t>uc2.ark:/13960/t7br8p47w</t>
  </si>
  <si>
    <t>mdp.39015071619915</t>
  </si>
  <si>
    <t>003842153</t>
  </si>
  <si>
    <t>Synthesis of the English sentence, or, An elementary grammar on the synthetic method /</t>
  </si>
  <si>
    <t>mdp.39015057088216</t>
  </si>
  <si>
    <t>003860159</t>
  </si>
  <si>
    <t>mdp.39015056848602</t>
  </si>
  <si>
    <t>003865952</t>
  </si>
  <si>
    <t>The elements of English composition : a preparation for rhetoric /</t>
  </si>
  <si>
    <t>Chittenden, L. A.</t>
  </si>
  <si>
    <t>uc1.b306945</t>
  </si>
  <si>
    <t>uc2.ark:/13960/t5p847m8g</t>
  </si>
  <si>
    <t>uc1.b3850894</t>
  </si>
  <si>
    <t>Poems. 3d series /</t>
  </si>
  <si>
    <t>Dickinson, Emily,</t>
  </si>
  <si>
    <t>uc2.ark:/13960/t92806d8c</t>
  </si>
  <si>
    <t>mdp.39015041478259</t>
  </si>
  <si>
    <t>003311828</t>
  </si>
  <si>
    <t>Oskegh_x0013__x0001_n banali anglier_x0013__x0001_n lezui /</t>
  </si>
  <si>
    <t>Paghtasarean, G.</t>
  </si>
  <si>
    <t>inu.30000035051881</t>
  </si>
  <si>
    <t>003311921</t>
  </si>
  <si>
    <t>A grammar of rhetoric and polite literature : comprehending the principles of language and style : the elements of taste and criticism : with rules for the study of composition and eloquence : illustrated by appropriate examples selected chiefly from the British classics : for the use of schools, or private instruction /</t>
  </si>
  <si>
    <t>Jamieson, Alexander.</t>
  </si>
  <si>
    <t>mdp.39015071698497</t>
  </si>
  <si>
    <t>003317286</t>
  </si>
  <si>
    <t>Materials for the study of rhetoric and composition, : for the use of students in courses 3 and 4. /</t>
  </si>
  <si>
    <t>mdp.39015071701671</t>
  </si>
  <si>
    <t>003318202</t>
  </si>
  <si>
    <t>Michigan deskbook of English composition /</t>
  </si>
  <si>
    <t>Everett, Edward Simpson,</t>
  </si>
  <si>
    <t>mdp.39015071702588</t>
  </si>
  <si>
    <t>003318204</t>
  </si>
  <si>
    <t>Public speaking, a practical text for beginning students,</t>
  </si>
  <si>
    <t>Dahlström, Carl Enoch William Leonard.</t>
  </si>
  <si>
    <t>mdp.39015071701663</t>
  </si>
  <si>
    <t>003318206</t>
  </si>
  <si>
    <t>Michigan deskbook of English composition</t>
  </si>
  <si>
    <t>mdp.39015071689025</t>
  </si>
  <si>
    <t>003319167</t>
  </si>
  <si>
    <t>Elements of style; outlines in theory and analysis,</t>
  </si>
  <si>
    <t>Morris, Amos Reno,</t>
  </si>
  <si>
    <t>miun.asj7483.0001.001</t>
  </si>
  <si>
    <t>003340112</t>
  </si>
  <si>
    <t>Dictionary of spoken Chinese : Chinese-English, English-Chinese /</t>
  </si>
  <si>
    <t>mdp.39015043208811</t>
  </si>
  <si>
    <t>003342606</t>
  </si>
  <si>
    <t>Literature and the art of writing : an introduction to the courses of required English in the College of Liberal Arts and the School of Letters at the University of Iowa, 1934-35.</t>
  </si>
  <si>
    <t>mdp.39015041474365</t>
  </si>
  <si>
    <t>003350453</t>
  </si>
  <si>
    <t>Zruts_x0001__x0001_trakan k_x0013__x0001_rakanut+_x0001_wn anklier_x0013__x0001_n lezui = Elementary English grammar for the use of Armenians /</t>
  </si>
  <si>
    <t>Moron, Tr. A.</t>
  </si>
  <si>
    <t>mdp.39015042080138</t>
  </si>
  <si>
    <t>003350940</t>
  </si>
  <si>
    <t>The "Art" of rhetoric /</t>
  </si>
  <si>
    <t>mdp.39015041467922</t>
  </si>
  <si>
    <t>003438663</t>
  </si>
  <si>
    <r>
      <t>Krt»</t>
    </r>
    <r>
      <rPr>
        <sz val="10"/>
        <rFont val="ヒラギノ角ゴ ProN W6"/>
        <charset val="128"/>
      </rPr>
      <t>_x0002_</t>
    </r>
    <r>
      <rPr>
        <sz val="10"/>
        <rFont val="Verdana"/>
      </rPr>
      <t>akan angghiakan lezui /</t>
    </r>
  </si>
  <si>
    <r>
      <t>Isavertents»</t>
    </r>
    <r>
      <rPr>
        <sz val="10"/>
        <rFont val="ヒラギノ角ゴ ProN W6"/>
        <charset val="128"/>
      </rPr>
      <t>_x0002_</t>
    </r>
    <r>
      <rPr>
        <sz val="10"/>
        <rFont val="Verdana"/>
      </rPr>
      <t>, Hahobos,</t>
    </r>
  </si>
  <si>
    <t>mdp.39015049745113</t>
  </si>
  <si>
    <t>003542164</t>
  </si>
  <si>
    <t>nyp.33433069247785</t>
  </si>
  <si>
    <t>003150993</t>
  </si>
  <si>
    <t>Practical lessons in English : made brief by the omission of non-essentials /</t>
  </si>
  <si>
    <t>Sill, John Mahelm Berry,</t>
  </si>
  <si>
    <t>mdp.39015034354269</t>
  </si>
  <si>
    <t>003162564</t>
  </si>
  <si>
    <t>English composition : eight lectures given at the Lowell Institute /</t>
  </si>
  <si>
    <t>Wendell, Barrett,</t>
  </si>
  <si>
    <t>nyp.33433082513692</t>
  </si>
  <si>
    <t>003162607</t>
  </si>
  <si>
    <t>Composition-literature,</t>
  </si>
  <si>
    <t>uc1.b258217</t>
  </si>
  <si>
    <t>uc2.ark:/13960/t1gh9dv7j</t>
  </si>
  <si>
    <t>uc1.b258218</t>
  </si>
  <si>
    <t>003162688</t>
  </si>
  <si>
    <t>Paragraph-writing /</t>
  </si>
  <si>
    <t>uc2.ark:/13960/t3pv6dw9p</t>
  </si>
  <si>
    <t>mdp.39015071697879</t>
  </si>
  <si>
    <t>003162704</t>
  </si>
  <si>
    <t>English composition /</t>
  </si>
  <si>
    <t>Brooks, Stratton D.</t>
  </si>
  <si>
    <t>mdp.39015071697887</t>
  </si>
  <si>
    <t>nyp.33433082512298</t>
  </si>
  <si>
    <t>uc1.b258159</t>
  </si>
  <si>
    <t>uc1.b258160</t>
  </si>
  <si>
    <t>uc1.b307919</t>
  </si>
  <si>
    <t>uc1.b252431</t>
  </si>
  <si>
    <t>003162752</t>
  </si>
  <si>
    <t>The oration of Demosthenes on The crown. : With extracts from the oration of Aeschines against Ctesiphon, and explanatory notes. /</t>
  </si>
  <si>
    <t>Demosthenes.</t>
  </si>
  <si>
    <t>uc2.ark:/13960/t26972j7b</t>
  </si>
  <si>
    <t>mdp.39015071694231</t>
  </si>
  <si>
    <t>003162874</t>
  </si>
  <si>
    <t>Lessons in English,</t>
  </si>
  <si>
    <t>mdp.39015071694249</t>
  </si>
  <si>
    <t>mdp.39015071698901</t>
  </si>
  <si>
    <t>003166254</t>
  </si>
  <si>
    <t>The De compositione of Dionysius of Halicarnassus considered with reference to the Rhetoric of Aristotle.</t>
  </si>
  <si>
    <t>Breitenbach, Harold Prell,</t>
  </si>
  <si>
    <t>mdp.39015071822303</t>
  </si>
  <si>
    <t>mdp.39015066193643</t>
  </si>
  <si>
    <t>003185853</t>
  </si>
  <si>
    <t>Mirrors for rebels; a study of polemical literature relating to the Northern Rebellion, 1569.</t>
  </si>
  <si>
    <t>Lowers, James K.</t>
  </si>
  <si>
    <t>uc1.b275423</t>
  </si>
  <si>
    <t>003191673</t>
  </si>
  <si>
    <t>A course in narrative writing /</t>
  </si>
  <si>
    <t>mdp.39015071602059</t>
  </si>
  <si>
    <t>003194505</t>
  </si>
  <si>
    <t>mdp.39015071613587</t>
  </si>
  <si>
    <t>003195786</t>
  </si>
  <si>
    <t>mdp.39015071613629</t>
  </si>
  <si>
    <t>003195787</t>
  </si>
  <si>
    <t>mdp.39015071589694</t>
  </si>
  <si>
    <t>003204630</t>
  </si>
  <si>
    <t>A course in expository writing.</t>
  </si>
  <si>
    <t>mdp.39015041742746</t>
  </si>
  <si>
    <t>003242639</t>
  </si>
  <si>
    <t>Dissertations : English drama.</t>
  </si>
  <si>
    <t>hvd.hxjgcd</t>
  </si>
  <si>
    <t>003246040</t>
  </si>
  <si>
    <t>The dictionary of distinctions : in three alphabets ... /</t>
  </si>
  <si>
    <t>Murdoch, John,</t>
  </si>
  <si>
    <t>mdp.39015071506474</t>
  </si>
  <si>
    <t>003265950</t>
  </si>
  <si>
    <t>Proceedings of the ... annual meeting of the Michigan Association of Elocutionists.</t>
  </si>
  <si>
    <t>mdp.39015041914238</t>
  </si>
  <si>
    <t>003290159</t>
  </si>
  <si>
    <t>nyp.33433074796784</t>
  </si>
  <si>
    <t>uc2.ark:/13960/t7wm1g658</t>
  </si>
  <si>
    <t>mdp.39015037316273</t>
  </si>
  <si>
    <t>003047198</t>
  </si>
  <si>
    <t>A short grammar for the English tongue : for the use of English schools /</t>
  </si>
  <si>
    <t>Turner, W.</t>
  </si>
  <si>
    <t>mdp.39015037316174</t>
  </si>
  <si>
    <t>003050853</t>
  </si>
  <si>
    <t>School pastime for young children, or, The rudiments of grammar : in an easie and delightful method, for teaching of children to read English distinctly, and write it truly, in which, by way of preface, a new method is propounded, for the fitting of children first for trades, and then for the Latin, and other languages /</t>
  </si>
  <si>
    <t>Newton, John,</t>
  </si>
  <si>
    <t>mdp.39015037316182</t>
  </si>
  <si>
    <t>mdp.39015037316166</t>
  </si>
  <si>
    <t>003050854</t>
  </si>
  <si>
    <t>The royal English grammar : containing what is necessary to the knowledge of the English tongue laid down in a plain and familiar way for the use of young gentlemen and ladys [sic] /</t>
  </si>
  <si>
    <t>mdp.39015038023233</t>
  </si>
  <si>
    <t>003096846</t>
  </si>
  <si>
    <r>
      <t>The consonants Z and ’</t>
    </r>
    <r>
      <rPr>
        <sz val="10"/>
        <rFont val="ヒラギノ角ゴ ProN W6"/>
        <charset val="128"/>
      </rPr>
      <t>_x001E_</t>
    </r>
    <r>
      <rPr>
        <sz val="10"/>
        <rFont val="Verdana"/>
      </rPr>
      <t xml:space="preserve"> in Egyptian colloquial Arabic /</t>
    </r>
  </si>
  <si>
    <t>Worrell, William H.</t>
  </si>
  <si>
    <t>mdp.39015016916929</t>
  </si>
  <si>
    <t>003123963</t>
  </si>
  <si>
    <t>A list, based on the registers of the Stationers' company, of 837 London publishers (who were by trade printers, engravers, booksellers, bookbinders, &amp;c., &amp;c.) between 1553 and 1640 A. D. Being a master key to English bibliography during a period in which almost all authorised books were printed in the metropolis.</t>
  </si>
  <si>
    <t>Arber, Edward,</t>
  </si>
  <si>
    <t>nyp.33433005948926</t>
  </si>
  <si>
    <t>uc2.ark:/13960/t14m9400k</t>
  </si>
  <si>
    <t>003149209</t>
  </si>
  <si>
    <t>Teaching the language-arts; speech, reading, composition,</t>
  </si>
  <si>
    <t>Hinsdale, B. A.</t>
  </si>
  <si>
    <t>mdp.39015071613603</t>
  </si>
  <si>
    <t>003149227</t>
  </si>
  <si>
    <t>A manual of orthography and elementary sounds /</t>
  </si>
  <si>
    <t>hvd.32044102769726</t>
  </si>
  <si>
    <t>003149356</t>
  </si>
  <si>
    <t>Rhetoric: a text-book, designed for use in schools and colleges, and for private study.</t>
  </si>
  <si>
    <t>Haven, E. O.</t>
  </si>
  <si>
    <t>uc1.$b663305</t>
  </si>
  <si>
    <t>uc1.b258618</t>
  </si>
  <si>
    <t>uc2.ark:/13960/t13n2314x</t>
  </si>
  <si>
    <t>mdp.39015071613611</t>
  </si>
  <si>
    <t>003149442</t>
  </si>
  <si>
    <t>A manual of orthography and elementary sounds.</t>
  </si>
  <si>
    <t>uc2.ark:/13960/t9765qg5s</t>
  </si>
  <si>
    <t>Studies in English, written and spoken; for the use of continental students. 1st. series.</t>
  </si>
  <si>
    <t>Stoffel, Cornelis,</t>
  </si>
  <si>
    <t>mdp.39015030713237</t>
  </si>
  <si>
    <t>002904321</t>
  </si>
  <si>
    <t>History of the English language,</t>
  </si>
  <si>
    <t>miun.aqh7146.0001.001</t>
  </si>
  <si>
    <t>002904428</t>
  </si>
  <si>
    <t>Beadle's dime patriotic speaker : being extracts from the splendid oratory of Judge Holt ... together with poems for the hour.</t>
  </si>
  <si>
    <t>mdp.39015013245199</t>
  </si>
  <si>
    <t>002904807</t>
  </si>
  <si>
    <t>Essays literary &amp; critical /</t>
  </si>
  <si>
    <t>mdp.39015030120235</t>
  </si>
  <si>
    <t>002904845</t>
  </si>
  <si>
    <t>Essays on poetry and poets,</t>
  </si>
  <si>
    <t>Noel, Roden,</t>
  </si>
  <si>
    <t>uc1.b51283</t>
  </si>
  <si>
    <t>uc2.ark:/13960/t0pr83n2b</t>
  </si>
  <si>
    <t>mdp.39015030713062</t>
  </si>
  <si>
    <t>002905058</t>
  </si>
  <si>
    <t>loc.ark:/13960/t47p9k81g</t>
  </si>
  <si>
    <t>002906094</t>
  </si>
  <si>
    <t>The age of Shakespeare /</t>
  </si>
  <si>
    <t>mdp.39015031808879</t>
  </si>
  <si>
    <t>nyp.33433074906441</t>
  </si>
  <si>
    <t>uc2.ark:/13960/t8z89ff9d</t>
  </si>
  <si>
    <t>mdp.39015030120938</t>
  </si>
  <si>
    <t>002906299</t>
  </si>
  <si>
    <t>Lyric poetry.</t>
  </si>
  <si>
    <t>Rhys, Ernest,</t>
  </si>
  <si>
    <t>uc2.ark:/13960/t4zg6k22k</t>
  </si>
  <si>
    <t>mdp.39015030120730</t>
  </si>
  <si>
    <t>002907707</t>
  </si>
  <si>
    <t>Psychology of English,</t>
  </si>
  <si>
    <t>mdp.39015066084834</t>
  </si>
  <si>
    <t>mdp.39015019078172</t>
  </si>
  <si>
    <t>002965746</t>
  </si>
  <si>
    <t>German and English sounds.</t>
  </si>
  <si>
    <t>uc1.$b623743</t>
  </si>
  <si>
    <t>uc2.ark:/13960/t6qz2505v</t>
  </si>
  <si>
    <t>nyp.33433082515622</t>
  </si>
  <si>
    <t>002990437</t>
  </si>
  <si>
    <t>An abridgment of lectures on rhetorick /</t>
  </si>
  <si>
    <t>mdp.39015034603848</t>
  </si>
  <si>
    <t>002995468</t>
  </si>
  <si>
    <t>Authors' &amp; printers' dictionary; a guide for authors, editors, printers, correctors of the press, compositors, and typists, with full list of abbreviations; an attempt to codify the best typographical practices of the present day,</t>
  </si>
  <si>
    <t>mdp.39015034600240</t>
  </si>
  <si>
    <t>003000319</t>
  </si>
  <si>
    <t>Bibliographical collections and notes (1474-1700) Third and final series. Second supplement.</t>
  </si>
  <si>
    <t>nyp.33433074796776</t>
  </si>
  <si>
    <t>uc2.ark:/13960/t1xd12x2v</t>
  </si>
  <si>
    <t>mdp.39015034599996</t>
  </si>
  <si>
    <t>003000335</t>
  </si>
  <si>
    <t>Third and final series of bibliographical collections and notes on early English literature, 1474-1700 /</t>
  </si>
  <si>
    <t>uc2.ark:/13960/t8nc64v4r</t>
  </si>
  <si>
    <t>mdp.39015034600364</t>
  </si>
  <si>
    <t>003000336</t>
  </si>
  <si>
    <t>Supplements to the third and final series of bibliographical collections and notes, 1474-1700 /</t>
  </si>
  <si>
    <t>002490061</t>
  </si>
  <si>
    <t>Elements of literary criticism,</t>
  </si>
  <si>
    <t>mdp.39015033502793</t>
  </si>
  <si>
    <t>002497077</t>
  </si>
  <si>
    <t>On teaching English, with detailed examples, and an enquiry into the definition of poetry.</t>
  </si>
  <si>
    <t>uc2.ark:/13960/t8gf0qk1m</t>
  </si>
  <si>
    <t>mdp.39015025273379</t>
  </si>
  <si>
    <t>002553594</t>
  </si>
  <si>
    <t>Rossetti to Sexton : six women poets at Texas/</t>
  </si>
  <si>
    <t>mdp.39015024233465</t>
  </si>
  <si>
    <t>002558911</t>
  </si>
  <si>
    <t>Graded word list for rural and elementary schools.</t>
  </si>
  <si>
    <t>inu.30000011386830</t>
  </si>
  <si>
    <t>002644912</t>
  </si>
  <si>
    <t>Religious pieces in prose and verse /</t>
  </si>
  <si>
    <t>no.26 1914</t>
  </si>
  <si>
    <t>mdp.39015028876251</t>
  </si>
  <si>
    <t>002725652</t>
  </si>
  <si>
    <t>EOBC effective writing curriculum booklet.</t>
  </si>
  <si>
    <t>mdp.39015059901184</t>
  </si>
  <si>
    <t>002735812</t>
  </si>
  <si>
    <t>Longer English poems,</t>
  </si>
  <si>
    <t>Hales, John W.</t>
  </si>
  <si>
    <t>mdp.39015031370292</t>
  </si>
  <si>
    <t>002781659</t>
  </si>
  <si>
    <t>Some Elizabethan opinions of the poetry and character of Ovid ...</t>
  </si>
  <si>
    <t>Cooper, Clyde Barnes.</t>
  </si>
  <si>
    <t>uc2.ark:/13960/t4vh5pv82</t>
  </si>
  <si>
    <t>inu.30000079250167</t>
  </si>
  <si>
    <t>002791195</t>
  </si>
  <si>
    <t>An essay on the harmony, variety, and power of numbers (1745)</t>
  </si>
  <si>
    <t>no.55-62</t>
  </si>
  <si>
    <t>uc1.32106019364493</t>
  </si>
  <si>
    <t>no.55</t>
  </si>
  <si>
    <t>uc1.32106019364378</t>
  </si>
  <si>
    <t>002791207</t>
  </si>
  <si>
    <t>The art of English poetry, 1708.</t>
  </si>
  <si>
    <t>no.40</t>
  </si>
  <si>
    <t>miun.aqa1923.0001.001</t>
  </si>
  <si>
    <t>002865774</t>
  </si>
  <si>
    <t>The grammar of English grammars /</t>
  </si>
  <si>
    <t>mdp.39015030121050</t>
  </si>
  <si>
    <t>002902819</t>
  </si>
  <si>
    <t>The scholemaster /</t>
  </si>
  <si>
    <t>mdp.39015030712775</t>
  </si>
  <si>
    <t>002903150</t>
  </si>
  <si>
    <t>Modern English : its growth and present use /</t>
  </si>
  <si>
    <t>nyp.33433069254476</t>
  </si>
  <si>
    <t>uc1.b616462</t>
  </si>
  <si>
    <t>uc2.ark:/13960/t8tb18h66</t>
  </si>
  <si>
    <t>mdp.39015005599363</t>
  </si>
  <si>
    <t>002903169</t>
  </si>
  <si>
    <t>Elizabethan drama, 1558-1642, a history of the drama in England from the accession of Queen Elizabeth to the closing of the theaters, to which is prefixed a résumé of the earlier drama from its beginnings,</t>
  </si>
  <si>
    <t>mdp.39015030709417</t>
  </si>
  <si>
    <t>uc1.b3479482</t>
  </si>
  <si>
    <t>uc1.b3479483</t>
  </si>
  <si>
    <t>mdp.39015030712858</t>
  </si>
  <si>
    <t>002903264</t>
  </si>
  <si>
    <t>mdp.39015011025973</t>
  </si>
  <si>
    <t>002903268</t>
  </si>
  <si>
    <t>An essay towards an history of the English tongue /</t>
  </si>
  <si>
    <t>Free, John,</t>
  </si>
  <si>
    <t>mdp.39015030712783</t>
  </si>
  <si>
    <t>002903281</t>
  </si>
  <si>
    <t>The lives of the most eminent English poets [microform] : with critical observations on their works /</t>
  </si>
  <si>
    <t>hvd.hxg8hh</t>
  </si>
  <si>
    <t>hvd.32044097056634</t>
  </si>
  <si>
    <t>002391066</t>
  </si>
  <si>
    <t>Key to the Exercises adapted to Murray's English grammar [microform] : calculated to enable private learners to become their own instructers [sic], in grammar and composition /</t>
  </si>
  <si>
    <t>hvd.32044097056600</t>
  </si>
  <si>
    <t>002394574</t>
  </si>
  <si>
    <t>Rudiments of English grammar [microform] : containing, I. the different kinds, relations, and changes of words, II. syntax, or the right construction of sentences, with an appendix comprehending a table of verbs irregularly inflected ... /</t>
  </si>
  <si>
    <t>Harrison,</t>
  </si>
  <si>
    <t>hvd.32044097056576</t>
  </si>
  <si>
    <t>002396416</t>
  </si>
  <si>
    <t>English grammar [microform] : adapted to the different classes of learners : with an appendix, containing rules and observations, for assisting the more advanced students to write with perspicuity and accuracy /</t>
  </si>
  <si>
    <t>hvd.32044097065973</t>
  </si>
  <si>
    <t>002397844</t>
  </si>
  <si>
    <t>hvd.32044097056618</t>
  </si>
  <si>
    <t>002398324</t>
  </si>
  <si>
    <t>The Reader [microform] : being the third part of a Columbian exercise, the whole comprising an easy and systematical method of teaching and of learning the English language /</t>
  </si>
  <si>
    <t>hvd.32044097056592</t>
  </si>
  <si>
    <t>002399063</t>
  </si>
  <si>
    <t>hvd.hn1uep</t>
  </si>
  <si>
    <t>002404289</t>
  </si>
  <si>
    <t>hvd.32044038404075</t>
  </si>
  <si>
    <t>002406207</t>
  </si>
  <si>
    <t>hvd.32044096982236</t>
  </si>
  <si>
    <t>002416318</t>
  </si>
  <si>
    <t>Address delivered before the Associated Instructors of Boston and Its Vicinity, on their anniversary, Oct. 10, 1816 [microform] /</t>
  </si>
  <si>
    <t>Payson, Thomas,</t>
  </si>
  <si>
    <t>mdp.39015012278431</t>
  </si>
  <si>
    <t>002425820</t>
  </si>
  <si>
    <t>The Iliad of Homer /</t>
  </si>
  <si>
    <t>mdp.39015065774658</t>
  </si>
  <si>
    <t>002429196</t>
  </si>
  <si>
    <t>Words and their ways in English speech,</t>
  </si>
  <si>
    <t>Greenough, J. B.</t>
  </si>
  <si>
    <t>mdp.39015031072674</t>
  </si>
  <si>
    <t>002433543</t>
  </si>
  <si>
    <t>A primer of phonetics,</t>
  </si>
  <si>
    <t>mdp.39015004199744</t>
  </si>
  <si>
    <t>002435941</t>
  </si>
  <si>
    <t>New bearings in English poetry; a study of the contemporary situation.</t>
  </si>
  <si>
    <t>mdp.39015022463007</t>
  </si>
  <si>
    <t>002481460</t>
  </si>
  <si>
    <t>Homeric translation in theory and practice : a reply to Matthew Arnold</t>
  </si>
  <si>
    <t>Newman, Francis William,</t>
  </si>
  <si>
    <t>mdp.39015031032033</t>
  </si>
  <si>
    <t>The imperial lexicon of the English language, exhibiting the pronunciation, etymology, and explanation of every word usually employed in science, literature, and art.</t>
  </si>
  <si>
    <t>v.1 1852</t>
  </si>
  <si>
    <t>Boag, John,</t>
  </si>
  <si>
    <t>mdp.39015039333706</t>
  </si>
  <si>
    <t>v.2 1853</t>
  </si>
  <si>
    <t>hvd.32044088290994</t>
  </si>
  <si>
    <t>002380574</t>
  </si>
  <si>
    <t>Garrick's mode of reading the liturgy of the Church of England [microform] /</t>
  </si>
  <si>
    <t>Cull, Richard,</t>
  </si>
  <si>
    <t>hvd.hxgevq</t>
  </si>
  <si>
    <t>002380586</t>
  </si>
  <si>
    <t>The vestibule of eloquence [microform] : original articles oratorical and poetical, intended as exercises in recitation, at the Institution, Bedford Place, Russell Square /</t>
  </si>
  <si>
    <t>hvd.32044097056550</t>
  </si>
  <si>
    <t>002381501</t>
  </si>
  <si>
    <t>An abridgment of L. Murray's English grammar [microform] : with alterations and improvements : designed for the use of the younger class of learners /</t>
  </si>
  <si>
    <t>hvd.ah65vy</t>
  </si>
  <si>
    <t>002382923</t>
  </si>
  <si>
    <t>Lectures on rhetoric and belles lettres [microform] /</t>
  </si>
  <si>
    <t>hvd.32044102845773</t>
  </si>
  <si>
    <t>002383309</t>
  </si>
  <si>
    <t>An abridgment of Lectures on rhetoric [microform] /</t>
  </si>
  <si>
    <t>hvd.32044038404133</t>
  </si>
  <si>
    <t>002384704</t>
  </si>
  <si>
    <t>English exercises, adapted to Murray's English grammar [microform] : consisting of exercises in parsing ... : designed for the benefit of private learners, as well as for the use of schools /</t>
  </si>
  <si>
    <t>hvd.32044097056626</t>
  </si>
  <si>
    <t>002385447</t>
  </si>
  <si>
    <t>English exercises, adapted to Murray's English grammar [microform] : consisting of exercises in parsing, instances of false orthography, violations of the rules of syntax, defects in punctuation, and violations of the rules respecting perspicuous and accurate writing : designed for the benefit of private learners, as well as for the use of schools /</t>
  </si>
  <si>
    <t>hvd.32044102845765</t>
  </si>
  <si>
    <t>002386551</t>
  </si>
  <si>
    <t>An abridgement of Lectures on rhetoric [microform] /</t>
  </si>
  <si>
    <t>hvd.32044102845872</t>
  </si>
  <si>
    <t>002388481</t>
  </si>
  <si>
    <t>hvd.32044038403333</t>
  </si>
  <si>
    <t>002390413</t>
  </si>
  <si>
    <t>The rudiments of Latin and English grammar, designed to facilitate the study of both languages by connecting them together [microform] /</t>
  </si>
  <si>
    <t>Adam, Alexander,</t>
  </si>
  <si>
    <t>hvd.hxg8hg</t>
  </si>
  <si>
    <t>002390594</t>
  </si>
  <si>
    <t>The imperial encyclopaedic dictionary; a new and exhaustive work of reference to the English language, defining over 250,000 words, with a full account of their origin, pronunciation and use. Comprising a general encyclopaedia of art, science, invention and discovery; a gazetteer and atlas of the world; a compendious dictionary of universal biography, etc.</t>
  </si>
  <si>
    <t>Hunter, Robert,</t>
  </si>
  <si>
    <t>mdp.39015050663247</t>
  </si>
  <si>
    <t>mdp.39015050663254</t>
  </si>
  <si>
    <t>mdp.39015050663262</t>
  </si>
  <si>
    <t>mdp.39015050663270</t>
  </si>
  <si>
    <t>mdp.39015050663288</t>
  </si>
  <si>
    <t>mdp.39015050663296</t>
  </si>
  <si>
    <t>mdp.39015050663304</t>
  </si>
  <si>
    <t>mdp.39015050663312</t>
  </si>
  <si>
    <t>mdp.39015050663320</t>
  </si>
  <si>
    <t>mdp.39015031024253</t>
  </si>
  <si>
    <t>002240473</t>
  </si>
  <si>
    <t>Cobb's abridgment of J. Walker's critical pronouncing dictionary, and expositor of the English language, carefully compiled from the London quarto editions, published under the inspection of the author; in which Mr. Walker's principles of orthography and pronunciation are strictly followed ... to which are prefixed concise principles of pronunciation, and rules for accentuation and the division of words: with an appendix, containing a class of words which are in common use in this country, and not found in Walker's dictionary. Particularly designed for the use of schools.</t>
  </si>
  <si>
    <t>mdp.39015030924958</t>
  </si>
  <si>
    <t>002240475</t>
  </si>
  <si>
    <t>A grammar of the English tongue: with the arts of logick, rhetorick, poetry, &amp;c. illustrated with useful notes; giving the grounds and reasons of grammar in general. The whole making a compleat system of an English education.</t>
  </si>
  <si>
    <t>Brightland, John,</t>
  </si>
  <si>
    <t>mdp.39015005790293</t>
  </si>
  <si>
    <t>002243407</t>
  </si>
  <si>
    <t>The practical elements of rhetoric, with illustrative examples,</t>
  </si>
  <si>
    <t>miun.akr4666.0001.001</t>
  </si>
  <si>
    <t>002243450</t>
  </si>
  <si>
    <t>Lectures on the dramatic literature of the age of Elizabeth /</t>
  </si>
  <si>
    <t>mdp.39015005250074</t>
  </si>
  <si>
    <t>002302398</t>
  </si>
  <si>
    <t>A history of criticism and literary taste in Europe from the earliest texts to the present day</t>
  </si>
  <si>
    <t>mdp.39015008318043</t>
  </si>
  <si>
    <t>mdp.39015008380902</t>
  </si>
  <si>
    <t>mdp.39015039333698</t>
  </si>
  <si>
    <t>002302499</t>
  </si>
  <si>
    <t>001958833</t>
  </si>
  <si>
    <t>Every-day pronunication.</t>
  </si>
  <si>
    <t>uc1.b257640</t>
  </si>
  <si>
    <t>uc2.ark:/13960/t01z44999</t>
  </si>
  <si>
    <t>mdp.39015009444814</t>
  </si>
  <si>
    <t>001980136</t>
  </si>
  <si>
    <t>The music of nature; or, An attempt to prove that what is passionate and pleasing in the art of singing, speaking, and performing upon musical instruments, is derived from the sounds of the animated world.</t>
  </si>
  <si>
    <t>Gardiner, William,</t>
  </si>
  <si>
    <t>mdp.39015009445225</t>
  </si>
  <si>
    <t>001980198</t>
  </si>
  <si>
    <t>mdp.39015024186366</t>
  </si>
  <si>
    <t>001981281</t>
  </si>
  <si>
    <t>The cultivation of the speaking voice /</t>
  </si>
  <si>
    <t>nnc1.cu50494830</t>
  </si>
  <si>
    <t>nyp.33433069243255</t>
  </si>
  <si>
    <t>001981325</t>
  </si>
  <si>
    <t>Graduated exercises in articulation,</t>
  </si>
  <si>
    <t>King, Samuel Arthur.</t>
  </si>
  <si>
    <t>mdp.39015030990892</t>
  </si>
  <si>
    <t>001988517</t>
  </si>
  <si>
    <t>A new theory of sound, presented in a paper read at the Pittsburgh meeting of the A. A. A. S. on December 29th, 1934,</t>
  </si>
  <si>
    <t>uva.x000926755</t>
  </si>
  <si>
    <t>002038819</t>
  </si>
  <si>
    <t>Rime-index to Chaucer's Troilus and Criseyde.</t>
  </si>
  <si>
    <t>no. 84 1892</t>
  </si>
  <si>
    <t>uc1.b3576292</t>
  </si>
  <si>
    <t>002039766</t>
  </si>
  <si>
    <t>Indo-Iranian phonology with special reference to the middle and new Indo-Iranian languages,</t>
  </si>
  <si>
    <t>Gray, Louis H.</t>
  </si>
  <si>
    <t>uc2.ark:/13960/t8gf0xk51</t>
  </si>
  <si>
    <t>mdp.39015019208274</t>
  </si>
  <si>
    <t>002052996</t>
  </si>
  <si>
    <t>Charles Butler's English grammar (1634)</t>
  </si>
  <si>
    <t>Butler, Charles,</t>
  </si>
  <si>
    <t>mdp.39015030925682</t>
  </si>
  <si>
    <t>002056851</t>
  </si>
  <si>
    <t>Abridgement of Murray's English grammar : with an appendix, containing exercises in orthography, in parsing, in syntax, and in punctuation : designed for the younger classes of learners /</t>
  </si>
  <si>
    <t>mdp.39015062916807</t>
  </si>
  <si>
    <t>002168323</t>
  </si>
  <si>
    <t>The Epodes and carmen seculare of Horace, with a vocabulary, and some account of the Horatian metres &amp;c.</t>
  </si>
  <si>
    <t>Horace.</t>
  </si>
  <si>
    <t>mdp.39015035310641</t>
  </si>
  <si>
    <t>002239769</t>
  </si>
  <si>
    <t>mdp.39015031107546</t>
  </si>
  <si>
    <t>002240447</t>
  </si>
  <si>
    <t>Some questions of phonetic theory. Part I. Chapter V. The perception of sound.</t>
  </si>
  <si>
    <t>Perrett, Wilfrid.</t>
  </si>
  <si>
    <t>miun.akr1503.0001.001</t>
  </si>
  <si>
    <t>002240470</t>
  </si>
  <si>
    <t>Words and their uses, past and present. : A study of the English language /</t>
  </si>
  <si>
    <t>mdp.39015050663239</t>
  </si>
  <si>
    <t>002240471</t>
  </si>
  <si>
    <t>mdp.39015005757946</t>
  </si>
  <si>
    <t>001907919</t>
  </si>
  <si>
    <t>Reliques of ancient English poetry, consisting of old heroic ballads, songs, and other pieces of our earlier poets, together with some few of later date,</t>
  </si>
  <si>
    <t>V.1</t>
  </si>
  <si>
    <t>mdp.39015067453236</t>
  </si>
  <si>
    <t>v.3 1886</t>
  </si>
  <si>
    <t>uva.x000985257</t>
  </si>
  <si>
    <t>V.3</t>
  </si>
  <si>
    <t>uva.x000985264</t>
  </si>
  <si>
    <t>uva.x000985265</t>
  </si>
  <si>
    <t>mdp.39015017644959</t>
  </si>
  <si>
    <t>001907992</t>
  </si>
  <si>
    <t>The English poets;</t>
  </si>
  <si>
    <t>mdp.39015015381901</t>
  </si>
  <si>
    <t>001909585</t>
  </si>
  <si>
    <t>The Elizabethan playhouse, and other studies /</t>
  </si>
  <si>
    <t>mdp.39015051168618</t>
  </si>
  <si>
    <t>001909802</t>
  </si>
  <si>
    <t>The scholemaster. Written between 1563-8. Posthumously published. First edition, 1570; collated with the second edition, 1571.</t>
  </si>
  <si>
    <t>Ascham, Roger,</t>
  </si>
  <si>
    <t>mdp.39015005763134</t>
  </si>
  <si>
    <t>001910771</t>
  </si>
  <si>
    <t>The poetical works of Oliver Goldsmith, Tobias Smollett, Samuel Johnson, and William Shenstone. With biographical notices, and notes.</t>
  </si>
  <si>
    <t>mdp.39015002706250</t>
  </si>
  <si>
    <t>001910814</t>
  </si>
  <si>
    <t>The versification of Pope in its relations to the seventeenth century ...</t>
  </si>
  <si>
    <t>Mead, William Edward,</t>
  </si>
  <si>
    <t>mdp.39015082006209</t>
  </si>
  <si>
    <t>001915576</t>
  </si>
  <si>
    <t>Essays on the nature and immutability of truth, in opposition to sophistry and scepticism; on poetry and music, as they affect the mind; on laughter, and ludicrous composition; on the utility of classical learning.</t>
  </si>
  <si>
    <t>mdp.39015002727058</t>
  </si>
  <si>
    <t>001919998</t>
  </si>
  <si>
    <t>Comparative aesthetics.</t>
  </si>
  <si>
    <t>V.4</t>
  </si>
  <si>
    <t>mdp.39015002727066</t>
  </si>
  <si>
    <t>mdp.39015002727082</t>
  </si>
  <si>
    <t>V.6</t>
  </si>
  <si>
    <t>mdp.39015002727090</t>
  </si>
  <si>
    <t>V.7</t>
  </si>
  <si>
    <t>mdp.39015002727231</t>
  </si>
  <si>
    <t>yale.39002004911344</t>
  </si>
  <si>
    <t>001927023</t>
  </si>
  <si>
    <t>The psalmists of Britain...</t>
  </si>
  <si>
    <t>Holland, John,</t>
  </si>
  <si>
    <t>yale.39002004911377</t>
  </si>
  <si>
    <t>mdp.39015031010179</t>
  </si>
  <si>
    <t>001958309</t>
  </si>
  <si>
    <t>Literary studies,</t>
  </si>
  <si>
    <t>Whibley, Charles.</t>
  </si>
  <si>
    <t>uc1.b249299</t>
  </si>
  <si>
    <t>uc1.b3386296</t>
  </si>
  <si>
    <t>uc2.ark:/13960/t46q2160v</t>
  </si>
  <si>
    <t>mdp.39015066295596</t>
  </si>
  <si>
    <t>001958312</t>
  </si>
  <si>
    <t>The advance of English poetry in the twentieth century / by William Lyon Phelps.--</t>
  </si>
  <si>
    <t>uc1.b276139</t>
  </si>
  <si>
    <t>mdp.39015031072369</t>
  </si>
  <si>
    <t>001958685</t>
  </si>
  <si>
    <t>Bases of phonology /</t>
  </si>
  <si>
    <t>Stetson, R. H.</t>
  </si>
  <si>
    <t>uc1.$b729312</t>
  </si>
  <si>
    <t>mdp.39015030925401</t>
  </si>
  <si>
    <t>Imagination and fancy; or, Selections from the English poets, illustrative of those first requisites of their art; with markings of the best passages, critical notices of the writers, and an essay in answer to the question "What is poetry?"</t>
  </si>
  <si>
    <t>uc2.ark:/13960/t2q52t154</t>
  </si>
  <si>
    <t>mdp.39015031007902</t>
  </si>
  <si>
    <t>001907623</t>
  </si>
  <si>
    <t>Convention and revolt in poetry,</t>
  </si>
  <si>
    <t>Lowes, John Livingston,</t>
  </si>
  <si>
    <t>mdp.39015031009486</t>
  </si>
  <si>
    <t>001907636</t>
  </si>
  <si>
    <t>The advance of English poetry in the twentieth century,</t>
  </si>
  <si>
    <t>Phelps, William Lyon,</t>
  </si>
  <si>
    <t>mdp.39015031009445</t>
  </si>
  <si>
    <t>001907640</t>
  </si>
  <si>
    <t>The use of color in the verse of the English romantic poets ...</t>
  </si>
  <si>
    <t>Pratt, Alice Edwards.</t>
  </si>
  <si>
    <t>uc1.b4500458</t>
  </si>
  <si>
    <t>uc2.ark:/13960/t3029263p</t>
  </si>
  <si>
    <t>mdp.39015031009403</t>
  </si>
  <si>
    <t>001907643</t>
  </si>
  <si>
    <t>English lyrical poetry from its origins to the present time,</t>
  </si>
  <si>
    <t>mdp.39015008234117</t>
  </si>
  <si>
    <t>001907660</t>
  </si>
  <si>
    <t>Hypnotic poetry; a study of trance-inducing technique in certain poems and its literary significance,</t>
  </si>
  <si>
    <t>Snyder, Edward Douglas,</t>
  </si>
  <si>
    <t>mdp.39015049040721</t>
  </si>
  <si>
    <t>001907674</t>
  </si>
  <si>
    <t>A discourse of English poetrie. : 1586 ...</t>
  </si>
  <si>
    <t>Webbe, William.</t>
  </si>
  <si>
    <t>hvd.hxg8iq</t>
  </si>
  <si>
    <t>001907753</t>
  </si>
  <si>
    <t>Specimens of the British poets; with biographical and critical notices, and An essay on English poetry.</t>
  </si>
  <si>
    <t>mdp.39015031006623</t>
  </si>
  <si>
    <t>mdp.39015031006631</t>
  </si>
  <si>
    <t>mdp.39015031006649</t>
  </si>
  <si>
    <t>mdp.39015031006664</t>
  </si>
  <si>
    <t>mdp.39015031006672</t>
  </si>
  <si>
    <t>mdp.39015031006680</t>
  </si>
  <si>
    <t>nyp.33433076035520</t>
  </si>
  <si>
    <t>v. 3 (1631-64)</t>
  </si>
  <si>
    <t>nyp.33433076035538</t>
  </si>
  <si>
    <t>v. 5 (1726-63)</t>
  </si>
  <si>
    <t>nyp.33433076035546</t>
  </si>
  <si>
    <t>v. 6 (1764-84)</t>
  </si>
  <si>
    <t>nyp.33433076035553</t>
  </si>
  <si>
    <t>v. 7 (1785-1805)</t>
  </si>
  <si>
    <t>nyp.33433076035686</t>
  </si>
  <si>
    <t>v. 2 (1400-1628)</t>
  </si>
  <si>
    <t>uc1.b3288179</t>
  </si>
  <si>
    <t>uc1.b3288180</t>
  </si>
  <si>
    <t>uc1.b3288181</t>
  </si>
  <si>
    <t>uc1.b3288182</t>
  </si>
  <si>
    <t>uc1.b3288183</t>
  </si>
  <si>
    <t>uc1.b3288184</t>
  </si>
  <si>
    <t>uc2.ark:/13960/t1wd3t21q</t>
  </si>
  <si>
    <t>uc2.ark:/13960/t3kw5bq85</t>
  </si>
  <si>
    <t>uc2.ark:/13960/t5bc3x81f</t>
  </si>
  <si>
    <t>uc2.ark:/13960/t7mp5031x</t>
  </si>
  <si>
    <t>uc2.ark:/13960/t8tb12b6g</t>
  </si>
  <si>
    <t>uc2.ark:/13960/t9j38q37q</t>
  </si>
  <si>
    <t>mdp.39015000657216</t>
  </si>
  <si>
    <t>001907893</t>
  </si>
  <si>
    <t>mdp.39015010922790</t>
  </si>
  <si>
    <t>001907894</t>
  </si>
  <si>
    <t>mdp.39015041831861</t>
  </si>
  <si>
    <t>001907541</t>
  </si>
  <si>
    <t>Theology in the English poets. Cowper -- Coleridge -- Wordsworth, and Burns.</t>
  </si>
  <si>
    <t>mdp.39015016748504</t>
  </si>
  <si>
    <t>001907548</t>
  </si>
  <si>
    <t>The art of English poetry containing I. Rules for making verses. II. A collection of the most natural, agreeable and sublime thoughts (!) ... that are to be found in the best English poets. III. A dictionary of rhymes.</t>
  </si>
  <si>
    <t>mdp.39015030930229</t>
  </si>
  <si>
    <t>001907556</t>
  </si>
  <si>
    <t>A study of English and American poets; a laboratory method,</t>
  </si>
  <si>
    <t>Clark, John Scott,</t>
  </si>
  <si>
    <t>uc1.b276197</t>
  </si>
  <si>
    <t>uc2.ark:/13960/t3pv6f707</t>
  </si>
  <si>
    <t>mdp.39015010483884</t>
  </si>
  <si>
    <t>001907559</t>
  </si>
  <si>
    <t>A primer of English verse, chiefly in its æsthetic and organic character,</t>
  </si>
  <si>
    <t>mdp.39015030930039</t>
  </si>
  <si>
    <t>uc1.b276189</t>
  </si>
  <si>
    <t>mdp.39015030930070</t>
  </si>
  <si>
    <t>001907560</t>
  </si>
  <si>
    <t>mdp.39015030929098</t>
  </si>
  <si>
    <t>001907573</t>
  </si>
  <si>
    <t>Prose papers,</t>
  </si>
  <si>
    <t>uc1.b3334585</t>
  </si>
  <si>
    <t>mdp.39015008924352</t>
  </si>
  <si>
    <t>001907583</t>
  </si>
  <si>
    <t>Tradition and romanticism; studies in English poetry from Chaucer to W. B. Yeats,</t>
  </si>
  <si>
    <t>Evans, B. Ifor</t>
  </si>
  <si>
    <t>uc1.b31596</t>
  </si>
  <si>
    <t>001907585</t>
  </si>
  <si>
    <t>Our living poets, an essay in criticism,</t>
  </si>
  <si>
    <t>Forman, H. Buxton</t>
  </si>
  <si>
    <t>mdp.39015031594768</t>
  </si>
  <si>
    <t>001907588</t>
  </si>
  <si>
    <t>The complete art of poetry ...</t>
  </si>
  <si>
    <t>Gildon, Charles,</t>
  </si>
  <si>
    <t>mdp.39015031594776</t>
  </si>
  <si>
    <t>mdp.39015031007514</t>
  </si>
  <si>
    <t>001907590</t>
  </si>
  <si>
    <t>The middle ages in the lineage of English poetry, by Sir Israel Gollanez ...</t>
  </si>
  <si>
    <t>Gollancz, Israel,</t>
  </si>
  <si>
    <t>mdp.39015031007563</t>
  </si>
  <si>
    <t>001907591</t>
  </si>
  <si>
    <t>Seventeenth century studies; a contribution to the history of English poetry,</t>
  </si>
  <si>
    <t>uc1.b3295070</t>
  </si>
  <si>
    <t>mdp.39015066118277</t>
  </si>
  <si>
    <t>001907596</t>
  </si>
  <si>
    <t>The metres of English poetry,</t>
  </si>
  <si>
    <t>Hamer, Enid Hope (Porter).</t>
  </si>
  <si>
    <t>mdp.39015019951162</t>
  </si>
  <si>
    <t>001907600</t>
  </si>
  <si>
    <t>Appreciations of poetry,</t>
  </si>
  <si>
    <t>mdp.39015031007621</t>
  </si>
  <si>
    <t>001907605</t>
  </si>
  <si>
    <t>Criticism at a venture,</t>
  </si>
  <si>
    <t>Hodgson, Geraldine Emma,</t>
  </si>
  <si>
    <t>mdp.39015031007779</t>
  </si>
  <si>
    <t>001907610</t>
  </si>
  <si>
    <t>mdp.39015066195135</t>
  </si>
  <si>
    <t>uc1.$b809430</t>
  </si>
  <si>
    <t>uc1.b3293545</t>
  </si>
  <si>
    <t>uc1.b3293546</t>
  </si>
  <si>
    <t>uc1.b3386172</t>
  </si>
  <si>
    <t>uc2.ark:/13960/t2q52j53n</t>
  </si>
  <si>
    <t>uc2.ark:/13960/t6nz83r7h</t>
  </si>
  <si>
    <t>mdp.39015016370424</t>
  </si>
  <si>
    <t>001907228</t>
  </si>
  <si>
    <t>English literature.</t>
  </si>
  <si>
    <t>miun.ajd7557.0001.001</t>
  </si>
  <si>
    <t>001907229</t>
  </si>
  <si>
    <t>English literature /</t>
  </si>
  <si>
    <t>mdp.39015053241652</t>
  </si>
  <si>
    <t>001907230</t>
  </si>
  <si>
    <t>mdp.39015030767977</t>
  </si>
  <si>
    <t>001907231</t>
  </si>
  <si>
    <t>mdp.39015004889336</t>
  </si>
  <si>
    <t>001907253</t>
  </si>
  <si>
    <t>A compendious history of English literature, and of the English language, from the Norman conquest. With numerous specimens.</t>
  </si>
  <si>
    <t>mdp.39015053242619</t>
  </si>
  <si>
    <t>mdp.39015014277126</t>
  </si>
  <si>
    <t>001907254</t>
  </si>
  <si>
    <t>A manual of English literature, and of the history of the English language, from the Norman conquest; with numerous specimens.</t>
  </si>
  <si>
    <t>mdp.39015053252139</t>
  </si>
  <si>
    <t>001907278</t>
  </si>
  <si>
    <t>An English miscellany; presented to Dr. Furnivall in honour of his seventy-fifth birthday.</t>
  </si>
  <si>
    <t>mdp.39015019076994</t>
  </si>
  <si>
    <t>001907437</t>
  </si>
  <si>
    <t>mdp.39015038087576</t>
  </si>
  <si>
    <t>001907442</t>
  </si>
  <si>
    <t>A short history of English literature,</t>
  </si>
  <si>
    <t>mdp.39015018428584</t>
  </si>
  <si>
    <t>001907504</t>
  </si>
  <si>
    <t>Development of English literature and language,</t>
  </si>
  <si>
    <t>Welsh, Alfred Hix,</t>
  </si>
  <si>
    <t>mdp.39015018428592</t>
  </si>
  <si>
    <t>mdp.39015016747415</t>
  </si>
  <si>
    <t>001907519</t>
  </si>
  <si>
    <t>Letters to a young lady on a course of English poetry.</t>
  </si>
  <si>
    <t>Aikin, John,</t>
  </si>
  <si>
    <t>njp.32101061559967</t>
  </si>
  <si>
    <t>001907522</t>
  </si>
  <si>
    <t>Poetry and commonplace,</t>
  </si>
  <si>
    <t>mdp.39015031010724</t>
  </si>
  <si>
    <t>001907527</t>
  </si>
  <si>
    <t>Some of our English poets.</t>
  </si>
  <si>
    <t>Bell, Charles Dent.</t>
  </si>
  <si>
    <t>uc1.b276195</t>
  </si>
  <si>
    <t>uc2.ark:/13960/t8bg2mr1g</t>
  </si>
  <si>
    <t>mdp.39015010771882</t>
  </si>
  <si>
    <t>001907529</t>
  </si>
  <si>
    <t>A guide to the middle English metrical romances dealing with English and Germanic legends, and with the cycles of Charlemagne and of Arthur;</t>
  </si>
  <si>
    <t>Billings, Anna Hunt.</t>
  </si>
  <si>
    <t>mdp.39015004729631</t>
  </si>
  <si>
    <t>001907536</t>
  </si>
  <si>
    <t>The history of early English literature: being the history of English poetry from its beginnings to the accession of King Ælfred,</t>
  </si>
  <si>
    <t>mdp.39015030929353</t>
  </si>
  <si>
    <t>001907540</t>
  </si>
  <si>
    <t>Theology in the English poets. Cowper--Coleridge--Wordsworth--and Burns.</t>
  </si>
  <si>
    <t>The ryhmers' lexicon, comp. and ed.</t>
  </si>
  <si>
    <t>[Lathrop, Lorin Andrews]</t>
  </si>
  <si>
    <t>mdp.39015030934809</t>
  </si>
  <si>
    <t>001903109</t>
  </si>
  <si>
    <t>A study of versification,</t>
  </si>
  <si>
    <t>nyp.33433069243222</t>
  </si>
  <si>
    <t>uc1.b4095506</t>
  </si>
  <si>
    <t>uc2.ark:/13960/t83j3cg9r</t>
  </si>
  <si>
    <t>mdp.39015030934759</t>
  </si>
  <si>
    <t>001903113</t>
  </si>
  <si>
    <t>English versification for the use of students.</t>
  </si>
  <si>
    <t>Parsons, James Challis,</t>
  </si>
  <si>
    <t>uc1.b276185</t>
  </si>
  <si>
    <t>uc2.ark:/13960/t7zk5b155</t>
  </si>
  <si>
    <t>mdp.39015033490999</t>
  </si>
  <si>
    <t>001903118</t>
  </si>
  <si>
    <t>On the use of classical metres in English.</t>
  </si>
  <si>
    <t>Stone, William Johnston.</t>
  </si>
  <si>
    <t>mdp.39015002136797</t>
  </si>
  <si>
    <t>001903119</t>
  </si>
  <si>
    <t>uc2.ark:/13960/t7wm1644k</t>
  </si>
  <si>
    <t>mdp.39015016459953</t>
  </si>
  <si>
    <t>001903131</t>
  </si>
  <si>
    <t>The English reader or, Pieces in prose and poetry, selected from the best writers ... With a few preliminary observations on the principles of good reading.</t>
  </si>
  <si>
    <t>hvd.hn5wjr</t>
  </si>
  <si>
    <t>001903133</t>
  </si>
  <si>
    <t>The English reader; or, Pieces in prose and poetry, from the best writers ... with a few preliminary observations on the principles of good reading.</t>
  </si>
  <si>
    <t>mdp.39015016735139</t>
  </si>
  <si>
    <t>001903134</t>
  </si>
  <si>
    <t>The English reader; or, Pieces in prose and verse, from the best writers; designed to assist young persons to read with propriety and effect; improve their language and sentiments and to inculcate the most important principles of piety and virtue. With a few preliminary observations on the principles of good reading.</t>
  </si>
  <si>
    <t>mdp.39015031219887</t>
  </si>
  <si>
    <t>001903173</t>
  </si>
  <si>
    <t>Essentials of English for Latin Americans,</t>
  </si>
  <si>
    <t>Rotunda, Dominic Peter,</t>
  </si>
  <si>
    <t>mdp.39015031219366</t>
  </si>
  <si>
    <t>001903198</t>
  </si>
  <si>
    <t>The psychological development of expression,</t>
  </si>
  <si>
    <t>Blood, Mary A.</t>
  </si>
  <si>
    <t>hvd.32044097056774</t>
  </si>
  <si>
    <t>001907138</t>
  </si>
  <si>
    <t>Lessons in elocution, or, A selection of pieces in prose and verse, for the improvement of youth in reading and speaking. To which are prefixed Elements of gesture ...</t>
  </si>
  <si>
    <t>Scott, William.</t>
  </si>
  <si>
    <t>nyp.33433066604533</t>
  </si>
  <si>
    <t>miun.ajd7522.0001.001</t>
  </si>
  <si>
    <t>001907195</t>
  </si>
  <si>
    <t>A manual of English literature...</t>
  </si>
  <si>
    <t>mdp.39015066082713</t>
  </si>
  <si>
    <t>001907199</t>
  </si>
  <si>
    <t>Estimations in criticism,</t>
  </si>
  <si>
    <t>Bagehot, Walter.</t>
  </si>
  <si>
    <t>Woolley, Edwin C.</t>
  </si>
  <si>
    <t>nyp.33433082513296</t>
  </si>
  <si>
    <t>mdp.39015030934916</t>
  </si>
  <si>
    <t>001903072</t>
  </si>
  <si>
    <t>On the relations between spoken and written language with special reference to English,</t>
  </si>
  <si>
    <t>Bradley, Henry,</t>
  </si>
  <si>
    <t>mdp.39015028547969</t>
  </si>
  <si>
    <t>001903073</t>
  </si>
  <si>
    <t>mdp.39015008298518</t>
  </si>
  <si>
    <t>001903074</t>
  </si>
  <si>
    <t>On the relations between spoken and written language, with special reference to English.</t>
  </si>
  <si>
    <t>mdp.39015066625602</t>
  </si>
  <si>
    <t>001903081</t>
  </si>
  <si>
    <t>England's perfect school-master. Or, Directions for exact spelling, reading, and writing. Shewing how to spell or read any chapter in the Bible by four and twenty words only. With examples of most words, from one to six syllables ...</t>
  </si>
  <si>
    <t>Strong, Nathaniel.</t>
  </si>
  <si>
    <t>mdp.39015004720937</t>
  </si>
  <si>
    <t>001903088</t>
  </si>
  <si>
    <t>English verse; specimens illustrating its principles and history, chosen and ed. by Raymond Macdonald Alden ...</t>
  </si>
  <si>
    <t>mdp.39015004044239</t>
  </si>
  <si>
    <t>001903089</t>
  </si>
  <si>
    <t>English verse; specimens illustrating its principles and history, chosen and edited by Raymond Macdonald Alden ...</t>
  </si>
  <si>
    <t>uc1.b276174</t>
  </si>
  <si>
    <t>001903091</t>
  </si>
  <si>
    <t>mdp.39015008891379</t>
  </si>
  <si>
    <t>001903092</t>
  </si>
  <si>
    <t>The principles of English versification,</t>
  </si>
  <si>
    <t>mdp.39015010303330</t>
  </si>
  <si>
    <t>mdp.39015030934866</t>
  </si>
  <si>
    <t>001903094</t>
  </si>
  <si>
    <t>Verse writing; a practical handbook for college classes and private guidance, with exercises,</t>
  </si>
  <si>
    <t>Carruth, William Herbert,</t>
  </si>
  <si>
    <t>uc1.b276188</t>
  </si>
  <si>
    <t>uc2.ark:/13960/t11n81h3j</t>
  </si>
  <si>
    <t>mdp.39015019975757</t>
  </si>
  <si>
    <t>001903097</t>
  </si>
  <si>
    <t>The poet's craft; an outline of English verse composition for schools,</t>
  </si>
  <si>
    <t>Felkin, Frederick William,</t>
  </si>
  <si>
    <t>uc1.b31635</t>
  </si>
  <si>
    <t>001903099</t>
  </si>
  <si>
    <t>uc2.ark:/13960/t5t72b365</t>
  </si>
  <si>
    <t>mdp.39015030934841</t>
  </si>
  <si>
    <t>001903100</t>
  </si>
  <si>
    <t>Practical guide to English versification ...</t>
  </si>
  <si>
    <t>Hood, Tom,</t>
  </si>
  <si>
    <t>mdp.39015010528647</t>
  </si>
  <si>
    <t>001903101</t>
  </si>
  <si>
    <t>The rhymester: or, The rules of rhyme. A guide to English versification. With a dictionary of rhymes, an examination of classical measures, and comments upon burlesque, comic verse and song writing.</t>
  </si>
  <si>
    <t>uc2.ark:/13960/t38052t12</t>
  </si>
  <si>
    <t>mdp.39015005484020</t>
  </si>
  <si>
    <t>001903107</t>
  </si>
  <si>
    <t>Types of standard spoken English and its chief local variants; twenty-four phonetic transcripts from "British classical authors" of the XIXth century (Herrig-Foerster, vol. II)</t>
  </si>
  <si>
    <t>Montgomery, Marshall.</t>
  </si>
  <si>
    <t>uc2.ark:/13960/t4qj7f24s</t>
  </si>
  <si>
    <t>mdp.39015009382097</t>
  </si>
  <si>
    <t>001902950</t>
  </si>
  <si>
    <t>Historical outlines of English phonology and morphology (Middle English and modern English)</t>
  </si>
  <si>
    <t>mdp.39015028783515</t>
  </si>
  <si>
    <t>mdp.39015030996956</t>
  </si>
  <si>
    <t>mdp.39015016731880</t>
  </si>
  <si>
    <t>001902959</t>
  </si>
  <si>
    <t>mdp.39015066083844</t>
  </si>
  <si>
    <t>001902961</t>
  </si>
  <si>
    <t>American English; a twentieth century grammar.</t>
  </si>
  <si>
    <t>Myers, L. M.</t>
  </si>
  <si>
    <t>uc1.b604921</t>
  </si>
  <si>
    <t>mdp.39015009309363</t>
  </si>
  <si>
    <t>001902988</t>
  </si>
  <si>
    <t>An English grammar.</t>
  </si>
  <si>
    <t>Quackenbos, George Payn,</t>
  </si>
  <si>
    <t>mdp.39015019354110</t>
  </si>
  <si>
    <t>001903002</t>
  </si>
  <si>
    <t>mdp.39015030925997</t>
  </si>
  <si>
    <t>001903025</t>
  </si>
  <si>
    <t>A primer of spoken English,</t>
  </si>
  <si>
    <t>nyp.33433069242570</t>
  </si>
  <si>
    <t>uc1.$b624846</t>
  </si>
  <si>
    <t>mdp.39015011951434</t>
  </si>
  <si>
    <t>001903030</t>
  </si>
  <si>
    <t>On the study of words,</t>
  </si>
  <si>
    <t>nnc1.1002374684</t>
  </si>
  <si>
    <t>001903040</t>
  </si>
  <si>
    <t>Four essays upon the English language: namely, I. Observations on the orthography. II. Rules for the division of syllables. III. The use of the articles. IV. The formation of the verbs, and their analogy with the Latin.</t>
  </si>
  <si>
    <t>Ward, John,</t>
  </si>
  <si>
    <t>mdp.39015005734614</t>
  </si>
  <si>
    <t>001903047</t>
  </si>
  <si>
    <t>A grammar of the English language; for the use of schools.</t>
  </si>
  <si>
    <t>Wells, William Harvey,</t>
  </si>
  <si>
    <t>mdp.39015030933587</t>
  </si>
  <si>
    <t>001903053</t>
  </si>
  <si>
    <t>An English grammar for higher grades in grammar schools. Adapted from "Essentials of English grammar",</t>
  </si>
  <si>
    <t>Whitney, William Dwight,</t>
  </si>
  <si>
    <t>mdp.39015030933538</t>
  </si>
  <si>
    <t>001903055</t>
  </si>
  <si>
    <t>English grammar and composition,</t>
  </si>
  <si>
    <t>Williams, Alexander Malcolm,</t>
  </si>
  <si>
    <t>mdp.39015030835436</t>
  </si>
  <si>
    <t>001903059</t>
  </si>
  <si>
    <t>Elementary lessons in English grammar,</t>
  </si>
  <si>
    <t>mdp.39015030934932</t>
  </si>
  <si>
    <t>001903069</t>
  </si>
  <si>
    <t>The mechanics of writing, a compendium of rules regarding manuscript-arrangement, spelling, the compounding of words, abbreviations, the representation of numbers, syllabication, the use of capitals, the use of italics, punctuation, and paragraphing,</t>
  </si>
  <si>
    <t>Report of a Joint committee representing the National educational association, the American philological association and the Modern language association of America, on the subject of a phonetic English alphabet.</t>
  </si>
  <si>
    <t>mdp.39015032019997</t>
  </si>
  <si>
    <t>mdp.39015030997020</t>
  </si>
  <si>
    <t>001902885</t>
  </si>
  <si>
    <t>An English pronouncing dictionary (on strictly phonetic principles)</t>
  </si>
  <si>
    <t>mdp.39015066082317</t>
  </si>
  <si>
    <t>001902887</t>
  </si>
  <si>
    <t>An outline of English phonetics,</t>
  </si>
  <si>
    <t>mdp.39015004290139</t>
  </si>
  <si>
    <t>001902900</t>
  </si>
  <si>
    <t>English grammar in familiar lectures, accompanied by A compendium; embracing a new systematick order of parsing, a new system of punctuation, exercises in false syntax, and a system of philosophical grammar in notes: to which are added an appendix, and a key to the exercises: designed for the use of schools and private learners.</t>
  </si>
  <si>
    <t>mdp.39015016734561</t>
  </si>
  <si>
    <t>001902901</t>
  </si>
  <si>
    <t>English grammar in familiar lectures ... embracing a new systematick order of parsing, a new system of punctuation, exercises in false syntax, and a system of philosophical grammar ... to which are added. A compendium, an appendix, and a key to the exercises; designed for the use of schools and private learners.</t>
  </si>
  <si>
    <t>mdp.39015016731609</t>
  </si>
  <si>
    <t>001902902</t>
  </si>
  <si>
    <t>mdp.39015030999885</t>
  </si>
  <si>
    <t>001902935</t>
  </si>
  <si>
    <t>The "Analysis" analyzed: or, Ten points of difference between McElligott's Analytical manual, and Town's Analysis.</t>
  </si>
  <si>
    <t>McElligott, James N.</t>
  </si>
  <si>
    <t>nyp.33433082310941</t>
  </si>
  <si>
    <t>001902940</t>
  </si>
  <si>
    <t>An English grammar; methodical, analytical, and historical. With a treatise on the orthography, prosody, inflections and syntax of the English tongue; and numerous authorities cited in order of historical development.</t>
  </si>
  <si>
    <t>Mätzner, Eduard Adolf Ferdinand,</t>
  </si>
  <si>
    <t>nyp.33433082310958</t>
  </si>
  <si>
    <t>nyp.33433082310966</t>
  </si>
  <si>
    <t>mdp.39015019961039</t>
  </si>
  <si>
    <t>001902943</t>
  </si>
  <si>
    <t>English pronunciation; exercises in sound segments, intonation, and rhythm,</t>
  </si>
  <si>
    <t>mdp.39015009062848</t>
  </si>
  <si>
    <t>001902947</t>
  </si>
  <si>
    <t>The English grammar. Carefully rev. and annotated</t>
  </si>
  <si>
    <t>mdp.39015030925229</t>
  </si>
  <si>
    <t>001902816</t>
  </si>
  <si>
    <t>The phonological investigation of Old English; illustrated in a series of fifty problems.</t>
  </si>
  <si>
    <t>Cook, Albert S.</t>
  </si>
  <si>
    <t>umn.31951002319452q</t>
  </si>
  <si>
    <t>001902818</t>
  </si>
  <si>
    <t>English reading made easy by means of a system of marks applied to the ordinary spelling,</t>
  </si>
  <si>
    <t>mdp.39015065928775</t>
  </si>
  <si>
    <t>001902837</t>
  </si>
  <si>
    <t>The royal universal British grammar and vocabulary. Being a digestion of the entire English language into its proper parts of speech ... In a method entirely new. ...</t>
  </si>
  <si>
    <t>Farroe, D.</t>
  </si>
  <si>
    <t>mdp.39015016734504</t>
  </si>
  <si>
    <t>001902851</t>
  </si>
  <si>
    <t>The earliest Swedish works on English pronunciation (before 1750)</t>
  </si>
  <si>
    <t>Gabrielson, Arvid,</t>
  </si>
  <si>
    <t>mdp.39015030924255</t>
  </si>
  <si>
    <t>001902852</t>
  </si>
  <si>
    <t>Rime as a criterion of the pronunciation of Spenser, Pope, Byron, and Swinburne: a contribution to the history of the present English stressed vowels,</t>
  </si>
  <si>
    <t>mdp.39015030924271</t>
  </si>
  <si>
    <t>001902853</t>
  </si>
  <si>
    <t>English syntax. Translated from the "Grammatik der englischen Sprache."</t>
  </si>
  <si>
    <t>Gesenius, Friedrich Wilhelm,</t>
  </si>
  <si>
    <t>mdp.39015001570533</t>
  </si>
  <si>
    <t>001902857</t>
  </si>
  <si>
    <t>The pronunciation of English in Scotland,</t>
  </si>
  <si>
    <t>Grant, William,</t>
  </si>
  <si>
    <t>uc1.b625584</t>
  </si>
  <si>
    <t>uc2.ark:/13960/t6b27w31g</t>
  </si>
  <si>
    <t>mdp.39015001570541</t>
  </si>
  <si>
    <t>001902860</t>
  </si>
  <si>
    <t>A manual of English pronunciation &amp; grammar for the use of Dutch students,</t>
  </si>
  <si>
    <t>Günther, J. H. A.</t>
  </si>
  <si>
    <t>mdp.39015001570772</t>
  </si>
  <si>
    <t>001902869</t>
  </si>
  <si>
    <t>The sure way minimum essentials of correct English,</t>
  </si>
  <si>
    <t>Hayes, Bridget T.</t>
  </si>
  <si>
    <t>mdp.39015011051912</t>
  </si>
  <si>
    <t>001902871</t>
  </si>
  <si>
    <t>The phonology of the London ms. of the earliest complete English prose Psalter ...</t>
  </si>
  <si>
    <t>Hirst, Tom Oakes,</t>
  </si>
  <si>
    <t>mdp.39015001569261</t>
  </si>
  <si>
    <t>001902875</t>
  </si>
  <si>
    <t>Descriptive English grammar,</t>
  </si>
  <si>
    <t>House, Homer Clyde.</t>
  </si>
  <si>
    <t>mdp.39015002271040</t>
  </si>
  <si>
    <t>mdp.39015030997160</t>
  </si>
  <si>
    <t>001902884</t>
  </si>
  <si>
    <t>The English language: its grammar, history, and literature, with chapters on composition, versification, paraphrasing, and punctuation,</t>
  </si>
  <si>
    <t>miun.ajd2869.0001.001</t>
  </si>
  <si>
    <t>001902619</t>
  </si>
  <si>
    <t>A hand-book of Anglo-Saxon rootwords ... /</t>
  </si>
  <si>
    <t>hvd.hwp9a7</t>
  </si>
  <si>
    <t>001902625</t>
  </si>
  <si>
    <t>An essay on the archæology of our popular phrases and nursery rhymes. /</t>
  </si>
  <si>
    <t>Ker, John Bellenden,</t>
  </si>
  <si>
    <t>mdp.39015030915436</t>
  </si>
  <si>
    <t>mdp.39015062935450</t>
  </si>
  <si>
    <t>mdp.39015063005147</t>
  </si>
  <si>
    <t>suppl.</t>
  </si>
  <si>
    <t>nyp.33433006028157</t>
  </si>
  <si>
    <t>mdp.39015010426966</t>
  </si>
  <si>
    <t>001902731</t>
  </si>
  <si>
    <t>Phonetics for Scottish students; the sounds of polite Scottish described and compared with those of polite English.</t>
  </si>
  <si>
    <t>Williams, Irene F.</t>
  </si>
  <si>
    <t>mdp.39015030924750</t>
  </si>
  <si>
    <t>001902782</t>
  </si>
  <si>
    <t>The language of the later part of the Peterborough chronicle. 1. Phonology. 2. Inflection...</t>
  </si>
  <si>
    <t>Behm, O P.</t>
  </si>
  <si>
    <t>mdp.39015005761021</t>
  </si>
  <si>
    <t>001902783</t>
  </si>
  <si>
    <t>Sounds and their relations. A complete manual of universal alphabetics: illustrated by means of visible speech: and exhibiting the pronunciation of English, in various styles, and of other languages and dialects.</t>
  </si>
  <si>
    <t>mdp.39015005734630</t>
  </si>
  <si>
    <t>001902803</t>
  </si>
  <si>
    <t>An appeal from the old theory of English grammar, to the true constructive genius of the English language, developed in three books, the whole entitled, An English syntithology.</t>
  </si>
  <si>
    <t>Brown, James.</t>
  </si>
  <si>
    <t>mdp.39015016735394</t>
  </si>
  <si>
    <t>001902807</t>
  </si>
  <si>
    <t>The scholar's companion; or, A guide to the orthography, pronunciation, and derivation of the English language, containing, besides several other important improvements, extensive tables of words, deduced from their Greek and Latin roots. Designed for schools and academies, and also for students in elocution. Arranged on the basis of the 15th London ed. of Butter's Etymological spelling-book and expositor,</t>
  </si>
  <si>
    <t>Butter, Henry,</t>
  </si>
  <si>
    <t>mdp.39015004808856</t>
  </si>
  <si>
    <t>001902808</t>
  </si>
  <si>
    <t>Principles of English grammar for the use of schools,</t>
  </si>
  <si>
    <t>mdp.39015005734440</t>
  </si>
  <si>
    <t>001902814</t>
  </si>
  <si>
    <t>mdp.39015008420690</t>
  </si>
  <si>
    <t>001902815</t>
  </si>
  <si>
    <t>001901046</t>
  </si>
  <si>
    <t>The art of reading aloud in pulpit, lecture room, or private reunions ...</t>
  </si>
  <si>
    <t>Vandenhoff, George,</t>
  </si>
  <si>
    <t>miun.ajd1323.0001.001</t>
  </si>
  <si>
    <t>001901101</t>
  </si>
  <si>
    <t>The exhibition speaker containing farce dialogue and tableaux with exercises for declamation in prose and verse. : Also, a treatise on oratory and elocutions, hints on dramatic characters /</t>
  </si>
  <si>
    <t>Fitzgerald, P. A.</t>
  </si>
  <si>
    <t>mdp.39015028691627</t>
  </si>
  <si>
    <t>001901940</t>
  </si>
  <si>
    <t>Introduction to the literature of Europe, in the fifteenth, sixteenth and seventeenth centuries.</t>
  </si>
  <si>
    <t>Hallam, Henry,</t>
  </si>
  <si>
    <t>mdp.39015028691643</t>
  </si>
  <si>
    <t>mdp.39015028691650</t>
  </si>
  <si>
    <t>mdp.39015030905320</t>
  </si>
  <si>
    <t>001901941</t>
  </si>
  <si>
    <t>Introduction to the literature of Europe in the fifteenth, sixteenth, and seventeenth centuries.</t>
  </si>
  <si>
    <t>mdp.39015030905338</t>
  </si>
  <si>
    <t>mdp.39015030905288</t>
  </si>
  <si>
    <t>001901942</t>
  </si>
  <si>
    <t>mdp.39015030905296</t>
  </si>
  <si>
    <t>mdp.39015030905304</t>
  </si>
  <si>
    <t>mdp.39015030905312</t>
  </si>
  <si>
    <t>mdp.39015005162758</t>
  </si>
  <si>
    <t>001902199</t>
  </si>
  <si>
    <t>Periods of European literature,</t>
  </si>
  <si>
    <t>mdp.39015005470664</t>
  </si>
  <si>
    <t>v.11</t>
  </si>
  <si>
    <t>mdp.39015005470672</t>
  </si>
  <si>
    <t>mdp.39015005682706</t>
  </si>
  <si>
    <t>mdp.39015030924404</t>
  </si>
  <si>
    <t>mdp.39015053251891</t>
  </si>
  <si>
    <t>mdp.39015053251917</t>
  </si>
  <si>
    <t>v.12</t>
  </si>
  <si>
    <t>mdp.39015053251966</t>
  </si>
  <si>
    <t>mdp.39015053251982</t>
  </si>
  <si>
    <t>mdp.39015053251990</t>
  </si>
  <si>
    <t>mdp.39015053252030</t>
  </si>
  <si>
    <t>mdp.39015053252048</t>
  </si>
  <si>
    <t>hvd.hxcp6h</t>
  </si>
  <si>
    <t>001902223</t>
  </si>
  <si>
    <t>An essay on the influence of Welsh tradition upon the literature of Germany, France, and Scandinavia: which obtained the prize of the Abergavenny Cymreigyddion society, at the Eisteddvod of 1840.</t>
  </si>
  <si>
    <t>Schulz, Albert,</t>
  </si>
  <si>
    <t>inu.39000005847418</t>
  </si>
  <si>
    <t>mdp.39015010868431</t>
  </si>
  <si>
    <t>uc2.ark:/13960/t2s46s934</t>
  </si>
  <si>
    <t>mdp.39015005684991</t>
  </si>
  <si>
    <t>001902449</t>
  </si>
  <si>
    <t>Poets of America,</t>
  </si>
  <si>
    <t>nyp.33433076020605</t>
  </si>
  <si>
    <t>001902450</t>
  </si>
  <si>
    <t>mdp.39015004169291</t>
  </si>
  <si>
    <t>001902517</t>
  </si>
  <si>
    <t>English present and past,</t>
  </si>
  <si>
    <t>uc1.b4088378</t>
  </si>
  <si>
    <t>mdp.39015008376843</t>
  </si>
  <si>
    <t>001902548</t>
  </si>
  <si>
    <t>Progress in language; with special reference to English,</t>
  </si>
  <si>
    <t>mdp.39015031031134</t>
  </si>
  <si>
    <t>001902559</t>
  </si>
  <si>
    <t>001900950</t>
  </si>
  <si>
    <t>Oral English in secondary schools,</t>
  </si>
  <si>
    <t>Smith, William Palmer.</t>
  </si>
  <si>
    <t>uc2.ark:/13960/t18k7br3h</t>
  </si>
  <si>
    <t>mdp.39015019090821</t>
  </si>
  <si>
    <t>001900958</t>
  </si>
  <si>
    <t>Two addresses delivered before the National association of elocutionists held at Columbia college, New York, June 27th--July 2d, 1892 ...</t>
  </si>
  <si>
    <t>mdp.39015059897721</t>
  </si>
  <si>
    <t>001900979</t>
  </si>
  <si>
    <t>A program of speech education in a democracy,</t>
  </si>
  <si>
    <t>uc1.b14782</t>
  </si>
  <si>
    <t>mdp.39015031039459</t>
  </si>
  <si>
    <t>001900991</t>
  </si>
  <si>
    <t>Natural elocution in speech and song.</t>
  </si>
  <si>
    <t>Flint, M'Hardy.</t>
  </si>
  <si>
    <t>mdp.39015031039335</t>
  </si>
  <si>
    <t>001901000</t>
  </si>
  <si>
    <t>Gymnastics of the voice for song and speech, also a method for the cure of stuttering and stammering,</t>
  </si>
  <si>
    <t>Guttmann, Oskar.</t>
  </si>
  <si>
    <t>mdp.39015001611923</t>
  </si>
  <si>
    <t>001901005</t>
  </si>
  <si>
    <t>Oral interpretation of literature; notes and selections</t>
  </si>
  <si>
    <t>Hollister, Richard Dennis Teall,</t>
  </si>
  <si>
    <t>mdp.39015031039251</t>
  </si>
  <si>
    <t>001901007</t>
  </si>
  <si>
    <t>Voice and its natural development,</t>
  </si>
  <si>
    <t>Jennings, Herbert,</t>
  </si>
  <si>
    <t>nyp.33433082522644</t>
  </si>
  <si>
    <t>mdp.39015070199388</t>
  </si>
  <si>
    <t>001901015</t>
  </si>
  <si>
    <t>The science and art of adjustment between the producing and reflecting vocal apparatus, alias the philosophy of the intercondylar foramen, involving the solution of the problem of the human voice.</t>
  </si>
  <si>
    <t>Mahlendorff, Paul J[acob]</t>
  </si>
  <si>
    <t>mdp.39015031039194</t>
  </si>
  <si>
    <t>001901016</t>
  </si>
  <si>
    <t>Oral interpretation I</t>
  </si>
  <si>
    <t>Martin, Bertha M.</t>
  </si>
  <si>
    <t>mdp.39015019979676</t>
  </si>
  <si>
    <t>001901019</t>
  </si>
  <si>
    <t>The abuse of the singing &amp; speaking voice; causes, effects, and treatment,</t>
  </si>
  <si>
    <t>Moure, E. J.</t>
  </si>
  <si>
    <t>mdp.39015028685124</t>
  </si>
  <si>
    <t>001901023</t>
  </si>
  <si>
    <t>Reading aloud; a technique in the interpretation of literature,</t>
  </si>
  <si>
    <t>Parrish, Wayland Maxfield,</t>
  </si>
  <si>
    <t>mdp.39015015344263</t>
  </si>
  <si>
    <t>001901025</t>
  </si>
  <si>
    <t>King's college lectures on elocution; or, The physiology and culture of voice and speech, and the expression of the emotions by language, countenance, and gesture ...</t>
  </si>
  <si>
    <t>Plumptre, Charles John,</t>
  </si>
  <si>
    <t>miun.ajd1254.0001.001</t>
  </si>
  <si>
    <t>001901033</t>
  </si>
  <si>
    <t>Orthophony : or, The cultivation of the voice in elocution. A manual of elementary exercises /</t>
  </si>
  <si>
    <t>mdp.39015055030483</t>
  </si>
  <si>
    <t>Elocution; or, Mental and vocal philosophy: involving the principles of reading and speaking ...</t>
  </si>
  <si>
    <t>Bronson, C P.</t>
  </si>
  <si>
    <t>uc2.ark:/13960/t44q8259t</t>
  </si>
  <si>
    <t>mdp.39015003936419</t>
  </si>
  <si>
    <t>001900848</t>
  </si>
  <si>
    <t>Make yourself a better speaker: sensible hints on public speaking,</t>
  </si>
  <si>
    <t>Buehler, Ezra Christian,</t>
  </si>
  <si>
    <t>mdp.39015003935098</t>
  </si>
  <si>
    <t>001900871</t>
  </si>
  <si>
    <t>A course of study in speech training and public speaking for secondary schools; being the report of a special committee of the National association of teachers of speech,</t>
  </si>
  <si>
    <t>Drummond, A. M.</t>
  </si>
  <si>
    <t>mdp.39015003937458</t>
  </si>
  <si>
    <t>001900878</t>
  </si>
  <si>
    <t>The art of reading and speaking.</t>
  </si>
  <si>
    <t>Fleming, James,</t>
  </si>
  <si>
    <t>miun.ajd1097.0001.001</t>
  </si>
  <si>
    <t>001900880</t>
  </si>
  <si>
    <t>A new and practical system of the culture of voice and action : with an appendix of readings and recitations /</t>
  </si>
  <si>
    <t>Frobisher, Joseph Edwin.</t>
  </si>
  <si>
    <t>mdp.39015003937086</t>
  </si>
  <si>
    <t>001900887</t>
  </si>
  <si>
    <t>New science of elocution. The elements and principles of vocal expression in lessons, with exercises and selections systematically arranged for acquiring the art of reading and speaking.</t>
  </si>
  <si>
    <t>Hamill, S S.</t>
  </si>
  <si>
    <t>uva.x030804014</t>
  </si>
  <si>
    <t>mdp.39015027523169</t>
  </si>
  <si>
    <t>001900893</t>
  </si>
  <si>
    <t>An essay upon pronunciation and gesture, founded upon the best rules and authorities of the ancients, ecclesiastical and civil, and adorned with the finest rules of elocution.</t>
  </si>
  <si>
    <t>Henley, John,</t>
  </si>
  <si>
    <t>mdp.39015059374788</t>
  </si>
  <si>
    <t>001900899</t>
  </si>
  <si>
    <t>The cultivation of the speaking voice;</t>
  </si>
  <si>
    <t>Hullah, John,</t>
  </si>
  <si>
    <t>miun.ajd1131.0001.001</t>
  </si>
  <si>
    <t>001900912</t>
  </si>
  <si>
    <t>Elocution : the sources and element of its power. A text book for schools and colleges, and a book for every public speaker and student of the English language /</t>
  </si>
  <si>
    <t>McIlvaine, J. H.</t>
  </si>
  <si>
    <t>mdp.39015003956433</t>
  </si>
  <si>
    <t>001900923</t>
  </si>
  <si>
    <t>Argumentation and debate,</t>
  </si>
  <si>
    <t>O'Neill, James M.</t>
  </si>
  <si>
    <t>mdp.39015002169756</t>
  </si>
  <si>
    <t>001900940</t>
  </si>
  <si>
    <t>Pulpit elocution: comprising remarks on the effect of manner in public discourse; the elements of elocution, applied to the reading of the Scriptures, hymns, and sermons ...</t>
  </si>
  <si>
    <t>mdp.39015003959718</t>
  </si>
  <si>
    <t>Elements of rhetoric: comprising an analysis of the laws of moral evidence and persuasion, with rules for argumentative composition and elocution.</t>
  </si>
  <si>
    <t>nyp.33433082512421</t>
  </si>
  <si>
    <t>mdp.39015010210709</t>
  </si>
  <si>
    <t>001899668</t>
  </si>
  <si>
    <t>mdp.39015005264505</t>
  </si>
  <si>
    <t>001899733</t>
  </si>
  <si>
    <t>The theory of poetry in England; its development in doctrines and ideas from the sixteenth century to the nineteenth century,</t>
  </si>
  <si>
    <t>Cowl, Richard Pape.</t>
  </si>
  <si>
    <t>uc1.b258610</t>
  </si>
  <si>
    <t>uc2.ark:/13960/t5h99282q</t>
  </si>
  <si>
    <t>mdp.39015031040416</t>
  </si>
  <si>
    <t>001899739</t>
  </si>
  <si>
    <t>Poetics; an essay on poetry.</t>
  </si>
  <si>
    <t>Dallas, E. S.</t>
  </si>
  <si>
    <t>mdp.39015013411387</t>
  </si>
  <si>
    <t>001899789</t>
  </si>
  <si>
    <t>nyp.33433082521323</t>
  </si>
  <si>
    <t>uc1.b3514835</t>
  </si>
  <si>
    <t>mdp.39015050922981</t>
  </si>
  <si>
    <t>001899823</t>
  </si>
  <si>
    <t>The rudiments of criticism,</t>
  </si>
  <si>
    <t>mdp.39015012875780</t>
  </si>
  <si>
    <t>001899833</t>
  </si>
  <si>
    <t>Poetry and its forms,</t>
  </si>
  <si>
    <t>Long, Mason,</t>
  </si>
  <si>
    <t>mdp.39015009195036</t>
  </si>
  <si>
    <t>001899900</t>
  </si>
  <si>
    <t>Science and poetry,</t>
  </si>
  <si>
    <t>mdp.39015009384507</t>
  </si>
  <si>
    <t>001899938</t>
  </si>
  <si>
    <t>The nature and elements of poetry,</t>
  </si>
  <si>
    <t>Stedman, Edmund Clarence,</t>
  </si>
  <si>
    <t>mdp.39015030869021</t>
  </si>
  <si>
    <t>001899968</t>
  </si>
  <si>
    <t>Poetry and the Renascence of wonder,</t>
  </si>
  <si>
    <t>nyp.33433082518758</t>
  </si>
  <si>
    <t>uc1.b252797</t>
  </si>
  <si>
    <t>uc2.ark:/13960/t78s4nr2b</t>
  </si>
  <si>
    <t>mdp.39015030869070</t>
  </si>
  <si>
    <t>001899977</t>
  </si>
  <si>
    <t>An anatomy of poetry,</t>
  </si>
  <si>
    <t>Williams-Ellis, A.</t>
  </si>
  <si>
    <t>uc1.b276169</t>
  </si>
  <si>
    <t>uc2.ark:/13960/t6b27sx7w</t>
  </si>
  <si>
    <t>mdp.39015053249754</t>
  </si>
  <si>
    <t>001900719</t>
  </si>
  <si>
    <t>The art of versification,</t>
  </si>
  <si>
    <t>Esenwein, Joseph Berg,</t>
  </si>
  <si>
    <t>mdp.39015055032786</t>
  </si>
  <si>
    <t>001900832</t>
  </si>
  <si>
    <t>An introductory treatise on elocution; with principles and illustrations,</t>
  </si>
  <si>
    <t>Bailey, Mark,</t>
  </si>
  <si>
    <t>mdp.39015003937607</t>
  </si>
  <si>
    <t>001900833</t>
  </si>
  <si>
    <t>The short speech, a handbook on the various types,</t>
  </si>
  <si>
    <t>Baker, James Thompson.</t>
  </si>
  <si>
    <t>mdp.39015003936955</t>
  </si>
  <si>
    <t>001900836</t>
  </si>
  <si>
    <t>"Elocutionary manual." The principles of elocution, with exercises and notations, for pronunciation, intonation, emphasis, gesture and emotional expression.</t>
  </si>
  <si>
    <t>mdp.39015059899008</t>
  </si>
  <si>
    <t>001900844</t>
  </si>
  <si>
    <t>Vocal faults and their remedies,</t>
  </si>
  <si>
    <t>Breare, W. H.</t>
  </si>
  <si>
    <t>nyp.33433082275078</t>
  </si>
  <si>
    <t>mdp.39015003936658</t>
  </si>
  <si>
    <t>001900847</t>
  </si>
  <si>
    <t>001899527</t>
  </si>
  <si>
    <t>The writing of English,</t>
  </si>
  <si>
    <t>uc2.ark:/13960/t9k35p63w</t>
  </si>
  <si>
    <t>mdp.39015041879779</t>
  </si>
  <si>
    <t>001899534</t>
  </si>
  <si>
    <t>A modern rhetoric,</t>
  </si>
  <si>
    <t>Merkley, George Earle,</t>
  </si>
  <si>
    <t>mdp.39015019747065</t>
  </si>
  <si>
    <t>001899542</t>
  </si>
  <si>
    <t>Bad English exposed: a series of criticisms on the errors and inconsistencies of Lindley Murray and other grammarians,</t>
  </si>
  <si>
    <t>Moon, G. Washington</t>
  </si>
  <si>
    <t>mdp.39015017633929</t>
  </si>
  <si>
    <t>001899544</t>
  </si>
  <si>
    <t>Bad English exposed: a series of criticisms on the errors and inconsistencies of Lindley Murray and other grammarians.</t>
  </si>
  <si>
    <t>mdp.39015030867967</t>
  </si>
  <si>
    <t>001899572</t>
  </si>
  <si>
    <t>Self cultivation in English,</t>
  </si>
  <si>
    <t>mdp.39015033513444</t>
  </si>
  <si>
    <t>uc1.b258652</t>
  </si>
  <si>
    <t>uc1.b307976</t>
  </si>
  <si>
    <t>uc2.ark:/13960/t9v127p4x</t>
  </si>
  <si>
    <t>mdp.39015042471717</t>
  </si>
  <si>
    <t>001899573</t>
  </si>
  <si>
    <t>uc2.ark:/13960/t9m32r33j</t>
  </si>
  <si>
    <t>mdp.39015031038378</t>
  </si>
  <si>
    <t>001899574</t>
  </si>
  <si>
    <t>Self cultivation in English, and The glory of the imperfect,</t>
  </si>
  <si>
    <t>mdp.39015067148331</t>
  </si>
  <si>
    <t>miun.ajc9756.0001.001</t>
  </si>
  <si>
    <t>001899577</t>
  </si>
  <si>
    <t>Aids to English composition, prepared for students of all grades : embracing specimens and examples of school and college exercises and most of the higher departments of English composition, both in prose and verse /</t>
  </si>
  <si>
    <t>Parker, Richard Green,</t>
  </si>
  <si>
    <t>mdp.39015009010003</t>
  </si>
  <si>
    <t>001899589</t>
  </si>
  <si>
    <t>mdp.39015066181762</t>
  </si>
  <si>
    <t>001899614</t>
  </si>
  <si>
    <t>Composition rhetoric, designed for use in secondary schools,</t>
  </si>
  <si>
    <t>uc1.b258239</t>
  </si>
  <si>
    <t>uc2.ark:/13960/t37080d44</t>
  </si>
  <si>
    <t>mdp.39015066079677</t>
  </si>
  <si>
    <t>001899615</t>
  </si>
  <si>
    <t>Elementary English composition</t>
  </si>
  <si>
    <t>nyp.33433082513684</t>
  </si>
  <si>
    <t>mdp.39015010832874</t>
  </si>
  <si>
    <t>001899620</t>
  </si>
  <si>
    <t>How to describe and narrate visually: exercises in literary composition, based on principles and examples of the writer's art,</t>
  </si>
  <si>
    <t>Sherman, L. A.</t>
  </si>
  <si>
    <t>hvd.hw234q</t>
  </si>
  <si>
    <t>001899654</t>
  </si>
  <si>
    <t>Elements of rhetoric. : Comprising the substance of the article in the Encyclopædia metropolitana with additions, &amp;c. /</t>
  </si>
  <si>
    <t>mdp.39015019107203</t>
  </si>
  <si>
    <t>001899655</t>
  </si>
  <si>
    <t>Cornford, L. Cope</t>
  </si>
  <si>
    <t>mdp.39015031014999</t>
  </si>
  <si>
    <t>001899429</t>
  </si>
  <si>
    <t>English prose: its elements, history, and usage,</t>
  </si>
  <si>
    <t>mdp.39015009006928</t>
  </si>
  <si>
    <t>001899430</t>
  </si>
  <si>
    <t>The theory and practice of technical writing.</t>
  </si>
  <si>
    <t>Earle, Samuel Chandler,</t>
  </si>
  <si>
    <t>mdp.39015017637615</t>
  </si>
  <si>
    <t>001899435</t>
  </si>
  <si>
    <t>English composition in theory and practice.</t>
  </si>
  <si>
    <t>mdp.39015014764602</t>
  </si>
  <si>
    <t>001899449</t>
  </si>
  <si>
    <t>The King's English ...</t>
  </si>
  <si>
    <t>Fowler, H. W.</t>
  </si>
  <si>
    <t>uc1.b4091194</t>
  </si>
  <si>
    <t>uc2.ark:/13960/t58d02w08</t>
  </si>
  <si>
    <t>mdp.39015001684938</t>
  </si>
  <si>
    <t>001899450</t>
  </si>
  <si>
    <t>The King's English.</t>
  </si>
  <si>
    <t>mdp.39015030701851</t>
  </si>
  <si>
    <t>001899452</t>
  </si>
  <si>
    <t>The king's English abridged for school use.</t>
  </si>
  <si>
    <t>mdp.39015008631577</t>
  </si>
  <si>
    <t>001899456</t>
  </si>
  <si>
    <t>The Arcadian rhetorike;</t>
  </si>
  <si>
    <t>Fraunce, Abraham,</t>
  </si>
  <si>
    <t>mdp.39015058694988</t>
  </si>
  <si>
    <t>001899461</t>
  </si>
  <si>
    <t>The forms of prose literature.</t>
  </si>
  <si>
    <t>Gardiner, John Hays,</t>
  </si>
  <si>
    <t>mdp.39015010335936</t>
  </si>
  <si>
    <t>001899463</t>
  </si>
  <si>
    <t>Outlines of rhetoric. Embodied in rules, illustrative examples, and a progressive course of prose composition.</t>
  </si>
  <si>
    <t>nyp.33433082512157</t>
  </si>
  <si>
    <t>nyp.33433082512165</t>
  </si>
  <si>
    <t>mdp.39015005790301</t>
  </si>
  <si>
    <t>001899464</t>
  </si>
  <si>
    <t>The practical elements of rhetoric, with illustrative examples.</t>
  </si>
  <si>
    <t>mdp.39015002353467</t>
  </si>
  <si>
    <t>001899472</t>
  </si>
  <si>
    <t>The reader over your shoulder; a handbook for writers of English prose,</t>
  </si>
  <si>
    <t>mdp.39015004305390</t>
  </si>
  <si>
    <t>mdp.39015010335944</t>
  </si>
  <si>
    <t>001899487</t>
  </si>
  <si>
    <t>The principles of rhetoric,</t>
  </si>
  <si>
    <t>mdp.39015030775574</t>
  </si>
  <si>
    <t>nyp.33433082512074</t>
  </si>
  <si>
    <t>uc2.ark:/13960/t8bg2nt28</t>
  </si>
  <si>
    <t>mdp.39015031014668</t>
  </si>
  <si>
    <t>001899488</t>
  </si>
  <si>
    <t>The science of rhetoric: an introduction to the laws of effective discourse.</t>
  </si>
  <si>
    <t>Hill, David Jayne,</t>
  </si>
  <si>
    <t>uc1.b258305</t>
  </si>
  <si>
    <t>uc2.ark:/13960/t1rf5p08d</t>
  </si>
  <si>
    <t>mdp.39015018650773</t>
  </si>
  <si>
    <t>001899491</t>
  </si>
  <si>
    <t>The Princeton text book in rhetoric.</t>
  </si>
  <si>
    <t>Hope, Matthew B.</t>
  </si>
  <si>
    <t>mdp.39015031013660</t>
  </si>
  <si>
    <t>001899497</t>
  </si>
  <si>
    <t>The elements of English composition.</t>
  </si>
  <si>
    <t>Irving, David,</t>
  </si>
  <si>
    <t>mdp.39015014509999</t>
  </si>
  <si>
    <t>001899526</t>
  </si>
  <si>
    <t>The writer's index of good form and good English,</t>
  </si>
  <si>
    <t>Manly, John Matthews,</t>
  </si>
  <si>
    <t>uc1.b258613</t>
  </si>
  <si>
    <t>uc1.b4095584</t>
  </si>
  <si>
    <t>English lessons for English people,</t>
  </si>
  <si>
    <t>mdp.39015039320182</t>
  </si>
  <si>
    <t>001899338</t>
  </si>
  <si>
    <t>Aristotle's Rhetoric; or, The true grounds and principles of oratory: showing, the right art of pleading and speaking in full assemblies and courts of judicature. Made English by the translator of the art of thinking ...</t>
  </si>
  <si>
    <t>mdp.39015001142507</t>
  </si>
  <si>
    <t>001899340</t>
  </si>
  <si>
    <t>The rhetoric of Aristotle,</t>
  </si>
  <si>
    <t>mdp.39015002761446</t>
  </si>
  <si>
    <t>mdp.39015004846237</t>
  </si>
  <si>
    <t>001899341</t>
  </si>
  <si>
    <t>The Rhetoric of Aristotle, /</t>
  </si>
  <si>
    <t>mdp.39015070578110</t>
  </si>
  <si>
    <t>001899344</t>
  </si>
  <si>
    <t>Choix de dissertatinos françaises et latines, de vers latins et de thèmes grecs à l'usage des candidats à la licence ès lettres,</t>
  </si>
  <si>
    <t>Asselin, V.</t>
  </si>
  <si>
    <t>mdp.39015031012373</t>
  </si>
  <si>
    <t>001899353</t>
  </si>
  <si>
    <t>A method of English composition.</t>
  </si>
  <si>
    <t>Bancroft, Timothy Whiting,</t>
  </si>
  <si>
    <t>mdp.39015031012365</t>
  </si>
  <si>
    <t>001899354</t>
  </si>
  <si>
    <t>The English master; or Student's guide to reasoning and composition; exhibiting an analytical view of the English language, of the human mind, and of the principles of fine writing.</t>
  </si>
  <si>
    <t>Banks, William.</t>
  </si>
  <si>
    <t>mdp.39015003639195</t>
  </si>
  <si>
    <t>001899372</t>
  </si>
  <si>
    <t>mdp.39015005252047</t>
  </si>
  <si>
    <t>001899373</t>
  </si>
  <si>
    <t>Lectures on rhetoric &amp; belles lettres,</t>
  </si>
  <si>
    <t>hvd.hn1lrz</t>
  </si>
  <si>
    <t>001899381</t>
  </si>
  <si>
    <t>The principles of English composition: illustrated by examples, with critical remarks.</t>
  </si>
  <si>
    <t>Booth, David,</t>
  </si>
  <si>
    <t>mdp.39015013439032</t>
  </si>
  <si>
    <t>uc2.ark:/13960/t8gf0pq5x</t>
  </si>
  <si>
    <t>001899391</t>
  </si>
  <si>
    <t>A course in argumentative writing...</t>
  </si>
  <si>
    <t>Buck, Gertrude,</t>
  </si>
  <si>
    <t>hvd.hwjumv</t>
  </si>
  <si>
    <t>001899398</t>
  </si>
  <si>
    <t>The philosophy of rhetoric:</t>
  </si>
  <si>
    <t>hvd.hwjumw</t>
  </si>
  <si>
    <t>mdp.39015005732642</t>
  </si>
  <si>
    <t>nyp.33433082509807</t>
  </si>
  <si>
    <t>nyp.33433082509815</t>
  </si>
  <si>
    <t>mdp.39015074634059</t>
  </si>
  <si>
    <t>001899399</t>
  </si>
  <si>
    <t>The philosophy of rhetoric</t>
  </si>
  <si>
    <t>mdp.39015059906977</t>
  </si>
  <si>
    <t>001899412</t>
  </si>
  <si>
    <t>A course of study in English composition and literature for secondary schools.</t>
  </si>
  <si>
    <t>mdp.39015024663257</t>
  </si>
  <si>
    <t>001899415</t>
  </si>
  <si>
    <t>Descriptive and narrative writing,</t>
  </si>
  <si>
    <t>Conrad, Lawrence Henry,</t>
  </si>
  <si>
    <t>mdp.39015059906985</t>
  </si>
  <si>
    <t>001899418</t>
  </si>
  <si>
    <t>English composition; a manual of theory and practice.</t>
  </si>
  <si>
    <t>mdp.39015042015167</t>
  </si>
  <si>
    <t>001884117</t>
  </si>
  <si>
    <t>The teaching of English in the elementary and the secondary school,</t>
  </si>
  <si>
    <t>mdp.39015030725405</t>
  </si>
  <si>
    <t>001897980</t>
  </si>
  <si>
    <t>Old and new: sundry papers,</t>
  </si>
  <si>
    <t>uc2.ark:/13960/t1ng4k67d</t>
  </si>
  <si>
    <t>mdp.39015034102262</t>
  </si>
  <si>
    <t>001898144</t>
  </si>
  <si>
    <t>Practical argumentation,</t>
  </si>
  <si>
    <t>Patice, George Kynett,</t>
  </si>
  <si>
    <t>mdp.39015039587582</t>
  </si>
  <si>
    <t>001898401</t>
  </si>
  <si>
    <t>The principles of grammar; being a compendions treatise on the languages, English, Latin, Greek, German, Spanish, and French. Founded on the immutable principle of the relation which one word sustains to another</t>
  </si>
  <si>
    <t>Barrett, Solomon,</t>
  </si>
  <si>
    <t>mdp.39015055278728</t>
  </si>
  <si>
    <t>001898432</t>
  </si>
  <si>
    <t>Manual of linguistics. A concise account of general and English phonology, with supplementary chapters on kindred topics,</t>
  </si>
  <si>
    <t>Clark, John.</t>
  </si>
  <si>
    <t>uc1.b289640</t>
  </si>
  <si>
    <t>uc2.ark:/13960/t8ff3tq5d</t>
  </si>
  <si>
    <t>mdp.39015025134704</t>
  </si>
  <si>
    <t>001898582</t>
  </si>
  <si>
    <t>Dictation exercises in phonetics.</t>
  </si>
  <si>
    <t>Pike, Eunice V.</t>
  </si>
  <si>
    <t>mdp.39015025338313</t>
  </si>
  <si>
    <t>001898584</t>
  </si>
  <si>
    <t>Laboratory manual for Pike's Phonemics</t>
  </si>
  <si>
    <t>mdp.39015014173549</t>
  </si>
  <si>
    <t>001898628</t>
  </si>
  <si>
    <t>Introduction to English, French and German phonetics, with reading lessons and exercises,</t>
  </si>
  <si>
    <t>mdp.39015009128953</t>
  </si>
  <si>
    <t>001899074</t>
  </si>
  <si>
    <t>Elements of criticism.</t>
  </si>
  <si>
    <t>Kames, Henry Home,</t>
  </si>
  <si>
    <t>mdp.39015009136568</t>
  </si>
  <si>
    <t>hvd.hn3j5l</t>
  </si>
  <si>
    <t>001899075</t>
  </si>
  <si>
    <t>elements of criticism</t>
  </si>
  <si>
    <t>mdp.39015047742963</t>
  </si>
  <si>
    <t>001899076</t>
  </si>
  <si>
    <t>mdp.39015000930910</t>
  </si>
  <si>
    <t>001899141</t>
  </si>
  <si>
    <t>Practical criticism, a study of literary judgment.</t>
  </si>
  <si>
    <t>mdp.39015002579343</t>
  </si>
  <si>
    <t>mdp.39015014610755</t>
  </si>
  <si>
    <t>mdp.39015032643721</t>
  </si>
  <si>
    <t>mdp.39015008387154</t>
  </si>
  <si>
    <t>001899142</t>
  </si>
  <si>
    <t>Richard Ivor Armstrong.</t>
  </si>
  <si>
    <t>mdp.39015031013025</t>
  </si>
  <si>
    <t>001899186</t>
  </si>
  <si>
    <t>A history of literary criticism in the renaissance, with special references to the influence of Italy in the formation and development of modern classicism ...</t>
  </si>
  <si>
    <t>mdp.39015031013033</t>
  </si>
  <si>
    <t>001899187</t>
  </si>
  <si>
    <t>mdp.39015058014146</t>
  </si>
  <si>
    <t>001899190</t>
  </si>
  <si>
    <t>Critical essays of the seventeenth century.</t>
  </si>
  <si>
    <t>mdp.39015028980152</t>
  </si>
  <si>
    <t>001899326</t>
  </si>
  <si>
    <t>001883412</t>
  </si>
  <si>
    <t>Teaching children to read,</t>
  </si>
  <si>
    <t>Klapper, Paul,</t>
  </si>
  <si>
    <t>mdp.39015003990572</t>
  </si>
  <si>
    <t>001883606</t>
  </si>
  <si>
    <t>The psychology and pedagogy of reading with a review of the history of reading and writing and of methods, texts, and hygiene in reading.</t>
  </si>
  <si>
    <t>mdp.39015066085252</t>
  </si>
  <si>
    <t>001883607</t>
  </si>
  <si>
    <t>mdp.39015005034437</t>
  </si>
  <si>
    <t>001883608</t>
  </si>
  <si>
    <t>mdp.39015005467694</t>
  </si>
  <si>
    <t>001883649</t>
  </si>
  <si>
    <t>The New Orleans public school spelling list.</t>
  </si>
  <si>
    <t>mdp.39015014371069</t>
  </si>
  <si>
    <t>001883650</t>
  </si>
  <si>
    <t>Improving your spelling program.</t>
  </si>
  <si>
    <t>Potty, Walter Thomas,</t>
  </si>
  <si>
    <t>mdp.39015062701357</t>
  </si>
  <si>
    <t>001883651</t>
  </si>
  <si>
    <t>Spelling efficiency in the Oakland schools; a report of the Oakland spelling investigation of October, 1914.</t>
  </si>
  <si>
    <t>Sears, Jesse Brundage,</t>
  </si>
  <si>
    <t>loc.ark:/13960/t17m13p6x</t>
  </si>
  <si>
    <t>001883653</t>
  </si>
  <si>
    <t>The teaching of spelling,</t>
  </si>
  <si>
    <t>Tidyman, Willard Fred,</t>
  </si>
  <si>
    <t>mdp.39015019990285</t>
  </si>
  <si>
    <t>uc1.b308905</t>
  </si>
  <si>
    <t>uc2.ark:/13960/t6639q97v</t>
  </si>
  <si>
    <t>mdp.39015056088191</t>
  </si>
  <si>
    <t>001883659</t>
  </si>
  <si>
    <t>History and literature in grammar grades.</t>
  </si>
  <si>
    <t>Phillips, John Herbert</t>
  </si>
  <si>
    <t>mdp.39015021774883</t>
  </si>
  <si>
    <t>001883660</t>
  </si>
  <si>
    <t>Literature in school, an address and two essays,</t>
  </si>
  <si>
    <t>Scudder, Horace Elisha,</t>
  </si>
  <si>
    <t>mdp.39015074170567</t>
  </si>
  <si>
    <t>001883679</t>
  </si>
  <si>
    <t>Report on the study of English language and literature in elementary and secondary schools.</t>
  </si>
  <si>
    <t>mdp.39015062701167</t>
  </si>
  <si>
    <t>001883680</t>
  </si>
  <si>
    <t>Fundamentals in English; a textbook for teachers colleges treating the subject-matter of formal English from the professional point of view,</t>
  </si>
  <si>
    <t>Cross, E. A.</t>
  </si>
  <si>
    <t>loc.ark:/13960/t45q5p503</t>
  </si>
  <si>
    <t>001883694</t>
  </si>
  <si>
    <t>The teaching of English, teaching the art and the science of language,</t>
  </si>
  <si>
    <t>mdp.39015062746790</t>
  </si>
  <si>
    <t>001883707</t>
  </si>
  <si>
    <t>English for kindergarten and grades I-VI.</t>
  </si>
  <si>
    <t>mdp.39015080278842</t>
  </si>
  <si>
    <t>001884107</t>
  </si>
  <si>
    <t>State course of study high schools of Virginia ...</t>
  </si>
  <si>
    <t>v.7 no.1 1924 Suppl. no.1</t>
  </si>
  <si>
    <t>mdp.39015062349389</t>
  </si>
  <si>
    <t>001884113</t>
  </si>
  <si>
    <t>English; course of study for junior high schools (grades 7, 8, and 9) and for senior high schools (grades 10, 11, and 12)</t>
  </si>
  <si>
    <t>mdp.39015063722329</t>
  </si>
  <si>
    <t>The technique of the French Alexandrine; a study of the works of Leconte de Lisle, Jose Maria de Heredia, François Coppée, Sully Prudhomme, and Paul Verlaine</t>
  </si>
  <si>
    <t>Thieme, Hugo P.</t>
  </si>
  <si>
    <t>mdp.39015053585603</t>
  </si>
  <si>
    <t>001802963</t>
  </si>
  <si>
    <t>Modern Provençal phonology and morphology, studied in the language of Frederic Mistral,</t>
  </si>
  <si>
    <t>Ford, Harry Egerton,</t>
  </si>
  <si>
    <t>mdp.39015019156366</t>
  </si>
  <si>
    <t>001807655</t>
  </si>
  <si>
    <t>Spanish phonetic manual,</t>
  </si>
  <si>
    <t>Barker, James Louis,</t>
  </si>
  <si>
    <t>mdp.39015018655269</t>
  </si>
  <si>
    <t>001807664</t>
  </si>
  <si>
    <t>Spanish pronunciation exercises; intensive drills for rapid improvement and mastery of oral Spanish and for speech correction.</t>
  </si>
  <si>
    <t>Boggs, Ralph Steele,</t>
  </si>
  <si>
    <t>uc1.b311442</t>
  </si>
  <si>
    <t>mdp.39015004070960</t>
  </si>
  <si>
    <t>001808348</t>
  </si>
  <si>
    <t>De oratore.</t>
  </si>
  <si>
    <t>mdp.39015005913440</t>
  </si>
  <si>
    <t>mdp.39015002179870</t>
  </si>
  <si>
    <t>001811215</t>
  </si>
  <si>
    <t>Pronunciation of ancient Greek; tr. from the 3d German ed. of Dr. Blass with the author's sanction,</t>
  </si>
  <si>
    <t>Blass, Friedrich,</t>
  </si>
  <si>
    <t>mdp.39015028046954</t>
  </si>
  <si>
    <t>uc2.ark:/13960/t39z99n35</t>
  </si>
  <si>
    <t>mdp.39015027645343</t>
  </si>
  <si>
    <t>001812325</t>
  </si>
  <si>
    <t>Aristotle's treatise on rhetoric, literally translated; with Hobbes' analysis, examination questions and an appendix containing the Greek definitions. Also, The poetic of Aristotle, literally translated, with a selection of notes, an analysis, and questions,</t>
  </si>
  <si>
    <t>mdp.39015004823285</t>
  </si>
  <si>
    <t>001812442</t>
  </si>
  <si>
    <t>Aristotle, with an English translation; the "Art" of rhetoric, by John Henry Freese.</t>
  </si>
  <si>
    <t>mdp.39015005000255</t>
  </si>
  <si>
    <t>001812455</t>
  </si>
  <si>
    <t>An introduction to Aristotle's rhetoric, with analysis, notes and appendices,</t>
  </si>
  <si>
    <t>Cope, Edward Meredith,</t>
  </si>
  <si>
    <t>mdp.39015004928894</t>
  </si>
  <si>
    <t>001845219</t>
  </si>
  <si>
    <t>Longinus on the sublime.</t>
  </si>
  <si>
    <t>Longinus, Cassius,</t>
  </si>
  <si>
    <t>mdp.39015005694503</t>
  </si>
  <si>
    <t>001876328</t>
  </si>
  <si>
    <t>The English voyages of the sixteenth century.</t>
  </si>
  <si>
    <t>Raleigh, Walter Alexander,</t>
  </si>
  <si>
    <t>mdp.39015002333600</t>
  </si>
  <si>
    <t>001882974</t>
  </si>
  <si>
    <t>Education through the imagination,</t>
  </si>
  <si>
    <t>mdp.39015003660670</t>
  </si>
  <si>
    <t>001883272</t>
  </si>
  <si>
    <t>The first steps in speech training Expression company</t>
  </si>
  <si>
    <t>Bennett, Rodney.</t>
  </si>
  <si>
    <t>mdp.39015062755635</t>
  </si>
  <si>
    <t>A dictionary of the English language : in which the words are deduced from their originals, and illustrated in their different significations by examples from the best writers. To which are prefixed a history of the language, and an English grammar /</t>
  </si>
  <si>
    <t>mdp.39015001815086</t>
  </si>
  <si>
    <t>001774530</t>
  </si>
  <si>
    <t>A programmed course in reading Thai syllables.</t>
  </si>
  <si>
    <t>Anthony, Edward Mason,</t>
  </si>
  <si>
    <t>mdp.39015010701822</t>
  </si>
  <si>
    <t>001775853</t>
  </si>
  <si>
    <t>The coming of love, Rhona Boswell's story, &amp; other poems,</t>
  </si>
  <si>
    <t>Watts-Dunton, Theodore,</t>
  </si>
  <si>
    <t>njp.32101067487395</t>
  </si>
  <si>
    <t>001776281</t>
  </si>
  <si>
    <t>Lyrical ballads,</t>
  </si>
  <si>
    <t>Wordsworth, William,</t>
  </si>
  <si>
    <t>mdp.39015005464709</t>
  </si>
  <si>
    <t>001776938</t>
  </si>
  <si>
    <t>German orthography and phonology; a treatise with a wordlist, Part first The treatise.</t>
  </si>
  <si>
    <t>mdp.39015002205832</t>
  </si>
  <si>
    <t>001777028</t>
  </si>
  <si>
    <t>An outline of German historical grammar.</t>
  </si>
  <si>
    <t>mdp.39015004733427</t>
  </si>
  <si>
    <t>mdp.39015017683031</t>
  </si>
  <si>
    <t>mdp.39015019158776</t>
  </si>
  <si>
    <t>001777095</t>
  </si>
  <si>
    <t>1. Verner's law in Gothic. II. The reduplicating verbs in Germanic ...</t>
  </si>
  <si>
    <t>Wood, Francis Asbury,</t>
  </si>
  <si>
    <t>njp.32101072322314</t>
  </si>
  <si>
    <t>001777132</t>
  </si>
  <si>
    <t>A study of suffix rime in Otfrid's Evangelienbuch ...</t>
  </si>
  <si>
    <t>Fowler, Thomas Howard.</t>
  </si>
  <si>
    <t>uc2.ark:/13960/t5m90cp5s</t>
  </si>
  <si>
    <t>mdp.39015031288858</t>
  </si>
  <si>
    <t>001789464</t>
  </si>
  <si>
    <t>Tables synoptiques de phonologie de l'ancien français,</t>
  </si>
  <si>
    <t>Berthon, Henry Edward,</t>
  </si>
  <si>
    <t>mdp.39015030088176</t>
  </si>
  <si>
    <t>001789589</t>
  </si>
  <si>
    <t>A practical tabular summary of French pronunciation applied to the analysis of all the sounds occurring in French words.</t>
  </si>
  <si>
    <t>Hennequin, Alfred,</t>
  </si>
  <si>
    <t>mdp.39015030088036</t>
  </si>
  <si>
    <t>001789620</t>
  </si>
  <si>
    <t>Les parlers parisiens,</t>
  </si>
  <si>
    <t>Koschwitz, Eduard,</t>
  </si>
  <si>
    <t>mdp.39015011920827</t>
  </si>
  <si>
    <t>001789730</t>
  </si>
  <si>
    <t>Aid to French pronunciation, with numerous drawings and exercises, for use in schools and colleges,</t>
  </si>
  <si>
    <t>Tilly, Edmund.</t>
  </si>
  <si>
    <t>uc1.b256885</t>
  </si>
  <si>
    <t>uc2.ark:/13960/t8gf0qx2k</t>
  </si>
  <si>
    <t>mdp.39015055054418</t>
  </si>
  <si>
    <t>001789750</t>
  </si>
  <si>
    <t>The Yersin phono-rhythmic method of French pronunciation, accent, and diction; French and English,</t>
  </si>
  <si>
    <t>Yersin, Marie.</t>
  </si>
  <si>
    <t>mdp.39015030087897</t>
  </si>
  <si>
    <t>001789774</t>
  </si>
  <si>
    <t>The grammar of English grammars, with an introduction historical and critical; the whole methodically arranged and amply illustrated; with ... a key to the oral exercises: to which are added four appendixes, pertaining separately to the four parts of grammar.</t>
  </si>
  <si>
    <t>Brown, Goold,</t>
  </si>
  <si>
    <t>mdp.39015005592012</t>
  </si>
  <si>
    <t>nyp.33433069256851</t>
  </si>
  <si>
    <t>uc2.ark:/13960/t6vx0842k</t>
  </si>
  <si>
    <t>hvd.32044097057533</t>
  </si>
  <si>
    <t>001770864</t>
  </si>
  <si>
    <t>English grammar, adapted to the different classes of learners. : With an appendix, containing rules and observations, for assisting the more advanced students to write with perspicuity and accuracy ... /</t>
  </si>
  <si>
    <t>uc1.b266880</t>
  </si>
  <si>
    <t>001770873</t>
  </si>
  <si>
    <t>uc2.ark:/13960/t48p5z74t</t>
  </si>
  <si>
    <t>wu.89089195226</t>
  </si>
  <si>
    <t>001770874</t>
  </si>
  <si>
    <t>A grammar of the English language, in a series of letters. Intended for the use of schools and of young persons in general; but more especially for the use of soldiers, sailors, apprentices, and plough-boys.</t>
  </si>
  <si>
    <t>Cobbett, William,</t>
  </si>
  <si>
    <t>mdp.39015055625159</t>
  </si>
  <si>
    <t>001770879</t>
  </si>
  <si>
    <t>Effective revenue writing. A basic course designed to give a brief, practical review of writing principles, grammar, and punctuation.</t>
  </si>
  <si>
    <t>mdp.39015067889223</t>
  </si>
  <si>
    <t>mdp.39015067889231</t>
  </si>
  <si>
    <t>mdp.39015064376679</t>
  </si>
  <si>
    <t>001770880</t>
  </si>
  <si>
    <t>The business man's English /</t>
  </si>
  <si>
    <t>Bartholomew, Wallace Edgar,</t>
  </si>
  <si>
    <t>nyp.33433069241531</t>
  </si>
  <si>
    <t>001770890</t>
  </si>
  <si>
    <t>The English reader, or Pieces in prose and verse, selected from the best writers ...</t>
  </si>
  <si>
    <t>mdp.39015006106986</t>
  </si>
  <si>
    <t>001770942</t>
  </si>
  <si>
    <t>The new handbook of English,</t>
  </si>
  <si>
    <t>McLeod, Malcolm,</t>
  </si>
  <si>
    <t>mdp.39015020054345</t>
  </si>
  <si>
    <t>001770946</t>
  </si>
  <si>
    <t>Materials for the study of English literature and composition; selections from Newman, Arnold, Huxley, Ruskin, and Carlyle,</t>
  </si>
  <si>
    <t>mdp.39015009065007</t>
  </si>
  <si>
    <t>001770972</t>
  </si>
  <si>
    <t>A history of English prose rhythm /</t>
  </si>
  <si>
    <t>ien.35556004815056</t>
  </si>
  <si>
    <t>001771002</t>
  </si>
  <si>
    <t>Teaching and organisation, with special reference to secondary schools, a manual of practice,</t>
  </si>
  <si>
    <t>Barnett, Percy Arthur,</t>
  </si>
  <si>
    <t>mdp.39015062745644</t>
  </si>
  <si>
    <t>001735371</t>
  </si>
  <si>
    <t>Theory and practice of teaching,</t>
  </si>
  <si>
    <t>Thring, Edward,</t>
  </si>
  <si>
    <t>mdp.39015070326122</t>
  </si>
  <si>
    <t>001736090</t>
  </si>
  <si>
    <t>Out-of-class programed instruction compared with conventional homework assignments in teaching expository writing in freshman English</t>
  </si>
  <si>
    <t>Tohtz, Jack Erwin.</t>
  </si>
  <si>
    <t>mdp.39015069415050</t>
  </si>
  <si>
    <t>001738765</t>
  </si>
  <si>
    <t>Business English,</t>
  </si>
  <si>
    <t>uc1.b3126453</t>
  </si>
  <si>
    <t>mdp.39015034628092</t>
  </si>
  <si>
    <t>001764777</t>
  </si>
  <si>
    <t>A classified catalogue of ... educational works in use in the United Kingdom and its dependencies in 1876 ...</t>
  </si>
  <si>
    <t>Low, Walter,</t>
  </si>
  <si>
    <t>mdp.39015034628084</t>
  </si>
  <si>
    <t>001764778</t>
  </si>
  <si>
    <t>A classified catalogue of educational works in use in the United Kingdom and its dependencies in 1887 ...</t>
  </si>
  <si>
    <t>mdp.39015003882910</t>
  </si>
  <si>
    <t>001768099</t>
  </si>
  <si>
    <t>The sounds of English, an introduction to phonetics;</t>
  </si>
  <si>
    <t>uc1.b62227</t>
  </si>
  <si>
    <t>001768256</t>
  </si>
  <si>
    <t>A key to the classical pronunciation of Greek, Latin, and Scripture proper names; in which the words are accented and divided into syllables exactly as they ought to be pronounced ... To which are added terminational vocabularies of Hebrew, Greek, and Latin proper names ... Concluding with observations on the Greek and Latin accent and quantity ...</t>
  </si>
  <si>
    <t>uc2.ark:/13960/t03x85k4p</t>
  </si>
  <si>
    <t>mdp.39015065730908</t>
  </si>
  <si>
    <t>001768365</t>
  </si>
  <si>
    <t>mdp.39015008831730</t>
  </si>
  <si>
    <t>001770109</t>
  </si>
  <si>
    <t>Some points of similarity in the phonology of Welsh and Breton.</t>
  </si>
  <si>
    <t>Parry-Williams, T. H.</t>
  </si>
  <si>
    <t>mdp.39015025977565</t>
  </si>
  <si>
    <t>001770581</t>
  </si>
  <si>
    <t>A primer of French verse for upper forms,</t>
  </si>
  <si>
    <t>Spencer, Frederic,</t>
  </si>
  <si>
    <t>mdp.39015078721183</t>
  </si>
  <si>
    <t>001770803</t>
  </si>
  <si>
    <t>A short history of English, with a bibliography of recent books on the subject, and lists of texts and editions,</t>
  </si>
  <si>
    <t>mdp.39015078153791</t>
  </si>
  <si>
    <t>001770845</t>
  </si>
  <si>
    <t>hvd.hn4ny9</t>
  </si>
  <si>
    <t>001770850</t>
  </si>
  <si>
    <t>001724285</t>
  </si>
  <si>
    <t>Latin pronunciation: a brief outline of the Roman, continental and English methods,</t>
  </si>
  <si>
    <t>King, David Bennett,</t>
  </si>
  <si>
    <t>mdp.39015063046836</t>
  </si>
  <si>
    <t>mdp.39015063028255</t>
  </si>
  <si>
    <t>001724286</t>
  </si>
  <si>
    <t>miun.ahj8214.0001.001</t>
  </si>
  <si>
    <t>001724368</t>
  </si>
  <si>
    <t>Roman orthoëpy : a plea for the restoration of the true system of Latin pronunciation /</t>
  </si>
  <si>
    <t>Richardson, John F.</t>
  </si>
  <si>
    <t>mdp.39015010353582</t>
  </si>
  <si>
    <t>001724430</t>
  </si>
  <si>
    <t>Rhotacism in the old Italian languages, and the exceptions</t>
  </si>
  <si>
    <t>Walter, Edward Lorraine,</t>
  </si>
  <si>
    <t>mdp.39015057074562</t>
  </si>
  <si>
    <t>001724433</t>
  </si>
  <si>
    <t>Quantity and accent in the pronunciation of Latin,</t>
  </si>
  <si>
    <t>Westaway, F. W.</t>
  </si>
  <si>
    <t>uc1.32106001525879</t>
  </si>
  <si>
    <t>mdp.39015009191142</t>
  </si>
  <si>
    <t>001725737</t>
  </si>
  <si>
    <t>A primer of Irish metrics, with a glossary, and an appendix containing an alphabetical list of the poets of Ireland,</t>
  </si>
  <si>
    <t>Meyer, Kuno,</t>
  </si>
  <si>
    <t>hvd.32044028796258</t>
  </si>
  <si>
    <t>001733684</t>
  </si>
  <si>
    <t>Four periods of public education as reviewed in 1832-1839-1846-1862 in papers</t>
  </si>
  <si>
    <t>mdp.39015062767382</t>
  </si>
  <si>
    <t>001734636</t>
  </si>
  <si>
    <t>Sonnenschein's cyclopædia of education; a handbook of reference on all subjects connected with education (its history, theory, and practice), comprising articles by eminent educational specialists.</t>
  </si>
  <si>
    <t>Fletcher, Alfred Ewen,</t>
  </si>
  <si>
    <t>mdp.39015074135339</t>
  </si>
  <si>
    <t>001734640</t>
  </si>
  <si>
    <t>A cyclopedia of education,</t>
  </si>
  <si>
    <t>v.5 POL-ZWI</t>
  </si>
  <si>
    <t>mdp.39015074135347</t>
  </si>
  <si>
    <t>v.4 LIB-POL</t>
  </si>
  <si>
    <t>mdp.39015074135354</t>
  </si>
  <si>
    <t>v.3 GAI-LIB</t>
  </si>
  <si>
    <t>mdp.39015074135362</t>
  </si>
  <si>
    <t>v.1 A-CHU</t>
  </si>
  <si>
    <t>mdp.39015073768361</t>
  </si>
  <si>
    <t>001734844</t>
  </si>
  <si>
    <t>The method of teaching and studying the belles lettres; or, An introduction to languages, poetry, rhetoric, history, moral philosophy, physics, &amp;c. ...</t>
  </si>
  <si>
    <t>Rollin, Charles,</t>
  </si>
  <si>
    <t>mdp.39015073768379</t>
  </si>
  <si>
    <t>mdp.39015073768387</t>
  </si>
  <si>
    <t>mdp.39015062743334</t>
  </si>
  <si>
    <t>001735271</t>
  </si>
  <si>
    <t>The school, the child and the teacher; suggestions for students in training, written, with special reference to the work in South African schools,</t>
  </si>
  <si>
    <t>Adamson, Ellen Winifred.</t>
  </si>
  <si>
    <t>uc1.b305840</t>
  </si>
  <si>
    <t>001735281</t>
  </si>
  <si>
    <t>Ayres, Leonard Porter,</t>
  </si>
  <si>
    <t>uc1.b3390739</t>
  </si>
  <si>
    <t>001675305</t>
  </si>
  <si>
    <t>The beginnings of the English secular and romantic drama : a paper read before the Shakespeare association on Friday, February 29, 1920.</t>
  </si>
  <si>
    <t>Reed, Arthur William.</t>
  </si>
  <si>
    <t>uc2.ark:/13960/t9j38vq21</t>
  </si>
  <si>
    <t>wu.89099902322</t>
  </si>
  <si>
    <t>001680339</t>
  </si>
  <si>
    <t>The speech teacher and competition,</t>
  </si>
  <si>
    <t>Bedichek, Roy,</t>
  </si>
  <si>
    <t>mdp.39015008608906</t>
  </si>
  <si>
    <t>001683924</t>
  </si>
  <si>
    <t>The real war of the theaters;</t>
  </si>
  <si>
    <t>Sharpe, Robert Boies,</t>
  </si>
  <si>
    <t>mdp.39015008489323</t>
  </si>
  <si>
    <t>001683927</t>
  </si>
  <si>
    <t>The voyagers and Elizabethan drama.</t>
  </si>
  <si>
    <t>Cawley, Robert Ralston.</t>
  </si>
  <si>
    <t>uc1.b63543</t>
  </si>
  <si>
    <t>mdp.39015030927399</t>
  </si>
  <si>
    <t>001689985</t>
  </si>
  <si>
    <t>Prolegomena to the history of Italico-Romanic rhythm,</t>
  </si>
  <si>
    <t>Fitz-hugh, Thomas,</t>
  </si>
  <si>
    <t>uc2.ark:/13960/t00z72p0w</t>
  </si>
  <si>
    <t>001689987</t>
  </si>
  <si>
    <t>The literary Saturnian,the stichic norm of Italico-Keltic, Romanic, and modern rhythm ...</t>
  </si>
  <si>
    <t>v.01</t>
  </si>
  <si>
    <t>Fitz-Hugh, Thomas,</t>
  </si>
  <si>
    <t>uc2.ark:/13960/t0cv4dh20</t>
  </si>
  <si>
    <t>v.02</t>
  </si>
  <si>
    <t>njp.32101074259720</t>
  </si>
  <si>
    <t>001689990</t>
  </si>
  <si>
    <t>The Indoeuropean superstress and the evolution of verse,</t>
  </si>
  <si>
    <t>loc.ark:/13960/t0xp7hp6s</t>
  </si>
  <si>
    <t>001690244</t>
  </si>
  <si>
    <t>The poems of Henry Howard, earl of Surrey</t>
  </si>
  <si>
    <t>Surrey, Henry Howard,</t>
  </si>
  <si>
    <t>njp.32101074200302</t>
  </si>
  <si>
    <t>001692414</t>
  </si>
  <si>
    <t>A critical pronouncing dictionary, and expositor of the English language ... To which are prefixed, principles of English pronunciation ... Likewise, rules to be observed by the natives of Scotland, Ireland, and London, for avoiding their respective peculiarities; and directions to foreigners, for acquiring a knowledge of the use of this dictionary. The whole interspersed with observations, etymological, critical, and grammatical.</t>
  </si>
  <si>
    <t>njp.32101007997396</t>
  </si>
  <si>
    <t>001692569</t>
  </si>
  <si>
    <t>A chronicle history of the London stage 1559-1642,</t>
  </si>
  <si>
    <t>loc.ark:/13960/t52f88q8w</t>
  </si>
  <si>
    <t>001692683</t>
  </si>
  <si>
    <t>The poetry of life.</t>
  </si>
  <si>
    <t>Carman, Bliss,</t>
  </si>
  <si>
    <t>uva.x001602419</t>
  </si>
  <si>
    <t>mdp.39015055337706</t>
  </si>
  <si>
    <t>001693350</t>
  </si>
  <si>
    <t>Speak the speech; reflections on good English and reformers,</t>
  </si>
  <si>
    <t>Clark, Barrett H.</t>
  </si>
  <si>
    <t>mdp.39015063028412</t>
  </si>
  <si>
    <t>001653727</t>
  </si>
  <si>
    <t>Félire Óengusso céli dé.</t>
  </si>
  <si>
    <t>v.29</t>
  </si>
  <si>
    <t>Oengus,</t>
  </si>
  <si>
    <t>mdp.39015056492625</t>
  </si>
  <si>
    <t>001654851</t>
  </si>
  <si>
    <t>The influence of Christianity on the vocabulary of old English poetry /</t>
  </si>
  <si>
    <t>mdp.39015056492633</t>
  </si>
  <si>
    <t>pt.2</t>
  </si>
  <si>
    <t>uc1.32106006275579</t>
  </si>
  <si>
    <t>wu.89013594031</t>
  </si>
  <si>
    <t>uc1.32106001507372</t>
  </si>
  <si>
    <t>001654895</t>
  </si>
  <si>
    <t>The elements of sound and their relation to language,</t>
  </si>
  <si>
    <t>uc1.32106001507414</t>
  </si>
  <si>
    <t>001654899</t>
  </si>
  <si>
    <t>John Donne, his flight from mediaevalism.</t>
  </si>
  <si>
    <t>Moloney, Michael Francis,</t>
  </si>
  <si>
    <t>uc1.b4320728</t>
  </si>
  <si>
    <t>001655626</t>
  </si>
  <si>
    <t>The effect of stress upon quantity in dissyllables; an experiment and historical study.</t>
  </si>
  <si>
    <t>Eliason, Norman Ellsworth.</t>
  </si>
  <si>
    <t>mdp.39015063951712</t>
  </si>
  <si>
    <t>001657247</t>
  </si>
  <si>
    <t>Approaches to a science of English verse,</t>
  </si>
  <si>
    <t>Schramm, Wilbur,</t>
  </si>
  <si>
    <t>coo.31924006225712</t>
  </si>
  <si>
    <t>001658696</t>
  </si>
  <si>
    <t>Oriental diction and theme in English verse, 1740-1840 /</t>
  </si>
  <si>
    <t>no.5-8</t>
  </si>
  <si>
    <t>Whitcomb, Edna Pearle Osborne,</t>
  </si>
  <si>
    <t>loc.ark:/13960/t59c7jc4w</t>
  </si>
  <si>
    <t>uc2.ark:/13960/t9w098m61</t>
  </si>
  <si>
    <t>uc1.b30342</t>
  </si>
  <si>
    <t>001660491</t>
  </si>
  <si>
    <t>Achievement in the elimination of errors in the mechanics of writtem expression throughout the junior-senior high school,</t>
  </si>
  <si>
    <t>Potter, Walter H.</t>
  </si>
  <si>
    <t>mdp.39015001527137</t>
  </si>
  <si>
    <t>001666215</t>
  </si>
  <si>
    <t>The writing scholar's companion (1695)</t>
  </si>
  <si>
    <t>uc2.ark:/13960/t8cf9mw69</t>
  </si>
  <si>
    <t>mdp.39015009104277</t>
  </si>
  <si>
    <t>001670326</t>
  </si>
  <si>
    <t>Poetic and verse criticism of the reign of Elizabeth.</t>
  </si>
  <si>
    <t>nyp.33433082508684</t>
  </si>
  <si>
    <t>mdp.39015039641165</t>
  </si>
  <si>
    <t>001670607</t>
  </si>
  <si>
    <t>A grammar of the dialect of Lorton (Cumberland) historical and descriptive; with an appendix on the Scandinavian element,</t>
  </si>
  <si>
    <t>Brilioth, Börje.</t>
  </si>
  <si>
    <t>uc2.ark:/13960/t3514101x</t>
  </si>
  <si>
    <t>njp.32101067685675</t>
  </si>
  <si>
    <t>001672354</t>
  </si>
  <si>
    <t>William Browne; his Britannia's pastorals and the pastoral poetry of the Elizabethan age.</t>
  </si>
  <si>
    <t>wu.89105752869</t>
  </si>
  <si>
    <t>001672380</t>
  </si>
  <si>
    <t>Das altertümliche im Wortschatz der Spenser-Nachahmungen des 18. Jahrhunderts /. von Karl Reuning.</t>
  </si>
  <si>
    <t>Reuning, Karl.</t>
  </si>
  <si>
    <t>uc1.b240554</t>
  </si>
  <si>
    <t>001674264</t>
  </si>
  <si>
    <t>A measuring scale for ability in spelling</t>
  </si>
  <si>
    <t>001637857</t>
  </si>
  <si>
    <t>Spenser, the school of the Fletchers, and Milton.</t>
  </si>
  <si>
    <t>Cory, Herbert Ellsworth,</t>
  </si>
  <si>
    <t>uc1.32106001638540</t>
  </si>
  <si>
    <t>001637930</t>
  </si>
  <si>
    <t>A chronological sketch of Castilian versification together with a list of its metric terms / by Dorothy Clotelle Clarke.</t>
  </si>
  <si>
    <t>v.34:3</t>
  </si>
  <si>
    <t>Clarke, Dorothy Clotelle.</t>
  </si>
  <si>
    <t>mdp.39015010834540</t>
  </si>
  <si>
    <t>001640445</t>
  </si>
  <si>
    <t>The earls of Derby and the verse writers and poets of the sixteenth and seventeenth centuries /</t>
  </si>
  <si>
    <t>Heywood, Thomas,</t>
  </si>
  <si>
    <t>nyp.33433075859946</t>
  </si>
  <si>
    <t>mdp.39015033600761</t>
  </si>
  <si>
    <t>001642167</t>
  </si>
  <si>
    <t>List of books chiefly on the drama and literary criticism.</t>
  </si>
  <si>
    <t>loc.ark:/13960/t14m9z911</t>
  </si>
  <si>
    <t>001642224</t>
  </si>
  <si>
    <t>Spelling ability, its measurememt and distribution</t>
  </si>
  <si>
    <t>Buckingham, B. R.</t>
  </si>
  <si>
    <t>mdp.39015076695942</t>
  </si>
  <si>
    <t>001642376</t>
  </si>
  <si>
    <t>English in state teachers colleges; a catalogue study,</t>
  </si>
  <si>
    <t>Jewett, Ida Adele,</t>
  </si>
  <si>
    <t>mdp.39015074133367</t>
  </si>
  <si>
    <t>001642507</t>
  </si>
  <si>
    <t>The effectiveness of modern spelling instruction,</t>
  </si>
  <si>
    <t>Thompson, Robert Sydney,</t>
  </si>
  <si>
    <t>mdp.39015074133607</t>
  </si>
  <si>
    <t>001642579</t>
  </si>
  <si>
    <t>Learning and applying spelling rules in grades three to eight.</t>
  </si>
  <si>
    <t>King, Luella Myrtle,</t>
  </si>
  <si>
    <t>mdp.39015011895268</t>
  </si>
  <si>
    <t>001642892</t>
  </si>
  <si>
    <t>The place of oral reading in the school program; its history and development from 1880-1941,</t>
  </si>
  <si>
    <t>no.872</t>
  </si>
  <si>
    <t>Hyatt, Ada V.,</t>
  </si>
  <si>
    <t>mdp.39015035886772</t>
  </si>
  <si>
    <t>001642910</t>
  </si>
  <si>
    <t>Learning by exposure to wrong forms in grammar and spelling.</t>
  </si>
  <si>
    <t>McIntosh, John Ranton,</t>
  </si>
  <si>
    <t>njp.32101073498014</t>
  </si>
  <si>
    <t>001643109</t>
  </si>
  <si>
    <t>The Rhetorica of Philodemus.</t>
  </si>
  <si>
    <t>Philodeumus,</t>
  </si>
  <si>
    <t>hvd.32044086713096</t>
  </si>
  <si>
    <t>001644596</t>
  </si>
  <si>
    <t>Manipulus vocabulorum: a rhyming dictionary of the English language,</t>
  </si>
  <si>
    <t>Levens, Peter,</t>
  </si>
  <si>
    <t>mdp.39015006601465</t>
  </si>
  <si>
    <t>hvd.32044014664668</t>
  </si>
  <si>
    <t>001652194</t>
  </si>
  <si>
    <t>Political poems and songs relating to English history : composed during the period from the accession of Edw. III. to that of Ric.</t>
  </si>
  <si>
    <t>hvd.32044024318586</t>
  </si>
  <si>
    <t>inu.32000007755319</t>
  </si>
  <si>
    <t>uc1.32106009896470</t>
  </si>
  <si>
    <t>no.14:2</t>
  </si>
  <si>
    <t>uc1.32106013953127</t>
  </si>
  <si>
    <t>no.14:1</t>
  </si>
  <si>
    <t>yale.39002005285763</t>
  </si>
  <si>
    <t>An intensive course in English for Latin-American students,</t>
  </si>
  <si>
    <t>v.4-6</t>
  </si>
  <si>
    <t>mdp.39015062433613</t>
  </si>
  <si>
    <t>mdp.39015008101175</t>
  </si>
  <si>
    <t>001464028</t>
  </si>
  <si>
    <t>An intensive course in English.</t>
  </si>
  <si>
    <t>mdp.39015010532938</t>
  </si>
  <si>
    <t>mdp.39015013096873</t>
  </si>
  <si>
    <t>mdp.39015032641568</t>
  </si>
  <si>
    <t>mdp.39076007042257</t>
  </si>
  <si>
    <t>uc2.ark:/13960/t6445vn38</t>
  </si>
  <si>
    <t>001467290</t>
  </si>
  <si>
    <t>Resonance in singing and speaking,</t>
  </si>
  <si>
    <t>Fillebrown, Thomas,</t>
  </si>
  <si>
    <t>mdp.39015004564137</t>
  </si>
  <si>
    <t>001479905</t>
  </si>
  <si>
    <t>Speech and hearing /</t>
  </si>
  <si>
    <t>Fletcher, Harvey,</t>
  </si>
  <si>
    <t>uc1.b3219689</t>
  </si>
  <si>
    <t>uc1.b76127</t>
  </si>
  <si>
    <t>mdp.39015003718973</t>
  </si>
  <si>
    <t>001510064</t>
  </si>
  <si>
    <t>Good engineering literature; what to read and how to write, with suggestive information on allied topics.</t>
  </si>
  <si>
    <t>Frost, Harwood.</t>
  </si>
  <si>
    <t>mdp.39015051117821</t>
  </si>
  <si>
    <t>nyp.33433066338405</t>
  </si>
  <si>
    <t>uc1.b277109</t>
  </si>
  <si>
    <t>uc2.ark:/13960/t6zw1b61s</t>
  </si>
  <si>
    <t>wu.89083906354</t>
  </si>
  <si>
    <t>mdp.39015064396826</t>
  </si>
  <si>
    <t>001510072</t>
  </si>
  <si>
    <t>A handbook of English in engineering usage.</t>
  </si>
  <si>
    <t>Howell, A. C.</t>
  </si>
  <si>
    <t>uc1.b315049</t>
  </si>
  <si>
    <t>mdp.39015058433411</t>
  </si>
  <si>
    <t>001510080</t>
  </si>
  <si>
    <t>English and science,</t>
  </si>
  <si>
    <t>McDonald, Philip Bayaud,</t>
  </si>
  <si>
    <t>wu.89083906537</t>
  </si>
  <si>
    <t>hvd.hn8xjk</t>
  </si>
  <si>
    <t>001532820</t>
  </si>
  <si>
    <t>Mythology for versification : or, A brief sketch of the fables of the ancients, prepared to be rendered into Latin verse, and desgned for the use of classical schools /</t>
  </si>
  <si>
    <t>Hodgson, Francis,</t>
  </si>
  <si>
    <t>mdp.39015062932465</t>
  </si>
  <si>
    <t>001532851</t>
  </si>
  <si>
    <t>Latin pronunciation : a short exposition of the Roman method /</t>
  </si>
  <si>
    <t>Peck, Harry Thurston,</t>
  </si>
  <si>
    <t>uc2.ark:/13960/t5j963k87</t>
  </si>
  <si>
    <t>mdp.39015005984623</t>
  </si>
  <si>
    <t>001577088</t>
  </si>
  <si>
    <t>Good English for medical writers.</t>
  </si>
  <si>
    <t>Roberts, Ffrangcon.</t>
  </si>
  <si>
    <t>mdp.39015058506869</t>
  </si>
  <si>
    <t>001591484</t>
  </si>
  <si>
    <t>Martyrology pronouncing dictionary.</t>
  </si>
  <si>
    <t>Russo-Alesi, Anthony Ignatius,</t>
  </si>
  <si>
    <t>mdp.39015005288314</t>
  </si>
  <si>
    <t>001598317</t>
  </si>
  <si>
    <t>English biography before 1700,</t>
  </si>
  <si>
    <t>Stauffer, Donald A.</t>
  </si>
  <si>
    <t>mdp.39015010844432</t>
  </si>
  <si>
    <t>uc1.b4315369</t>
  </si>
  <si>
    <t>uc1.32106019364246</t>
  </si>
  <si>
    <t>001633804</t>
  </si>
  <si>
    <t>Discourse on criticism and of poetry from Poems on Several Occasions (1707) /</t>
  </si>
  <si>
    <t>no.2</t>
  </si>
  <si>
    <t>Cobb, Samuel,</t>
  </si>
  <si>
    <t>loc.ark:/13960/t3223c70r</t>
  </si>
  <si>
    <t>Elements of rhetoric:</t>
  </si>
  <si>
    <t>Whately, Richard,</t>
  </si>
  <si>
    <t>mdp.39015002160524</t>
  </si>
  <si>
    <t>dul1.ark:/13960/t5w67998k</t>
  </si>
  <si>
    <t>001463161</t>
  </si>
  <si>
    <t>An introduction to poetry, for students of English literature,</t>
  </si>
  <si>
    <t>mdp.39015005250066</t>
  </si>
  <si>
    <t>mdp.39015022469087</t>
  </si>
  <si>
    <t>001463202</t>
  </si>
  <si>
    <t>Observations on poetry, especially the epic;</t>
  </si>
  <si>
    <t>Pemberton, Henry,</t>
  </si>
  <si>
    <t>mdp.39015003936732</t>
  </si>
  <si>
    <t>001463493</t>
  </si>
  <si>
    <t>The spoken word in life and art,</t>
  </si>
  <si>
    <t>Davis, Estelle H.</t>
  </si>
  <si>
    <t>mdp.39015003956490</t>
  </si>
  <si>
    <t>001463526</t>
  </si>
  <si>
    <t>Successful speaking; a text for secondary schools,</t>
  </si>
  <si>
    <t>Sanford, William Phillips.</t>
  </si>
  <si>
    <t>mdp.39015030866464</t>
  </si>
  <si>
    <t>001463529</t>
  </si>
  <si>
    <t>Elocution and action,</t>
  </si>
  <si>
    <t>Southwick, Frank Townsend.</t>
  </si>
  <si>
    <t>mdp.39015003959858</t>
  </si>
  <si>
    <t>001463530</t>
  </si>
  <si>
    <t>Speech criticism, the development of standards for rhetorical appraisal,</t>
  </si>
  <si>
    <t>mdp.39015046815836</t>
  </si>
  <si>
    <t>uc1.b3553890</t>
  </si>
  <si>
    <t>mdp.39015022311388</t>
  </si>
  <si>
    <t>001463537</t>
  </si>
  <si>
    <t>Rogers, Clara Kathleen,</t>
  </si>
  <si>
    <t>mdp.39015031038915</t>
  </si>
  <si>
    <t>mdp.39015011300327</t>
  </si>
  <si>
    <t>001463800</t>
  </si>
  <si>
    <t>Aspects of literature</t>
  </si>
  <si>
    <t>Murry, John Middleton,</t>
  </si>
  <si>
    <t>mdp.39015014567781</t>
  </si>
  <si>
    <t>001463926</t>
  </si>
  <si>
    <t>On the study of words,.</t>
  </si>
  <si>
    <t>mdp.39015008009220</t>
  </si>
  <si>
    <t>001463927</t>
  </si>
  <si>
    <t>Origin, progress and destiny of the English language and literature.</t>
  </si>
  <si>
    <t>Weisse, John Adam,</t>
  </si>
  <si>
    <t>uc1.b29609</t>
  </si>
  <si>
    <t>uc2.ark:/13960/t12n51d4v</t>
  </si>
  <si>
    <t>mdp.39015046408152</t>
  </si>
  <si>
    <t>001463928</t>
  </si>
  <si>
    <t>mdp.39015009309371</t>
  </si>
  <si>
    <t>001463977</t>
  </si>
  <si>
    <t>English grammar for beginners,</t>
  </si>
  <si>
    <t>Clark, Stephen Watkins,</t>
  </si>
  <si>
    <t>mdp.39015030925666</t>
  </si>
  <si>
    <t>001463992</t>
  </si>
  <si>
    <t>English grammar, adapted to the different classes of learners;</t>
  </si>
  <si>
    <t>mdp.39015030926052</t>
  </si>
  <si>
    <t>001464006</t>
  </si>
  <si>
    <t>Longmans' English grammar,</t>
  </si>
  <si>
    <t>Smith, George Jay,</t>
  </si>
  <si>
    <t>nyp.33433069255044</t>
  </si>
  <si>
    <t>mdp.39015005515369</t>
  </si>
  <si>
    <t>001464012</t>
  </si>
  <si>
    <t>Relativ frequency of English speech sounds,</t>
  </si>
  <si>
    <t>Dewey,Godfrey.</t>
  </si>
  <si>
    <t>uc1.32106001573762</t>
  </si>
  <si>
    <t>uc1.b14630</t>
  </si>
  <si>
    <t>mdp.39015030934676</t>
  </si>
  <si>
    <t>001464021</t>
  </si>
  <si>
    <t>The versification of King Horn ...</t>
  </si>
  <si>
    <t>West, Henry Skinner,</t>
  </si>
  <si>
    <t>uc1.b4572604</t>
  </si>
  <si>
    <t>uc2.ark:/13960/t8tb1bp0c</t>
  </si>
  <si>
    <t>mdp.39015006610219</t>
  </si>
  <si>
    <t>001464027</t>
  </si>
  <si>
    <t>Primitive music : an inquiry into the origin and development of music, songs, instruments, dances, and pantomimes of savage races, with musical examples /</t>
  </si>
  <si>
    <t>Wallaschek, Richard,</t>
  </si>
  <si>
    <t>mdp.39015070645125</t>
  </si>
  <si>
    <t>001461299</t>
  </si>
  <si>
    <t>A practical treatise on singing and playing with just expression and real elegance. Being an essay on I. Grammar. II. Pronunciation; or, The art of just speaking. III. Singing - its graces - their application.- On cathedral compositions. By Anselm Bayly.</t>
  </si>
  <si>
    <t>mdp.39015009699383</t>
  </si>
  <si>
    <t>001461350</t>
  </si>
  <si>
    <t>Articulation in singing; a manual for student and teacher, with practical examples and exercises,</t>
  </si>
  <si>
    <t>Henschel, George,</t>
  </si>
  <si>
    <t>mdp.39015011393025</t>
  </si>
  <si>
    <t>001461921</t>
  </si>
  <si>
    <t>The Treasury of knowledge, and library of reference ...</t>
  </si>
  <si>
    <t>uc2.ark:/13960/t16m3ct7z</t>
  </si>
  <si>
    <t>001462844</t>
  </si>
  <si>
    <t>Visible speech : the science ... /</t>
  </si>
  <si>
    <t>mdp.39015055278959</t>
  </si>
  <si>
    <t>001462963</t>
  </si>
  <si>
    <t>The general phonetic characteristics of languages.</t>
  </si>
  <si>
    <t>mdp.39015010220161</t>
  </si>
  <si>
    <t>001462971</t>
  </si>
  <si>
    <t>Intonation curves, a collection of phonetic texts,</t>
  </si>
  <si>
    <t>uc2.ark:/13960/t43r1141g</t>
  </si>
  <si>
    <t>mdp.39015031107785</t>
  </si>
  <si>
    <t>001462977</t>
  </si>
  <si>
    <t>The human speech sounds ...</t>
  </si>
  <si>
    <t>Luthy, Charles T.</t>
  </si>
  <si>
    <t>mdp.39015031012894</t>
  </si>
  <si>
    <t>001463084</t>
  </si>
  <si>
    <t>Essays towards a critical method,</t>
  </si>
  <si>
    <t>mdp.39015031012308</t>
  </si>
  <si>
    <t>001463107</t>
  </si>
  <si>
    <t>Descriptive writing.</t>
  </si>
  <si>
    <t>pst.000001925388</t>
  </si>
  <si>
    <t>uc1.b3130521</t>
  </si>
  <si>
    <t>mdp.39015004957190</t>
  </si>
  <si>
    <t>001463108</t>
  </si>
  <si>
    <t>The Rhetoric of Aristotle.</t>
  </si>
  <si>
    <t>mdp.39015031012399</t>
  </si>
  <si>
    <t>001463112</t>
  </si>
  <si>
    <t>Talks on writing English,</t>
  </si>
  <si>
    <t>Bates, Arlo,</t>
  </si>
  <si>
    <t>mdp.39015031012407</t>
  </si>
  <si>
    <t>nyp.33433082503834</t>
  </si>
  <si>
    <t>1st Series</t>
  </si>
  <si>
    <t>nyp.33433082518444</t>
  </si>
  <si>
    <t>2nd Series</t>
  </si>
  <si>
    <t>uc1.b258165</t>
  </si>
  <si>
    <t>uc1.b258166</t>
  </si>
  <si>
    <t>mdp.39015010297391</t>
  </si>
  <si>
    <t>001463115</t>
  </si>
  <si>
    <t>Lectures on rhetoric and belles lettres.</t>
  </si>
  <si>
    <t>mdp.39015012837038</t>
  </si>
  <si>
    <t>mdp.39015012838226</t>
  </si>
  <si>
    <t>miun.agf5049.0001.001</t>
  </si>
  <si>
    <t>001463116</t>
  </si>
  <si>
    <t>A manual of the art of prose composition: for the use of colleges and schools.</t>
  </si>
  <si>
    <t>Bonnell, John Mitchell,</t>
  </si>
  <si>
    <t>hvd.32044102769759</t>
  </si>
  <si>
    <t>001463159</t>
  </si>
  <si>
    <t>001441603</t>
  </si>
  <si>
    <t>English for the non-English, /</t>
  </si>
  <si>
    <t>Black, Norman Fergus,</t>
  </si>
  <si>
    <t>uc1.b265805</t>
  </si>
  <si>
    <t>uc2.ark:/13960/t58c9v37x</t>
  </si>
  <si>
    <t>mdp.39015030933454</t>
  </si>
  <si>
    <t>001441605</t>
  </si>
  <si>
    <t>The teaching of English in the elementary and the secondary school /</t>
  </si>
  <si>
    <t>Chubb, Percival,</t>
  </si>
  <si>
    <t>mdp.39015016924006</t>
  </si>
  <si>
    <t>001441616</t>
  </si>
  <si>
    <t>How to teach English to foreigners.</t>
  </si>
  <si>
    <t>Goldberger, Henry H.</t>
  </si>
  <si>
    <t>loc.ark:/13960/t2w38gn2r</t>
  </si>
  <si>
    <t>001441815</t>
  </si>
  <si>
    <t>The great tradition; a book of selections from English and American prose and poetry, illustrating the national ideals of freedom, faith, and conduct,</t>
  </si>
  <si>
    <t>Greenlaw, Edwin Almiron,</t>
  </si>
  <si>
    <t>coo.31924013355650</t>
  </si>
  <si>
    <t>001441869</t>
  </si>
  <si>
    <t>English critical essays (sixteenth, seventeenth, and eighteenth centuries) selected and ed. by Edmund D. Jones.</t>
  </si>
  <si>
    <t>Jones, Edmund David,</t>
  </si>
  <si>
    <t>mdp.39015013269827</t>
  </si>
  <si>
    <t>mdp.39015030932399</t>
  </si>
  <si>
    <t>uc1.b36063</t>
  </si>
  <si>
    <t>001443871</t>
  </si>
  <si>
    <t>Papers literary, scientific, &amp;c. /</t>
  </si>
  <si>
    <t>Jenkin, Fleeming,</t>
  </si>
  <si>
    <t>uc2.ark:/13960/t5n874r9b</t>
  </si>
  <si>
    <t>hvd.32044029536984</t>
  </si>
  <si>
    <t>001449167</t>
  </si>
  <si>
    <t>Public education as affected by the minutes of the committee of Privy council from 1846 to 1852; with suggestions as to future policy.</t>
  </si>
  <si>
    <t>Kay-Shuttleworth, James,</t>
  </si>
  <si>
    <t>mdp.39015046788439</t>
  </si>
  <si>
    <t>001449850</t>
  </si>
  <si>
    <t>Principles of Jesuit education in practice.</t>
  </si>
  <si>
    <t>Donnelly, Francis Patrick,</t>
  </si>
  <si>
    <t>uc1.b114056</t>
  </si>
  <si>
    <t>mdp.39015069284670</t>
  </si>
  <si>
    <t>001449993</t>
  </si>
  <si>
    <t>An address, delivered before the Phi beta kappa society of Harvard university, 28 August, 1834,</t>
  </si>
  <si>
    <t>Gardiner, William Howard,</t>
  </si>
  <si>
    <t>miun.age3247.0001.001</t>
  </si>
  <si>
    <t>001451744</t>
  </si>
  <si>
    <t>Inaugural addresses of Theodore W. Dwight, professor of law, and of George P. Marsh, professor of English literature, in Columbia college, New York.</t>
  </si>
  <si>
    <t>uc2.ark:/13960/t2g73r88s</t>
  </si>
  <si>
    <t>001453737</t>
  </si>
  <si>
    <t>Essays, on poetry and music, as they affect the mind : on laughter, and ludicrous composition : on the utility of classical learning.</t>
  </si>
  <si>
    <t>inu.39000005918987</t>
  </si>
  <si>
    <t>001459062</t>
  </si>
  <si>
    <t>uc2.ark:/13960/t0sq8tc7f</t>
  </si>
  <si>
    <t>mdp.39015010849225</t>
  </si>
  <si>
    <t>001441527</t>
  </si>
  <si>
    <t>The art of writing verse,</t>
  </si>
  <si>
    <t>Jenkinson, Editha.</t>
  </si>
  <si>
    <t>mdp.39015008735113</t>
  </si>
  <si>
    <t>001441529</t>
  </si>
  <si>
    <t>The principles of English verse,</t>
  </si>
  <si>
    <t>mdp.39015051652652</t>
  </si>
  <si>
    <t>001441530</t>
  </si>
  <si>
    <t>A brief abstract of a new English prosody,</t>
  </si>
  <si>
    <t>mdp.39015005264695</t>
  </si>
  <si>
    <t>001441531</t>
  </si>
  <si>
    <t>Chapters on English metre,</t>
  </si>
  <si>
    <t>Mayor, Joseph B.</t>
  </si>
  <si>
    <t>mdp.39015030934767</t>
  </si>
  <si>
    <t>001441533</t>
  </si>
  <si>
    <t>The technic of versification; notes and illustrations,</t>
  </si>
  <si>
    <t>Odling, William,</t>
  </si>
  <si>
    <t>uc2.ark:/13960/t1gh9d71k</t>
  </si>
  <si>
    <t>njp.32101072898230</t>
  </si>
  <si>
    <t>001441534</t>
  </si>
  <si>
    <t>English metrists, being a sketch of English prosodical criticism from Elizabethan times to the present day,</t>
  </si>
  <si>
    <t>mdp.39015010437179</t>
  </si>
  <si>
    <t>001441536</t>
  </si>
  <si>
    <t>The rhythm of prose : an experimental investigation of individual difference in the sense of rhythm /</t>
  </si>
  <si>
    <t>Patterson, William Morrison,</t>
  </si>
  <si>
    <t>mdp.39015014574241</t>
  </si>
  <si>
    <t>001441537</t>
  </si>
  <si>
    <t>mdp.39015003477794</t>
  </si>
  <si>
    <t>001441540</t>
  </si>
  <si>
    <t>A history of English prose rhythm.</t>
  </si>
  <si>
    <t>mdp.39015008241476</t>
  </si>
  <si>
    <t>uc2.ark:/13960/t74t6j816</t>
  </si>
  <si>
    <t>mdp.39015010540071</t>
  </si>
  <si>
    <t>001441544</t>
  </si>
  <si>
    <t>Rhythmic verse,</t>
  </si>
  <si>
    <t>v.3 no.2</t>
  </si>
  <si>
    <t>mdp.39015008891387</t>
  </si>
  <si>
    <t>001441546</t>
  </si>
  <si>
    <t>Modern metrical technique as illustrated by ballad meter (1700-1920)</t>
  </si>
  <si>
    <t>Stewart, George R.,</t>
  </si>
  <si>
    <t>mdp.39015030934668</t>
  </si>
  <si>
    <t>mdp.39015021952943</t>
  </si>
  <si>
    <t>001441549</t>
  </si>
  <si>
    <t>Selections for the illustration of a course of instructions on the rhythmus and utterance of the English language: with an Introductory essay on the application of rhythmical science to the treatment of impediments, and the improvement of our national oratory; and an elementary analysis of the science and practice of elocution, composition, &amp;c.</t>
  </si>
  <si>
    <t>Thelwall, John,</t>
  </si>
  <si>
    <t>mdp.39015030934635</t>
  </si>
  <si>
    <t>001441551</t>
  </si>
  <si>
    <t>Galloping sounds.</t>
  </si>
  <si>
    <t>Ainsworth, Stanley Humphreys,</t>
  </si>
  <si>
    <t>uc1.b258092</t>
  </si>
  <si>
    <t>mdp.39015030933363</t>
  </si>
  <si>
    <t>001441573</t>
  </si>
  <si>
    <t>The mother tongue.</t>
  </si>
  <si>
    <t>mdp.39015030933371</t>
  </si>
  <si>
    <t>v.3 c.2</t>
  </si>
  <si>
    <t>uc2.ark:/13960/t53f4r12m</t>
  </si>
  <si>
    <t>wu.89099894990</t>
  </si>
  <si>
    <t>mdp.39015028549585</t>
  </si>
  <si>
    <t>mdp.39015019780413</t>
  </si>
  <si>
    <t>001441470</t>
  </si>
  <si>
    <t>Global alphabet.</t>
  </si>
  <si>
    <t>mdp.39015030925260</t>
  </si>
  <si>
    <t>001441477</t>
  </si>
  <si>
    <t>Practical review grammar,</t>
  </si>
  <si>
    <t>Wells, John Edwin,</t>
  </si>
  <si>
    <t>uc1.b257584</t>
  </si>
  <si>
    <t>mdp.39015030933595</t>
  </si>
  <si>
    <t>001441478</t>
  </si>
  <si>
    <t>Kinesiologic phonetics: an analysis of the movements of the articulatory mechanism in the production of isolated English speech sounds,</t>
  </si>
  <si>
    <t>West, Robert W.</t>
  </si>
  <si>
    <t>mdp.39015021935443</t>
  </si>
  <si>
    <t>001441480</t>
  </si>
  <si>
    <t>On early English pronunciation, with especial reference to Chaucer,</t>
  </si>
  <si>
    <t>Weymouth, Richard Francis.</t>
  </si>
  <si>
    <t>uc2.ark:/13960/t5m905f4p</t>
  </si>
  <si>
    <t>mdp.39015046852177</t>
  </si>
  <si>
    <t>001441487</t>
  </si>
  <si>
    <t>Introduction to phonetics.</t>
  </si>
  <si>
    <t>mdp.39015002341454</t>
  </si>
  <si>
    <t>001441496</t>
  </si>
  <si>
    <t>Pronunciation of English vowels, 1400-1700,</t>
  </si>
  <si>
    <t>Zachrisson, Robert Eugen,</t>
  </si>
  <si>
    <t>mdp.39015028547696</t>
  </si>
  <si>
    <t>001441504</t>
  </si>
  <si>
    <t>The spelling reform /</t>
  </si>
  <si>
    <t>March, Francis Andrew,</t>
  </si>
  <si>
    <t>mdp.39015058692529</t>
  </si>
  <si>
    <t>mdp.39015009210579</t>
  </si>
  <si>
    <t>001441516</t>
  </si>
  <si>
    <t>The writing and reading of verse,</t>
  </si>
  <si>
    <t>Andrews, Clarence Edward,</t>
  </si>
  <si>
    <t>mdp.39015011702365</t>
  </si>
  <si>
    <t>mdp.39015066078315</t>
  </si>
  <si>
    <t>uc2.ark:/13960/t7vm44n49</t>
  </si>
  <si>
    <t>mdp.39015030934874</t>
  </si>
  <si>
    <t>001441517</t>
  </si>
  <si>
    <t>Rhymes of English poets of the XIXth century ...</t>
  </si>
  <si>
    <t>Bartling, Gustav,</t>
  </si>
  <si>
    <t>mdp.39015005354660</t>
  </si>
  <si>
    <t>001441518</t>
  </si>
  <si>
    <t>Orthometry; the art of versification and the technicalities of poetry, with a new and complete rhyming dictinary,</t>
  </si>
  <si>
    <t>mdp.39015070460178</t>
  </si>
  <si>
    <t>001441519</t>
  </si>
  <si>
    <t>Prose rhythm in English : a lecture delivered on June 6, 1913.</t>
  </si>
  <si>
    <t>Clark, Albert Curtis,</t>
  </si>
  <si>
    <t>mdp.39015030934858</t>
  </si>
  <si>
    <t>001441520</t>
  </si>
  <si>
    <t>A study in English metrics,</t>
  </si>
  <si>
    <t>Crapsey, Adelaide,</t>
  </si>
  <si>
    <t>uc1.b4095516</t>
  </si>
  <si>
    <t>uc2.ark:/13960/t50g3tr1d</t>
  </si>
  <si>
    <t>uc1.32106008364470</t>
  </si>
  <si>
    <t>001441522</t>
  </si>
  <si>
    <t>Theory of prosody in eighteenth-century England.</t>
  </si>
  <si>
    <t>Fussell, Paul,</t>
  </si>
  <si>
    <t>mdp.39015012903160</t>
  </si>
  <si>
    <t>001441524</t>
  </si>
  <si>
    <t>English poesy, an induction /</t>
  </si>
  <si>
    <t>Hall, William Winslow.</t>
  </si>
  <si>
    <t>mdp.39015021951309</t>
  </si>
  <si>
    <t>001441526</t>
  </si>
  <si>
    <t>An introduction to poetry,</t>
  </si>
  <si>
    <t>Hubbell, Jay Broadus.</t>
  </si>
  <si>
    <t>nyp.33433074840160</t>
  </si>
  <si>
    <t>uc1.b276177</t>
  </si>
  <si>
    <t>Grammar and its reasons, for students and teachers of the English tongue,</t>
  </si>
  <si>
    <t>Leonard, Mary Hall,</t>
  </si>
  <si>
    <t>nyp.33433069255259</t>
  </si>
  <si>
    <t>uc1.b257668</t>
  </si>
  <si>
    <t>uc2.ark:/13960/t6b27st3m</t>
  </si>
  <si>
    <t>nyp.33433082512207</t>
  </si>
  <si>
    <t>001441352</t>
  </si>
  <si>
    <t>The study and practice of writing English,</t>
  </si>
  <si>
    <t>Lomer, Gerhard Richard,</t>
  </si>
  <si>
    <t>uc1.b258329</t>
  </si>
  <si>
    <t>uc2.ark:/13960/t1ng4mr6h</t>
  </si>
  <si>
    <t>mdp.39015011819730</t>
  </si>
  <si>
    <t>001441354</t>
  </si>
  <si>
    <t>The standard of pronunciation in English.</t>
  </si>
  <si>
    <t>Lounsbury, Thomas Raynesford,</t>
  </si>
  <si>
    <t>nyp.33433069243248</t>
  </si>
  <si>
    <t>uc1.b257561</t>
  </si>
  <si>
    <t>uc2.ark:/13960/t75t3sp05</t>
  </si>
  <si>
    <t>mdp.39015004270784</t>
  </si>
  <si>
    <t>001441367</t>
  </si>
  <si>
    <t>Synopsis of Old English phonology, : being a systematic account of Old English vowels and consonants and their correspondences in the cognate languages, /</t>
  </si>
  <si>
    <t>Mayhew, A. L.</t>
  </si>
  <si>
    <t>uc2.ark:/13960/t58c9wg8r</t>
  </si>
  <si>
    <t>mdp.39015016462353</t>
  </si>
  <si>
    <t>001441371</t>
  </si>
  <si>
    <t>Drill book in dictionary work,</t>
  </si>
  <si>
    <t>Metcalf, Thomas.</t>
  </si>
  <si>
    <t>mdp.39015019992760</t>
  </si>
  <si>
    <t>001441380</t>
  </si>
  <si>
    <t>A synopsis of English sounds, with corrective exercises for elementary, high,</t>
  </si>
  <si>
    <t>Mowatt, Olive Margaret (Day),</t>
  </si>
  <si>
    <t>uc1.b307086</t>
  </si>
  <si>
    <t>mdp.39015011542704</t>
  </si>
  <si>
    <t>001441382</t>
  </si>
  <si>
    <t>English grammar, adapted to the different classes of learners.</t>
  </si>
  <si>
    <t>mdp.39015002608993</t>
  </si>
  <si>
    <t>001441407</t>
  </si>
  <si>
    <t>A grammar of late modern English, for the use of continental, especially Dutch, students,</t>
  </si>
  <si>
    <t>pt.2 sect.2</t>
  </si>
  <si>
    <t>Poutsma, Hendrik,</t>
  </si>
  <si>
    <t>mdp.39015004290246</t>
  </si>
  <si>
    <t>pt.2 sect.1A</t>
  </si>
  <si>
    <t>mdp.39015043285819</t>
  </si>
  <si>
    <t>pt.2 sect.1B</t>
  </si>
  <si>
    <t>mdp.39015062486215</t>
  </si>
  <si>
    <t>pt.1</t>
  </si>
  <si>
    <t>mdp.39015067504590</t>
  </si>
  <si>
    <t>mdp.39015029397943</t>
  </si>
  <si>
    <t>001441423</t>
  </si>
  <si>
    <t>Good speech; an introduction to English phonetics,</t>
  </si>
  <si>
    <t>Ripman, Walter,</t>
  </si>
  <si>
    <t>mdp.39015030926060</t>
  </si>
  <si>
    <t>001441436</t>
  </si>
  <si>
    <t>A brief English grammar,</t>
  </si>
  <si>
    <t>mdp.39015046415918</t>
  </si>
  <si>
    <t>uc1.b307003</t>
  </si>
  <si>
    <t>001441437</t>
  </si>
  <si>
    <t>Lessons in English ...</t>
  </si>
  <si>
    <t>uc1.b307004</t>
  </si>
  <si>
    <t>mdp.39015022201241</t>
  </si>
  <si>
    <t>001441441</t>
  </si>
  <si>
    <t>Sheldon's advanced language lessons.</t>
  </si>
  <si>
    <t>nyp.33433069247793</t>
  </si>
  <si>
    <t>mdp.39015030926102</t>
  </si>
  <si>
    <t>001441449</t>
  </si>
  <si>
    <t>Our language, Smith and McMurry; grammar,</t>
  </si>
  <si>
    <t>First lessons in speech improvement,</t>
  </si>
  <si>
    <t>Birmingham, Anna I.</t>
  </si>
  <si>
    <t>mdp.39015028524133</t>
  </si>
  <si>
    <t>001441246</t>
  </si>
  <si>
    <t>Psychology of English, why we say what we do</t>
  </si>
  <si>
    <t>Bryant, Margaret M.,</t>
  </si>
  <si>
    <t>mdp.39015030924941</t>
  </si>
  <si>
    <t>001441251</t>
  </si>
  <si>
    <t>The pronunciation of English by foreigners.</t>
  </si>
  <si>
    <t>Burch, George James,</t>
  </si>
  <si>
    <t>uc1.b257578</t>
  </si>
  <si>
    <t>uc2.ark:/13960/t9w090j2w</t>
  </si>
  <si>
    <t>mdp.39015030924891</t>
  </si>
  <si>
    <t>001441259</t>
  </si>
  <si>
    <t>The pronunciation of English reduced to rules by means of a system of marks applied to the ordinary spelling,</t>
  </si>
  <si>
    <t>Craigie, William A.</t>
  </si>
  <si>
    <t>mdp.39015030925104</t>
  </si>
  <si>
    <t>001441262</t>
  </si>
  <si>
    <t>Chapters on English printing : prosody, and pronunciation (1550-1700) /</t>
  </si>
  <si>
    <t>Dam, Bastiaan Adriaan Pieter van,</t>
  </si>
  <si>
    <t>mdp.39015030925203</t>
  </si>
  <si>
    <t>cop.3</t>
  </si>
  <si>
    <t>uc2.ark:/13960/t8kd1vc40</t>
  </si>
  <si>
    <t>uva.x004152799</t>
  </si>
  <si>
    <t>mdp.39015001570723</t>
  </si>
  <si>
    <t>001441294</t>
  </si>
  <si>
    <t>English grammar,</t>
  </si>
  <si>
    <t>Gowdy, Chestine,</t>
  </si>
  <si>
    <t>mdp.39015030997152</t>
  </si>
  <si>
    <t>001441299</t>
  </si>
  <si>
    <t>Word study and English grammar,</t>
  </si>
  <si>
    <t>Hamilton, Frederick William,</t>
  </si>
  <si>
    <t>uva.x030485909</t>
  </si>
  <si>
    <t>no. 32</t>
  </si>
  <si>
    <t>mdp.39015001570756</t>
  </si>
  <si>
    <t>001441302</t>
  </si>
  <si>
    <t>The development of standard English speech in outline,</t>
  </si>
  <si>
    <t>Hart, J. M.</t>
  </si>
  <si>
    <t>uc2.ark:/13960/t5n874m9j</t>
  </si>
  <si>
    <t>mdp.39015030996766</t>
  </si>
  <si>
    <t>001441306</t>
  </si>
  <si>
    <t>Old-English phonology,</t>
  </si>
  <si>
    <t>uc2.ark:/13960/t4fn15257</t>
  </si>
  <si>
    <t>mdp.39015049008678</t>
  </si>
  <si>
    <t>001441308</t>
  </si>
  <si>
    <t>Diphthongs in American speech:</t>
  </si>
  <si>
    <t>Hibbitt, George Whiting,</t>
  </si>
  <si>
    <t>wu.89092560275</t>
  </si>
  <si>
    <t>mdp.39015016460886</t>
  </si>
  <si>
    <t>001441309</t>
  </si>
  <si>
    <t>Logopolis,</t>
  </si>
  <si>
    <t>Hildreth, Ezekiel,</t>
  </si>
  <si>
    <t>nyp.33433069257099</t>
  </si>
  <si>
    <t>mdp.39015001526790</t>
  </si>
  <si>
    <t>001441321</t>
  </si>
  <si>
    <t>John Hart's pronunciation of English, 1569-1570.</t>
  </si>
  <si>
    <t>mdp.39015030996782</t>
  </si>
  <si>
    <t>mdp.39015000579873</t>
  </si>
  <si>
    <t>001441325</t>
  </si>
  <si>
    <t>The pronunciation of English : I. Phonetics. I. Phonetics transcriptions /</t>
  </si>
  <si>
    <t>njp.32101063604985</t>
  </si>
  <si>
    <t>uc1.$b624791</t>
  </si>
  <si>
    <t>uc2.ark:/13960/t6pz5dh6s</t>
  </si>
  <si>
    <t>mdp.39015030999984</t>
  </si>
  <si>
    <t>001441328</t>
  </si>
  <si>
    <t>American pronunciation; a textbook of phonetics for students of English,</t>
  </si>
  <si>
    <t>mdp.39015004290360</t>
  </si>
  <si>
    <t>001441342</t>
  </si>
  <si>
    <t>The Poetry of the blues /</t>
  </si>
  <si>
    <t>Charters, Samuel Barclay.</t>
  </si>
  <si>
    <t>mdp.39015005684868</t>
  </si>
  <si>
    <t>001440726</t>
  </si>
  <si>
    <t>American verse, 1625-1807; a history.</t>
  </si>
  <si>
    <t>Otis, William Bradley,</t>
  </si>
  <si>
    <t>uc1.b3539773</t>
  </si>
  <si>
    <t>mdp.39015029915348</t>
  </si>
  <si>
    <t>001440730</t>
  </si>
  <si>
    <t>The spirit of the American revolution, as revealed in the poetry of the peorid; a study of American patriotic vers from 1760 tp 1783;</t>
  </si>
  <si>
    <t>Patterson, Samuel White,</t>
  </si>
  <si>
    <t>uc1.b250012</t>
  </si>
  <si>
    <t>loc.ark:/13960/t9t15gb64</t>
  </si>
  <si>
    <t>001440735</t>
  </si>
  <si>
    <t>Truth, a gift for scribblers.</t>
  </si>
  <si>
    <t>Snelling, William Joseph,</t>
  </si>
  <si>
    <t>mdp.39015016462056</t>
  </si>
  <si>
    <t>mdp.39015031023289</t>
  </si>
  <si>
    <t>001440739</t>
  </si>
  <si>
    <t>American poets and their theology.</t>
  </si>
  <si>
    <t>Strong, Augustus Hopkins,</t>
  </si>
  <si>
    <t>uc1.b113564</t>
  </si>
  <si>
    <t>uc2.ark:/13960/t4xg9hn64</t>
  </si>
  <si>
    <t>mdp.39015011350611</t>
  </si>
  <si>
    <t>001440742</t>
  </si>
  <si>
    <t>The new era in American poetry.</t>
  </si>
  <si>
    <t>nyp.33433076020589</t>
  </si>
  <si>
    <t>mdp.39015017655765</t>
  </si>
  <si>
    <t>001440893</t>
  </si>
  <si>
    <t>Errors of speech and of spelling.</t>
  </si>
  <si>
    <t>mdp.39015017655872</t>
  </si>
  <si>
    <t>mdp.39015011052316</t>
  </si>
  <si>
    <t>001440930</t>
  </si>
  <si>
    <t>The new English,</t>
  </si>
  <si>
    <t>Kington-Oliphant, Thomas Laurence,</t>
  </si>
  <si>
    <t>mdp.39015031031043</t>
  </si>
  <si>
    <t>mdp.39015031031076</t>
  </si>
  <si>
    <t>mdp.39015054110377</t>
  </si>
  <si>
    <t>nyp.33433075922694</t>
  </si>
  <si>
    <t>nyp.33433075922702</t>
  </si>
  <si>
    <t>mdp.39015031030136</t>
  </si>
  <si>
    <t>001440981</t>
  </si>
  <si>
    <t>An introduction to the history of the English language,.</t>
  </si>
  <si>
    <t>Thomas, P. G.</t>
  </si>
  <si>
    <t>uc1.$b616501</t>
  </si>
  <si>
    <t>uc2.ark:/13960/t5r78bt86</t>
  </si>
  <si>
    <t>mdp.39015032856216</t>
  </si>
  <si>
    <t>001441111</t>
  </si>
  <si>
    <t>Phonetic studies in folk speech and broken English, for use on stage, screen, radio, platform and in school and college /</t>
  </si>
  <si>
    <t>Darrow, Anne.</t>
  </si>
  <si>
    <t>mdp.39015016460456</t>
  </si>
  <si>
    <t>001441141</t>
  </si>
  <si>
    <t>Some variant pronunciations in the new South,</t>
  </si>
  <si>
    <t>Read, William Alexander,</t>
  </si>
  <si>
    <t>mdp.39015053565290</t>
  </si>
  <si>
    <t>001441193</t>
  </si>
  <si>
    <t>Some sources of southernisms.</t>
  </si>
  <si>
    <t>Mathews, Milford M.</t>
  </si>
  <si>
    <t>mdp.39015005770394</t>
  </si>
  <si>
    <t>001441214</t>
  </si>
  <si>
    <t>Why English sounds change.</t>
  </si>
  <si>
    <t>Aiken, Janet Rankin,</t>
  </si>
  <si>
    <t>mdp.39015016460407</t>
  </si>
  <si>
    <t>001441226</t>
  </si>
  <si>
    <t>English visible speech and its typography elucidated</t>
  </si>
  <si>
    <t>uva.x000380988</t>
  </si>
  <si>
    <t>001441229</t>
  </si>
  <si>
    <t>Russell, Louis Arthur,</t>
  </si>
  <si>
    <t>nyp.33433084112360</t>
  </si>
  <si>
    <t>mdp.39015028573288</t>
  </si>
  <si>
    <t>001438468</t>
  </si>
  <si>
    <t>Orthophony, or Vocal culture. A manual of elementary exercises for the cultivation of the voice in elocution.</t>
  </si>
  <si>
    <t>mdp.39015016881438</t>
  </si>
  <si>
    <t>001438469</t>
  </si>
  <si>
    <t>The technic of the speaking voice: its development, training, and artistic use, based upon Rush's Philosophy of the human voice, and the teaching and example of James E. Murdoch; and including a new presentation of expressive speech-melody,</t>
  </si>
  <si>
    <t>Scott, John Rutledge.</t>
  </si>
  <si>
    <t>mdp.39015059909286</t>
  </si>
  <si>
    <t>001438605</t>
  </si>
  <si>
    <t>Winning declamations and how to speak them ... Part I--for intermediate and grammar grades; part II--for high schools and colleges.</t>
  </si>
  <si>
    <t>Shurter, Edwin Du Bois,</t>
  </si>
  <si>
    <t>uc2.ark:/13960/t43r0wv7r</t>
  </si>
  <si>
    <t>mdp.39015059909294</t>
  </si>
  <si>
    <t>001438609</t>
  </si>
  <si>
    <t>Practical elocution:</t>
  </si>
  <si>
    <t>Sweet, Samuel Niles,</t>
  </si>
  <si>
    <t>mdp.39015066079917</t>
  </si>
  <si>
    <t>001438639</t>
  </si>
  <si>
    <t>Business English and correspondence,</t>
  </si>
  <si>
    <t>Davis, Roy.</t>
  </si>
  <si>
    <t>uc1.b297684</t>
  </si>
  <si>
    <t>uc2.ark:/13960/t3028st0m</t>
  </si>
  <si>
    <t>mdp.39015055033339</t>
  </si>
  <si>
    <t>001438712</t>
  </si>
  <si>
    <t>The world's best essays, from the earliest period to the present time;</t>
  </si>
  <si>
    <t>v.10</t>
  </si>
  <si>
    <t>Brewer, David J.</t>
  </si>
  <si>
    <t>mdp.39015055033347</t>
  </si>
  <si>
    <t>v.7</t>
  </si>
  <si>
    <t>mdp.39015055033354</t>
  </si>
  <si>
    <t>mdp.39015055033362</t>
  </si>
  <si>
    <t>mdp.39015055033370</t>
  </si>
  <si>
    <t>mdp.39015055033487</t>
  </si>
  <si>
    <t>v.9</t>
  </si>
  <si>
    <t>mdp.39015055033495</t>
  </si>
  <si>
    <t>mdp.39015055033503</t>
  </si>
  <si>
    <t>mdp.39015055033511</t>
  </si>
  <si>
    <t>mdp.39015055033529</t>
  </si>
  <si>
    <t>uc1.b2867642</t>
  </si>
  <si>
    <t>uc1.b2867643</t>
  </si>
  <si>
    <t>uc1.b2867644</t>
  </si>
  <si>
    <t>uc1.b2867645</t>
  </si>
  <si>
    <t>uc1.b2867646</t>
  </si>
  <si>
    <t>uc1.b2867647</t>
  </si>
  <si>
    <t>uc1.b2867648</t>
  </si>
  <si>
    <t>uc1.b2867649</t>
  </si>
  <si>
    <t>uc1.b2867650</t>
  </si>
  <si>
    <t>uc1.b2867651</t>
  </si>
  <si>
    <t>mdp.39015016426275</t>
  </si>
  <si>
    <t>001438771</t>
  </si>
  <si>
    <t>The beauties of modern literature,</t>
  </si>
  <si>
    <t>MacDermot, Martin.</t>
  </si>
  <si>
    <t>nyp.33433076078660</t>
  </si>
  <si>
    <t>uc2.ark:/13960/t9765px4q</t>
  </si>
  <si>
    <t>mdp.39015066082002</t>
  </si>
  <si>
    <t>001439258</t>
  </si>
  <si>
    <t>Some forerunners of the newspaper in England, 1476-1622,</t>
  </si>
  <si>
    <t>Shaaber, M. A.</t>
  </si>
  <si>
    <t>mdp.39015059390321</t>
  </si>
  <si>
    <t>001439754</t>
  </si>
  <si>
    <t>Literary likings,</t>
  </si>
  <si>
    <t>Burton, Richard,</t>
  </si>
  <si>
    <t>uc1.$b661465</t>
  </si>
  <si>
    <t>mdp.39015005727584</t>
  </si>
  <si>
    <t>001440701</t>
  </si>
  <si>
    <t>001438392</t>
  </si>
  <si>
    <t>Cultural and scientific speech education today,</t>
  </si>
  <si>
    <t>Cable, William Arthur,</t>
  </si>
  <si>
    <t>uc1.b14780</t>
  </si>
  <si>
    <t>mdp.39015056583944</t>
  </si>
  <si>
    <t>001438394</t>
  </si>
  <si>
    <t>The art of delivering written language.</t>
  </si>
  <si>
    <t>Cockin, William,</t>
  </si>
  <si>
    <t>mdp.39015031039608</t>
  </si>
  <si>
    <t>001438400</t>
  </si>
  <si>
    <t>Mind and voice; rpinciples and methods in vocal training</t>
  </si>
  <si>
    <t>uc1.b258049</t>
  </si>
  <si>
    <t>mdp.39015031039566</t>
  </si>
  <si>
    <t>001438401</t>
  </si>
  <si>
    <t>Spoken English; a method of improving speech and reading by studying voice conditions and modulations in union with their causes in thinking and feeling</t>
  </si>
  <si>
    <t>uc1.b258033</t>
  </si>
  <si>
    <t>uc2.ark:/13960/t79s1pj9m</t>
  </si>
  <si>
    <t>mdp.39015065249974</t>
  </si>
  <si>
    <t>001438403</t>
  </si>
  <si>
    <t>The art of oratory, system of Delsarte,</t>
  </si>
  <si>
    <t>Delaumosne,</t>
  </si>
  <si>
    <t>mdp.39015031039533</t>
  </si>
  <si>
    <t>001438407</t>
  </si>
  <si>
    <t>The secret of successful speaking and reading; a twelve-lesson course in the art of public speaking for business and professional men and amateurs.</t>
  </si>
  <si>
    <t>Downing, Robert L.,</t>
  </si>
  <si>
    <t>mdp.39015031039475</t>
  </si>
  <si>
    <t>001438409</t>
  </si>
  <si>
    <t>Vocal expression; a class-book of voice training and interpretation,</t>
  </si>
  <si>
    <t>Everts, Katherine Jewell.</t>
  </si>
  <si>
    <t>nyp.33433082523758</t>
  </si>
  <si>
    <t>uc1.b258041</t>
  </si>
  <si>
    <t>uc2.ark:/13960/t6d21vf69</t>
  </si>
  <si>
    <t>mdp.39015031039228</t>
  </si>
  <si>
    <t>001438424</t>
  </si>
  <si>
    <t>Lyric diction for singers, actors and public speakers,</t>
  </si>
  <si>
    <t>Jones, Dora Duty,</t>
  </si>
  <si>
    <t>nyp.33433084113574</t>
  </si>
  <si>
    <t>mdp.39015030837499</t>
  </si>
  <si>
    <t>001438432</t>
  </si>
  <si>
    <t>A handbook of American speech,</t>
  </si>
  <si>
    <t>Lewis, Calvin Leslie,</t>
  </si>
  <si>
    <t>uc2.ark:/13960/t0js9ph41</t>
  </si>
  <si>
    <t>mdp.39015031039129</t>
  </si>
  <si>
    <t>001438450</t>
  </si>
  <si>
    <t>Principles of expressive reading, impression before expression,</t>
  </si>
  <si>
    <t>Norlie, Olaf Morgan,</t>
  </si>
  <si>
    <t>nyp.33433066604715</t>
  </si>
  <si>
    <t>uc1.b257975</t>
  </si>
  <si>
    <t>001438453</t>
  </si>
  <si>
    <t>The art of speaking,</t>
  </si>
  <si>
    <t>Pertwee, Ernest.</t>
  </si>
  <si>
    <t>uc2.ark:/13960/t73t9h70p</t>
  </si>
  <si>
    <t>mdp.39015055030491</t>
  </si>
  <si>
    <t>001438457</t>
  </si>
  <si>
    <t>Fundamentals of expression,</t>
  </si>
  <si>
    <t>Powers, Leland, Todd,</t>
  </si>
  <si>
    <t>uc1.$b796013</t>
  </si>
  <si>
    <t>001438459</t>
  </si>
  <si>
    <t>Voice and nerve control,</t>
  </si>
  <si>
    <t>Ranske, Jutta (Mordt) Bell,</t>
  </si>
  <si>
    <t>uc2.ark:/13960/t3rv0m409</t>
  </si>
  <si>
    <t>mdp.39015008400528</t>
  </si>
  <si>
    <t>001438467</t>
  </si>
  <si>
    <t>English diction for singers and speakers,</t>
  </si>
  <si>
    <t>mdp.39015003940064</t>
  </si>
  <si>
    <t>001438301</t>
  </si>
  <si>
    <t>The art of reading.</t>
  </si>
  <si>
    <t>Legouvé, Ernest,</t>
  </si>
  <si>
    <t>nyp.33433082522651</t>
  </si>
  <si>
    <t>uc2.ark:/13960/t5x63hz9v</t>
  </si>
  <si>
    <t>mdp.39015003957050</t>
  </si>
  <si>
    <t>001438317</t>
  </si>
  <si>
    <t>Voice production in singing and speaking, based on scientific princples,</t>
  </si>
  <si>
    <t>Mills, Wesley,</t>
  </si>
  <si>
    <t>uc2.ark:/13960/t9g44r844</t>
  </si>
  <si>
    <t>mdp.39015030837309</t>
  </si>
  <si>
    <t>001438322</t>
  </si>
  <si>
    <t>Analytic elocution; containing studies, theoretical and practical, of expressive speech,</t>
  </si>
  <si>
    <t>Murdoch, James Edward,</t>
  </si>
  <si>
    <t>uc1.$b617684</t>
  </si>
  <si>
    <t>uc2.ark:/13960/t8gf0tr6h</t>
  </si>
  <si>
    <t>mdp.39015030866415</t>
  </si>
  <si>
    <t>001438332</t>
  </si>
  <si>
    <t>How to speak; exercises in voice culture and articulation,</t>
  </si>
  <si>
    <t>Patterson, Adelaide.</t>
  </si>
  <si>
    <t>uc1.b257977</t>
  </si>
  <si>
    <t>uc2.ark:/13960/t05x27w8t</t>
  </si>
  <si>
    <t>mdp.39015003956631</t>
  </si>
  <si>
    <t>001438339</t>
  </si>
  <si>
    <t>The orator's manual; a practical and philosophical treatise on vocal culture, emphasis and gesture, together with hints for the composition of orations and selections for declamation and reading ...</t>
  </si>
  <si>
    <t>nyp.33433082497094</t>
  </si>
  <si>
    <t>mdp.39015046369727</t>
  </si>
  <si>
    <t>001438355</t>
  </si>
  <si>
    <t>Psychology of the spoken word / by Delbert Moyer Staley.</t>
  </si>
  <si>
    <t>Staley, Delbert Moyer.</t>
  </si>
  <si>
    <t>mdp.39015000558489</t>
  </si>
  <si>
    <t>001438366</t>
  </si>
  <si>
    <t>The ethics of rhetoric.</t>
  </si>
  <si>
    <t>Weaver, Richard M.,</t>
  </si>
  <si>
    <t>mdp.39015046853027</t>
  </si>
  <si>
    <t>uc1.b3553622</t>
  </si>
  <si>
    <t>mdp.39015003959379</t>
  </si>
  <si>
    <t>001438370</t>
  </si>
  <si>
    <t>Notes on public speaking, for the classes in public speaking, Cornell university.</t>
  </si>
  <si>
    <t>mdp.39015003959387</t>
  </si>
  <si>
    <t>001438372</t>
  </si>
  <si>
    <t>Public speaking; principles and practice.</t>
  </si>
  <si>
    <t>Winter, Irvah Lester.</t>
  </si>
  <si>
    <t>uc1.$b617727</t>
  </si>
  <si>
    <t>uc2.ark:/13960/t2r49n80d</t>
  </si>
  <si>
    <t>mdp.39015001525644</t>
  </si>
  <si>
    <t>001438375</t>
  </si>
  <si>
    <t>And so we speak : voice and articulation.</t>
  </si>
  <si>
    <t>Akin, Johnnye.</t>
  </si>
  <si>
    <t>mdp.39015003959197</t>
  </si>
  <si>
    <t>001438379</t>
  </si>
  <si>
    <t>A handbook of oral reading /</t>
  </si>
  <si>
    <t>Bassett, Lee Emerson</t>
  </si>
  <si>
    <t>uc1.$b617829</t>
  </si>
  <si>
    <t>uc1.$b662808</t>
  </si>
  <si>
    <t>uc1.b622160</t>
  </si>
  <si>
    <t>uc2.ark:/13960/t6445tz89</t>
  </si>
  <si>
    <t>mdp.39015003959213</t>
  </si>
  <si>
    <t>001438380</t>
  </si>
  <si>
    <t>Lectures upon the mechanism of speech,</t>
  </si>
  <si>
    <t>Bell, Alexander Graham,</t>
  </si>
  <si>
    <t>uc2.ark:/13960/t3nv9dn9c</t>
  </si>
  <si>
    <t>mdp.39015003957985</t>
  </si>
  <si>
    <t>Brewer, John M.</t>
  </si>
  <si>
    <t>uc1.$b616523</t>
  </si>
  <si>
    <t>uc1.b307885</t>
  </si>
  <si>
    <t>uc2.ark:/13960/t23b62k4c</t>
  </si>
  <si>
    <t>mdp.39015036668971</t>
  </si>
  <si>
    <t>001438181</t>
  </si>
  <si>
    <t>The synthetic philosophy of expression as applied to the arts of reading, oratory, and personation,</t>
  </si>
  <si>
    <t>Brown, Moses True.</t>
  </si>
  <si>
    <t>uc1.b259856</t>
  </si>
  <si>
    <t>uc2.ark:/13960/t78s4np1z</t>
  </si>
  <si>
    <t>mdp.39015030883964</t>
  </si>
  <si>
    <t>001438207</t>
  </si>
  <si>
    <t>Foundations of expression; studies and problems for developing the voice, body, and mind in reading and speaking,</t>
  </si>
  <si>
    <t>Curry, S. S.</t>
  </si>
  <si>
    <t>mdp.39015055030897</t>
  </si>
  <si>
    <t>nyp.33433082522693</t>
  </si>
  <si>
    <t>mdp.39015003937482</t>
  </si>
  <si>
    <t>001438234</t>
  </si>
  <si>
    <t>The art of rendering; a condensed and comprehensive treatise on the culture of the three-fold nature and the mental method of reading and speaking,</t>
  </si>
  <si>
    <t>Fenno, Frank Honywell,</t>
  </si>
  <si>
    <t>mdp.39015003937490</t>
  </si>
  <si>
    <t>001438235</t>
  </si>
  <si>
    <t>Fenno's science of speech;</t>
  </si>
  <si>
    <t>mdp.39015003937359</t>
  </si>
  <si>
    <t>001438240</t>
  </si>
  <si>
    <t>Essentials of public speaking,</t>
  </si>
  <si>
    <t>uc2.ark:/13960/t9r20zp9p</t>
  </si>
  <si>
    <t>mdp.39015003937326</t>
  </si>
  <si>
    <t>001438241</t>
  </si>
  <si>
    <t>Practical elements of elocution ...</t>
  </si>
  <si>
    <t>mdp.39015059374614</t>
  </si>
  <si>
    <t>001438249</t>
  </si>
  <si>
    <t>Socialized oral English programs</t>
  </si>
  <si>
    <t>Hammond, Newton Baker.</t>
  </si>
  <si>
    <t>hvd.hn23ge</t>
  </si>
  <si>
    <t>001438281</t>
  </si>
  <si>
    <t>Rudiments of public speaking and debate:</t>
  </si>
  <si>
    <t>Holyoake, George Jacob,</t>
  </si>
  <si>
    <t>mdp.39015030883790</t>
  </si>
  <si>
    <t>nyp.33433082523469</t>
  </si>
  <si>
    <t>mdp.39015049808564</t>
  </si>
  <si>
    <t>001438288</t>
  </si>
  <si>
    <t>An essay on elocution,</t>
  </si>
  <si>
    <t>Kirkham, Samuel.</t>
  </si>
  <si>
    <t>nyp.33433082522677</t>
  </si>
  <si>
    <t>001438291</t>
  </si>
  <si>
    <t>How to read and declaim,</t>
  </si>
  <si>
    <t>Kleiser, Grenville.</t>
  </si>
  <si>
    <t>mdp.39015031040994</t>
  </si>
  <si>
    <t>001438292</t>
  </si>
  <si>
    <t>Oral English; the art of speaking.</t>
  </si>
  <si>
    <t>Knowles, Antoinette.</t>
  </si>
  <si>
    <t>uc1.$b617678</t>
  </si>
  <si>
    <t>uc1.b622287</t>
  </si>
  <si>
    <t>uc2.ark:/13960/t8kd1xc1c</t>
  </si>
  <si>
    <t>mdp.39015031040986</t>
  </si>
  <si>
    <t>001438293</t>
  </si>
  <si>
    <t>Expression in speech and writing,</t>
  </si>
  <si>
    <t>Lamborn, E. A. Greening</t>
  </si>
  <si>
    <t>mdp.39015059374564</t>
  </si>
  <si>
    <t>001438299</t>
  </si>
  <si>
    <t>Principles of public speaking, comprising the technique of articulation, phrasing, emphasis; the cure of vocal defects; the elements of gesture ...</t>
  </si>
  <si>
    <t>Lee, Guy Carleton,</t>
  </si>
  <si>
    <t>uc1.b257987</t>
  </si>
  <si>
    <t>001436438</t>
  </si>
  <si>
    <t>The making of poetry: a critical study of its nature and value,</t>
  </si>
  <si>
    <t>Fairchild, Arthur Henry Rolph,</t>
  </si>
  <si>
    <t>nyp.33433082518576</t>
  </si>
  <si>
    <t>uc1.b15231</t>
  </si>
  <si>
    <t>uc2.ark:/13960/t5gb20h4c</t>
  </si>
  <si>
    <t>mdp.39015005361442</t>
  </si>
  <si>
    <t>001436476</t>
  </si>
  <si>
    <t>mdp.39015002580382</t>
  </si>
  <si>
    <t>001436477</t>
  </si>
  <si>
    <t>Democracy and poetry,</t>
  </si>
  <si>
    <t>mdp.39015031011524</t>
  </si>
  <si>
    <t>001436487</t>
  </si>
  <si>
    <t>The poet's work /</t>
  </si>
  <si>
    <t>uc1.32106001662797</t>
  </si>
  <si>
    <t>mdp.39015031040358</t>
  </si>
  <si>
    <t>001436514</t>
  </si>
  <si>
    <t>The art of poetry;</t>
  </si>
  <si>
    <t>Ker, W. P.</t>
  </si>
  <si>
    <t>mdp.39015031040218</t>
  </si>
  <si>
    <t>001436542</t>
  </si>
  <si>
    <t>The science of poetry and the philosophy of language /</t>
  </si>
  <si>
    <t>Maxim, Hudson,</t>
  </si>
  <si>
    <t>nyp.33433082518717</t>
  </si>
  <si>
    <t>mdp.39015030869427</t>
  </si>
  <si>
    <t>001436555</t>
  </si>
  <si>
    <t>Poetry, with reference to Aristotle's Poetics;</t>
  </si>
  <si>
    <t>Newman, John Henry,</t>
  </si>
  <si>
    <t>uc1.b55901</t>
  </si>
  <si>
    <t>uc2.ark:/13960/t59c6v899</t>
  </si>
  <si>
    <t>mdp.39015059908734</t>
  </si>
  <si>
    <t>001436558</t>
  </si>
  <si>
    <t>Studies in modern poetry,</t>
  </si>
  <si>
    <t>uc1.b298076</t>
  </si>
  <si>
    <t>uc2.ark:/13960/t3rv0hb4p</t>
  </si>
  <si>
    <t>mdp.39015034742497</t>
  </si>
  <si>
    <t>001436559</t>
  </si>
  <si>
    <t>Essays on poetry.</t>
  </si>
  <si>
    <t>O'Neill, George,</t>
  </si>
  <si>
    <t>mdp.39015014207909</t>
  </si>
  <si>
    <t>001436580</t>
  </si>
  <si>
    <t>Poetry as a representative art : an essay in comparative aesthetics /</t>
  </si>
  <si>
    <t>Raymond, George Lansing,</t>
  </si>
  <si>
    <t>mdp.39015030870045</t>
  </si>
  <si>
    <t>001436634</t>
  </si>
  <si>
    <t>The good estate of poetry /</t>
  </si>
  <si>
    <t>Tinker, Chauncey Brewster,</t>
  </si>
  <si>
    <t>uc1.b276137</t>
  </si>
  <si>
    <t>mdp.39015005632198</t>
  </si>
  <si>
    <t>001436636</t>
  </si>
  <si>
    <t>More power to poets : a plea for more poetry in life, more life in poetry /</t>
  </si>
  <si>
    <t>Trent, Lucia,</t>
  </si>
  <si>
    <t>uc1.b31613</t>
  </si>
  <si>
    <t>mdp.39015008442769</t>
  </si>
  <si>
    <t>001436660</t>
  </si>
  <si>
    <t>The inspiration of poetry,</t>
  </si>
  <si>
    <t>mdp.39015003933457</t>
  </si>
  <si>
    <t>001437964</t>
  </si>
  <si>
    <t>How to write; meeting the needs of everyday life,</t>
  </si>
  <si>
    <t>Clapp, John Mantle,</t>
  </si>
  <si>
    <t>mdp.39015003938266</t>
  </si>
  <si>
    <t>001438029</t>
  </si>
  <si>
    <t>Essay-writing;</t>
  </si>
  <si>
    <t>Kendall, Guy,</t>
  </si>
  <si>
    <t>mdp.39015052562389</t>
  </si>
  <si>
    <t>001438159</t>
  </si>
  <si>
    <t>Elocution do's and dont's,</t>
  </si>
  <si>
    <t>Bagley, Louie.</t>
  </si>
  <si>
    <t>mdp.39015049193181</t>
  </si>
  <si>
    <t>001438172</t>
  </si>
  <si>
    <t>Oral English, directions and exercises for planning and delivering the common kinds of talks, together with guidance for debating and parliamentary practice</t>
  </si>
  <si>
    <t>Composition for college students,</t>
  </si>
  <si>
    <t>Thomas, Joseph Morris,</t>
  </si>
  <si>
    <t>mdp.39015059896103</t>
  </si>
  <si>
    <t>001436317</t>
  </si>
  <si>
    <t>The child vision : being a study in mental development &amp; expression /</t>
  </si>
  <si>
    <t>Truman, Dorothy Elizabeth Tudor Owen.</t>
  </si>
  <si>
    <t>uc1.b258221</t>
  </si>
  <si>
    <t>uc2.ark:/13960/t4jm2676b</t>
  </si>
  <si>
    <t>mdp.39015010478264</t>
  </si>
  <si>
    <t>001436321</t>
  </si>
  <si>
    <t>The language of audit reports,</t>
  </si>
  <si>
    <t>uc1.b170225</t>
  </si>
  <si>
    <t>mdp.39015019222473</t>
  </si>
  <si>
    <t>001436324</t>
  </si>
  <si>
    <t>A guide to good English.</t>
  </si>
  <si>
    <t>Utter, Robert Palfrey,</t>
  </si>
  <si>
    <t>nyp.33433082513668</t>
  </si>
  <si>
    <t>uc1.$b617237</t>
  </si>
  <si>
    <t>uc2.ark:/13960/t5z60h962</t>
  </si>
  <si>
    <t>mdp.39015013293991</t>
  </si>
  <si>
    <t>001436338</t>
  </si>
  <si>
    <t>English study and English writing,</t>
  </si>
  <si>
    <t>White, Henry Adelbert.</t>
  </si>
  <si>
    <t>uc1.b307987</t>
  </si>
  <si>
    <t>uc2.ark:/13960/t6057ht18</t>
  </si>
  <si>
    <t>mdp.39015004724889</t>
  </si>
  <si>
    <t>001436343</t>
  </si>
  <si>
    <t>The arte of rhetorique, 1553.</t>
  </si>
  <si>
    <t>mdp.39015013113074</t>
  </si>
  <si>
    <t>001436348</t>
  </si>
  <si>
    <t>A guide to good English for college students,</t>
  </si>
  <si>
    <t>Woods, George Benjamin,</t>
  </si>
  <si>
    <t>uc1.b258314</t>
  </si>
  <si>
    <t>mdp.39015030868528</t>
  </si>
  <si>
    <t>001436368</t>
  </si>
  <si>
    <t>The poet's poet; essays on the character and mission of the poet as interpreted in English verse of the last one hundred and fifty years,</t>
  </si>
  <si>
    <t>Atkins, Elizabeth,</t>
  </si>
  <si>
    <t>uc1.b276153</t>
  </si>
  <si>
    <t>uc2.ark:/13960/t7pn94w7k</t>
  </si>
  <si>
    <t>mdp.39015059896285</t>
  </si>
  <si>
    <t>001436376</t>
  </si>
  <si>
    <t>The alliance of musick, poetry and oratory. Under the head of poetry is considered the alliance and nature of the epic and dramatic poem, as it exists in the Iliad, Aeneid and Paradise Lost.</t>
  </si>
  <si>
    <t>Bayly, Anselm,</t>
  </si>
  <si>
    <t>mdp.39015008562103</t>
  </si>
  <si>
    <t>001436388</t>
  </si>
  <si>
    <t>The Creative experiment.</t>
  </si>
  <si>
    <t>Bowra, C. M.</t>
  </si>
  <si>
    <t>mdp.39015008575642</t>
  </si>
  <si>
    <t>mdp.39015046392844</t>
  </si>
  <si>
    <t>mdp.39015030867918</t>
  </si>
  <si>
    <t>001436398</t>
  </si>
  <si>
    <t>Ethics and aesthetics of modern poetry,</t>
  </si>
  <si>
    <t>[Brown James Bucham],</t>
  </si>
  <si>
    <t>uc1.b312178</t>
  </si>
  <si>
    <t>uc2.ark:/13960/t8x925n57</t>
  </si>
  <si>
    <t>mdp.39015046851625</t>
  </si>
  <si>
    <t>001436408</t>
  </si>
  <si>
    <t>Rhetoric and poetry in the renaissance : a study of rhetorical terms in English renaissance literary criticism /</t>
  </si>
  <si>
    <t>mdp.39015031040390</t>
  </si>
  <si>
    <t>001436418</t>
  </si>
  <si>
    <t>The poetry of the future,</t>
  </si>
  <si>
    <t>Davidson, James Wood,</t>
  </si>
  <si>
    <t>mdp.39015019067928</t>
  </si>
  <si>
    <t>The alphabet of rhetoric, with a chapter on elocution;</t>
  </si>
  <si>
    <t>Johnson, Rossiter,</t>
  </si>
  <si>
    <t>nyp.33433082513544</t>
  </si>
  <si>
    <t>mdp.39015031013561</t>
  </si>
  <si>
    <t>001436193</t>
  </si>
  <si>
    <t>Handbook of idiomatic English as now written and spoken;</t>
  </si>
  <si>
    <t>Kirkpatrick, J.</t>
  </si>
  <si>
    <t>mdp.39015049769832</t>
  </si>
  <si>
    <t>001436203</t>
  </si>
  <si>
    <t>The history of the English paragraph ...</t>
  </si>
  <si>
    <t>Lewis, Edwin Herbert,</t>
  </si>
  <si>
    <t>uc1.b4095621</t>
  </si>
  <si>
    <t>uc2.ark:/13960/t3pv6ns8r</t>
  </si>
  <si>
    <t>njp.32101072898339</t>
  </si>
  <si>
    <t>001436204</t>
  </si>
  <si>
    <t>Rhythm as a distinguishing characteristic of prose style,</t>
  </si>
  <si>
    <t>Lipsky, Abram.</t>
  </si>
  <si>
    <t>mdp.39015031013462</t>
  </si>
  <si>
    <t>001436233</t>
  </si>
  <si>
    <t>Efficient composition : a college rhetoric.</t>
  </si>
  <si>
    <t>Nason, Arthur Huntington,</t>
  </si>
  <si>
    <t>mdp.39015019229627</t>
  </si>
  <si>
    <t>001436239</t>
  </si>
  <si>
    <t>A book of exposition,</t>
  </si>
  <si>
    <t>Nugent, Homer Heath,</t>
  </si>
  <si>
    <t>mdp.39015019229619</t>
  </si>
  <si>
    <t>001436246</t>
  </si>
  <si>
    <t>An introductory course in exposition,</t>
  </si>
  <si>
    <t>Perry, F. M.</t>
  </si>
  <si>
    <t>uc1.b258608</t>
  </si>
  <si>
    <t>uc2.ark:/13960/t6n012q3d</t>
  </si>
  <si>
    <t>mdp.39015008461991</t>
  </si>
  <si>
    <t>001436256</t>
  </si>
  <si>
    <t>On the art of writing,</t>
  </si>
  <si>
    <t>Quiller-Couch, Arthur,</t>
  </si>
  <si>
    <t>mdp.39015028765496</t>
  </si>
  <si>
    <t>mdp.39015059895626</t>
  </si>
  <si>
    <t>001436258</t>
  </si>
  <si>
    <t>The method and practice of exposition; a text-book for advanced students in colleges and universities,</t>
  </si>
  <si>
    <t>Rankin, Thomas Ernest,</t>
  </si>
  <si>
    <t>nyp.33433082511480</t>
  </si>
  <si>
    <t>nyp.33433082511472</t>
  </si>
  <si>
    <t>001436281</t>
  </si>
  <si>
    <t>The new composition-rhetoric.</t>
  </si>
  <si>
    <t>Scott, Fred Newton,</t>
  </si>
  <si>
    <t>uc1.b307982</t>
  </si>
  <si>
    <t>uc2.ark:/13960/t6rx97b68</t>
  </si>
  <si>
    <t>mdp.39015030868163</t>
  </si>
  <si>
    <t>001436284</t>
  </si>
  <si>
    <t>An analysis of writing</t>
  </si>
  <si>
    <t>Scott, Harold P.</t>
  </si>
  <si>
    <t>nyp.33433082502695</t>
  </si>
  <si>
    <t>mdp.39015030868171</t>
  </si>
  <si>
    <t>001436292</t>
  </si>
  <si>
    <t>The fine art of writing, for those who teach it</t>
  </si>
  <si>
    <t>Shipherd, Henry Robinson.</t>
  </si>
  <si>
    <t>uc1.b302949</t>
  </si>
  <si>
    <t>nyp.33433082513288</t>
  </si>
  <si>
    <t>001436294</t>
  </si>
  <si>
    <t>Freshman rhetoric,</t>
  </si>
  <si>
    <t>Slater, John Rothwell,</t>
  </si>
  <si>
    <t>chi.087150797</t>
  </si>
  <si>
    <t>001436309</t>
  </si>
  <si>
    <t>A handbook of English for engineers /</t>
  </si>
  <si>
    <t>c.1</t>
  </si>
  <si>
    <t>Sypherd, Wilbur Owen.</t>
  </si>
  <si>
    <t>mdp.39015014330255</t>
  </si>
  <si>
    <t>001436313</t>
  </si>
  <si>
    <t>A study of the paragraph,</t>
  </si>
  <si>
    <t>Thomas, Helen.</t>
  </si>
  <si>
    <t>nyp.33433082512314</t>
  </si>
  <si>
    <t>mdp.39015030868254</t>
  </si>
  <si>
    <t>001436314</t>
  </si>
  <si>
    <t>mdp.39015030868817</t>
  </si>
  <si>
    <t>001436079</t>
  </si>
  <si>
    <t>Specimens of narration.</t>
  </si>
  <si>
    <t>uc1.b293542</t>
  </si>
  <si>
    <t>mdp.39015013359941</t>
  </si>
  <si>
    <t>001436080</t>
  </si>
  <si>
    <t>Writing English prose.</t>
  </si>
  <si>
    <t>nyp.33433082503974</t>
  </si>
  <si>
    <t>uc1.b258182</t>
  </si>
  <si>
    <t>uc2.ark:/13960/t19k48c9t</t>
  </si>
  <si>
    <t>miun.agc7324.0001.001</t>
  </si>
  <si>
    <t>001436096</t>
  </si>
  <si>
    <t>Lectures read to the seniors in Harvard college.</t>
  </si>
  <si>
    <t>Channing, Edward Tyrrel,</t>
  </si>
  <si>
    <t>mdp.39015028790841</t>
  </si>
  <si>
    <t>001436118</t>
  </si>
  <si>
    <t>Writing style for journalists /</t>
  </si>
  <si>
    <t>Davis, Esther.</t>
  </si>
  <si>
    <t>mdp.39015019114365</t>
  </si>
  <si>
    <t>001436119</t>
  </si>
  <si>
    <t>The art of discourse: a system of rhetoric,</t>
  </si>
  <si>
    <t>Day, Henry Noble,</t>
  </si>
  <si>
    <t>mdp.39015004743210</t>
  </si>
  <si>
    <t>001436124</t>
  </si>
  <si>
    <t>The elements of rhetoric,</t>
  </si>
  <si>
    <t>De Mille, James,</t>
  </si>
  <si>
    <t>nyp.33433082502281</t>
  </si>
  <si>
    <t>mdp.39015012074343</t>
  </si>
  <si>
    <t>001436125</t>
  </si>
  <si>
    <t>Essays on style, rhetoric, and language;</t>
  </si>
  <si>
    <t>mdp.39015012272673</t>
  </si>
  <si>
    <t>mdp.39015013120608</t>
  </si>
  <si>
    <t>mdp.39015010470287</t>
  </si>
  <si>
    <t>001436145</t>
  </si>
  <si>
    <t>College life,</t>
  </si>
  <si>
    <t>Fulton, Maurice G.</t>
  </si>
  <si>
    <t>uc1.b301338</t>
  </si>
  <si>
    <t>c. 2</t>
  </si>
  <si>
    <t>uc2.ark:/13960/t91838p4p</t>
  </si>
  <si>
    <t>mdp.39015058694830</t>
  </si>
  <si>
    <t>001436147</t>
  </si>
  <si>
    <t>Writing through reading, a suggestive method of writing English,</t>
  </si>
  <si>
    <t>Gay, Robert M.</t>
  </si>
  <si>
    <t>mdp.39015005277184</t>
  </si>
  <si>
    <t>001436148</t>
  </si>
  <si>
    <t>The working principles of rhetoric examined in their literary relations and illustrated with examples,</t>
  </si>
  <si>
    <t>uc1.$b624102</t>
  </si>
  <si>
    <t>001436150</t>
  </si>
  <si>
    <t>Practical English composition,</t>
  </si>
  <si>
    <t>Gerrish, Carolyn M.</t>
  </si>
  <si>
    <t>uc2.ark:/13960/t5db81x8r</t>
  </si>
  <si>
    <t>mdp.39015058694996</t>
  </si>
  <si>
    <t>001436151</t>
  </si>
  <si>
    <t>Rhetoric : or, A view of its principal tropes and figures with a variety of rules ... /</t>
  </si>
  <si>
    <t>Gibbons, Thomas,</t>
  </si>
  <si>
    <t>mdp.39015031014726</t>
  </si>
  <si>
    <t>001436163</t>
  </si>
  <si>
    <t>Constructive rhetoric,</t>
  </si>
  <si>
    <t>Hale, Edward Everett,</t>
  </si>
  <si>
    <t>mdp.39015058693782</t>
  </si>
  <si>
    <t>001436170</t>
  </si>
  <si>
    <t>The foundations of rhetoric,</t>
  </si>
  <si>
    <t>Hill, Adams Sherman,</t>
  </si>
  <si>
    <t>mdp.39015031014627</t>
  </si>
  <si>
    <t>001436172</t>
  </si>
  <si>
    <t>The art of rhetoric made easy:</t>
  </si>
  <si>
    <t>Holmes, John,</t>
  </si>
  <si>
    <t>mdp.39015070577997</t>
  </si>
  <si>
    <t>001436173</t>
  </si>
  <si>
    <t>The use of analysis in logical composition,</t>
  </si>
  <si>
    <t>Hopkins, Edwin Mortimer,</t>
  </si>
  <si>
    <t>mdp.39015031013637</t>
  </si>
  <si>
    <t>001436186</t>
  </si>
  <si>
    <t>Pause; a study of its nature and its rhythmical function in verse, especially blank verse,</t>
  </si>
  <si>
    <t>Snell, Ada Laura Fonda,</t>
  </si>
  <si>
    <t>mdp.39015011229609</t>
  </si>
  <si>
    <t>001435491</t>
  </si>
  <si>
    <t>Collected papers of Henry Sweet,</t>
  </si>
  <si>
    <t>njp.32101074756741</t>
  </si>
  <si>
    <t>001435495</t>
  </si>
  <si>
    <t>World-English: the universal language,</t>
  </si>
  <si>
    <t>mdp.39015028572017</t>
  </si>
  <si>
    <t>001435838</t>
  </si>
  <si>
    <t>The historical point of view in English literary criticism from 1570-1770,</t>
  </si>
  <si>
    <t>Miller, George Morey.</t>
  </si>
  <si>
    <t>mdp.39015032395512</t>
  </si>
  <si>
    <t>001435904</t>
  </si>
  <si>
    <t>New essays towards a critical method,</t>
  </si>
  <si>
    <t>mdp.39015048871613</t>
  </si>
  <si>
    <t>001435956</t>
  </si>
  <si>
    <t>Elizabethan criticism of poetry ...</t>
  </si>
  <si>
    <t>Thompson, Guy Andrew.</t>
  </si>
  <si>
    <t>uc1.b4097311</t>
  </si>
  <si>
    <t>uc2.ark:/13960/t9765nh4x</t>
  </si>
  <si>
    <t>mdp.39015059906415</t>
  </si>
  <si>
    <t>001436027</t>
  </si>
  <si>
    <t>Methods and aims in the study of literature : a series of extracts and illustrations /</t>
  </si>
  <si>
    <t>Cooper, Lane,</t>
  </si>
  <si>
    <t>uc1.b3563356</t>
  </si>
  <si>
    <t>mdp.39015012311836</t>
  </si>
  <si>
    <t>001436040</t>
  </si>
  <si>
    <t>Lectures on rhetoric and oratory /</t>
  </si>
  <si>
    <t>mdp.39015012311984</t>
  </si>
  <si>
    <t>mdp.39015059908692</t>
  </si>
  <si>
    <t>001436049</t>
  </si>
  <si>
    <t>Materials for the study of English literature and compositon; selections from Newman, Arnold, Huxley, Ruskin, and Carlyle,</t>
  </si>
  <si>
    <t>Aydelotte, Frank,</t>
  </si>
  <si>
    <t>mdp.39015020119957</t>
  </si>
  <si>
    <t>001436050</t>
  </si>
  <si>
    <t>College English: a manuel for the study of English literature and composition,</t>
  </si>
  <si>
    <t>mdp.39015010312497</t>
  </si>
  <si>
    <t>001436052</t>
  </si>
  <si>
    <t>The principles of argumentation,</t>
  </si>
  <si>
    <t>Baker, George Pierce,</t>
  </si>
  <si>
    <t>mdp.39015009188759</t>
  </si>
  <si>
    <t>001436053</t>
  </si>
  <si>
    <t>The principles of argumentation</t>
  </si>
  <si>
    <t>uc1.b258665</t>
  </si>
  <si>
    <t>uc2.ark:/13960/t6930rs91</t>
  </si>
  <si>
    <t>mdp.39015032335302</t>
  </si>
  <si>
    <t>001436058</t>
  </si>
  <si>
    <t>The expository paragraph and sentence. An elementary manual of composition;</t>
  </si>
  <si>
    <t>uc1.b257905</t>
  </si>
  <si>
    <t>uc2.ark:/13960/t0bv7dc21</t>
  </si>
  <si>
    <t>mdp.39015012189208</t>
  </si>
  <si>
    <t>001436059</t>
  </si>
  <si>
    <t>How to write; a handbook based on the English Bible,</t>
  </si>
  <si>
    <t>mdp.39015054068757</t>
  </si>
  <si>
    <t>001436060</t>
  </si>
  <si>
    <t>mdp.39015008499876</t>
  </si>
  <si>
    <t>001436063</t>
  </si>
  <si>
    <t>Philosophy of rhetoric.</t>
  </si>
  <si>
    <t>Bascom, John,</t>
  </si>
  <si>
    <t>mdp.39015005535060</t>
  </si>
  <si>
    <t>001436077</t>
  </si>
  <si>
    <t>English composition and style.</t>
  </si>
  <si>
    <t>Brewster, W. T.</t>
  </si>
  <si>
    <t>Critical essays on some of the poems, of several English poets:</t>
  </si>
  <si>
    <t>Scott, John,</t>
  </si>
  <si>
    <t>nyp.33433082508734</t>
  </si>
  <si>
    <t>mdp.39015024521638</t>
  </si>
  <si>
    <t>001423804</t>
  </si>
  <si>
    <t>Shelburne essays, 1st series</t>
  </si>
  <si>
    <t>More, Paul Elmer,</t>
  </si>
  <si>
    <t>uc2.ark:/13960/t7tm72p95</t>
  </si>
  <si>
    <t>001424849</t>
  </si>
  <si>
    <t>Studies in letters and life,</t>
  </si>
  <si>
    <t>mdp.39015014699634</t>
  </si>
  <si>
    <t>001425894</t>
  </si>
  <si>
    <t>On translating Homer,</t>
  </si>
  <si>
    <t>mdp.39015030595063</t>
  </si>
  <si>
    <t>001426862</t>
  </si>
  <si>
    <t>The Greek Christian poets and the English poets.</t>
  </si>
  <si>
    <t>uc2.ark:/13960/t78s4p89v</t>
  </si>
  <si>
    <t>001427314</t>
  </si>
  <si>
    <t>English bards, and Scotch reviewers : a satire /</t>
  </si>
  <si>
    <t>Byron, George Gordon Byron,</t>
  </si>
  <si>
    <t>mdp.39015003296970</t>
  </si>
  <si>
    <t>001434875</t>
  </si>
  <si>
    <t>Of the origin and progress of language.</t>
  </si>
  <si>
    <t>Monboddo, James Burnett,</t>
  </si>
  <si>
    <t>mdp.39015003296996</t>
  </si>
  <si>
    <t>mdp.39015003297200</t>
  </si>
  <si>
    <t>mdp.39015003297226</t>
  </si>
  <si>
    <t>mdp.39015003297242</t>
  </si>
  <si>
    <t>mdp.39015003297267</t>
  </si>
  <si>
    <t>mdp.39015055278918</t>
  </si>
  <si>
    <t>001435158</t>
  </si>
  <si>
    <t>The teacher's book of phonetics,</t>
  </si>
  <si>
    <t>hvd.hwssft</t>
  </si>
  <si>
    <t>001435190</t>
  </si>
  <si>
    <t>The alphabet of nature;</t>
  </si>
  <si>
    <t>mdp.39015002343559</t>
  </si>
  <si>
    <t>uc1.b3889621</t>
  </si>
  <si>
    <t>mdp.39015031032348</t>
  </si>
  <si>
    <t>001435236</t>
  </si>
  <si>
    <t>Examination papers in phonetics,</t>
  </si>
  <si>
    <t>Jones, Daniel,</t>
  </si>
  <si>
    <t>mdp.39015009444152</t>
  </si>
  <si>
    <t>001435282</t>
  </si>
  <si>
    <t>The science of musical sounds,</t>
  </si>
  <si>
    <t>Miller, Dayton Clarence,</t>
  </si>
  <si>
    <t>mdp.39015023562666</t>
  </si>
  <si>
    <t>001435337</t>
  </si>
  <si>
    <t>Researches in experimental phonetics. The study of speech curves.</t>
  </si>
  <si>
    <t>no.44</t>
  </si>
  <si>
    <t>mdp.39015031071478</t>
  </si>
  <si>
    <t>miun.agc6557.0001.001</t>
  </si>
  <si>
    <t>001435347</t>
  </si>
  <si>
    <t>An endeavor towards a universal alphabet ...</t>
  </si>
  <si>
    <t>Sproat, Amasa D.</t>
  </si>
  <si>
    <t>njp.32101025873256</t>
  </si>
  <si>
    <t>001435351</t>
  </si>
  <si>
    <t>A primer of phonetics /</t>
  </si>
  <si>
    <t>uc1.b638792</t>
  </si>
  <si>
    <t>mdp.39015016471404</t>
  </si>
  <si>
    <t>001435375</t>
  </si>
  <si>
    <t>An essay on the different nature of accent and quantity,</t>
  </si>
  <si>
    <t>Foster, John,</t>
  </si>
  <si>
    <t>mdp.39015013507929</t>
  </si>
  <si>
    <t>001435376</t>
  </si>
  <si>
    <t>The foundations and nature of verse,</t>
  </si>
  <si>
    <t>Jacob, Cary Franklin,</t>
  </si>
  <si>
    <t>mdp.39015025339725</t>
  </si>
  <si>
    <t>mdp.39015031072732</t>
  </si>
  <si>
    <t>nyp.33433082521547</t>
  </si>
  <si>
    <t>uc1.b31637</t>
  </si>
  <si>
    <t>uc2.ark:/13960/t3dz0dc6s</t>
  </si>
  <si>
    <t>mdp.39015031072757</t>
  </si>
  <si>
    <t>001435377</t>
  </si>
  <si>
    <t>001397743</t>
  </si>
  <si>
    <t>Images of eternity; studies in the poetry of religious vision from Wordsworth to T. S. Eliot.</t>
  </si>
  <si>
    <t>Benziger, James G.</t>
  </si>
  <si>
    <t>uc1.b3861024</t>
  </si>
  <si>
    <t>001397770</t>
  </si>
  <si>
    <t>On English poetry, being an irregular approach to the psychology of this art,</t>
  </si>
  <si>
    <t>loc.ark:/13960/t05x2xb7f</t>
  </si>
  <si>
    <t>001397779</t>
  </si>
  <si>
    <t>mdp.39015031008025</t>
  </si>
  <si>
    <t>nyp.33433074840087</t>
  </si>
  <si>
    <t>mdp.39015031008033</t>
  </si>
  <si>
    <t>001397780</t>
  </si>
  <si>
    <t>A new study of English poetry.</t>
  </si>
  <si>
    <t>Newbolt, Henry John,</t>
  </si>
  <si>
    <t>mdp.39015009203343</t>
  </si>
  <si>
    <t>001397859</t>
  </si>
  <si>
    <t>The Oxford book of English verse, 1250-1900;</t>
  </si>
  <si>
    <t>mdp.39015001599813</t>
  </si>
  <si>
    <t>001398411</t>
  </si>
  <si>
    <t>The evolution of the English drama up to Shakespeare,</t>
  </si>
  <si>
    <t>Wallace, Charles William,</t>
  </si>
  <si>
    <t>mdp.39015073326483</t>
  </si>
  <si>
    <t>001413164</t>
  </si>
  <si>
    <t>A dictionary of hymnology, setting forth the origin and history of Christian hymns of all ages and nations ...</t>
  </si>
  <si>
    <t>Julian, John,</t>
  </si>
  <si>
    <t>njp.32101068767431</t>
  </si>
  <si>
    <t>001413176</t>
  </si>
  <si>
    <t>The English hymn;</t>
  </si>
  <si>
    <t>Benson, Louis FitzGerald,</t>
  </si>
  <si>
    <t>mdp.39015034585532</t>
  </si>
  <si>
    <t>001416811</t>
  </si>
  <si>
    <t>Rhetoric in the Sunday collects of the Roman missal,</t>
  </si>
  <si>
    <t>Haesly, Mary Gonzaga,</t>
  </si>
  <si>
    <t>uc1.b4512105</t>
  </si>
  <si>
    <t>umn.31951002185365d</t>
  </si>
  <si>
    <t>001417041</t>
  </si>
  <si>
    <t>Critical and miscellaneous essays : collected and republished /</t>
  </si>
  <si>
    <t>umn.31951002185366b</t>
  </si>
  <si>
    <t>mdp.39015027552432</t>
  </si>
  <si>
    <t>001418165</t>
  </si>
  <si>
    <t>The home book of verse for young folks,</t>
  </si>
  <si>
    <t>mdp.39015004794387</t>
  </si>
  <si>
    <t>001418198</t>
  </si>
  <si>
    <t>Biographia literaria; or, Biographical sketches of my literary life and opinions; and two lay sermons; I.- The statesman's manual. II.- Blessed are ye that sow beside all waters...</t>
  </si>
  <si>
    <t>mdp.39015065700703</t>
  </si>
  <si>
    <t>001418203</t>
  </si>
  <si>
    <t>Biographia literaria: or, Biographical sketches of my literary life and opinions, and two lay sermons, I. The statesman's manual, II. Blessed are ye that sow beside all waters.</t>
  </si>
  <si>
    <t>uc1.b27214</t>
  </si>
  <si>
    <t>001421970</t>
  </si>
  <si>
    <t>Milton's prosody. An examination of the rules of blank verse in Milton's later poems, with an account of the versification of Samson Agonistes, and general notes</t>
  </si>
  <si>
    <t>nyp.33433074835004</t>
  </si>
  <si>
    <t>001422830</t>
  </si>
  <si>
    <t>Tamburlaine's malady, and other essays on astrology in Elizabethan drama.</t>
  </si>
  <si>
    <t>Parr, Johnstone,</t>
  </si>
  <si>
    <t>uc1.b3527454</t>
  </si>
  <si>
    <t>miun.afw4084.0001.001</t>
  </si>
  <si>
    <t>001374683</t>
  </si>
  <si>
    <t>Elizabethan drama and its mad folk; : the Harness prize essay for 1913, /</t>
  </si>
  <si>
    <t>Peers, E. Allison</t>
  </si>
  <si>
    <t>mdp.39015040775077</t>
  </si>
  <si>
    <t>001374744</t>
  </si>
  <si>
    <t>Elizabethan drama, 1558-1642; a history of the drama in England from the accession of Queen Elizabeth to the closing of the theaters, to which is prefixed a résumé of the earlier drama from its beginnings.</t>
  </si>
  <si>
    <t>mdp.39015066082762</t>
  </si>
  <si>
    <t>uc1.b3864930</t>
  </si>
  <si>
    <t>mdp.39015016867122</t>
  </si>
  <si>
    <t>001374761</t>
  </si>
  <si>
    <t>The lost plays and masques, 1500-1642.</t>
  </si>
  <si>
    <t>Sibley, Gertrude Marian.</t>
  </si>
  <si>
    <t>mdp.39015031220315</t>
  </si>
  <si>
    <t>001374784</t>
  </si>
  <si>
    <t>Elizabethan drama,</t>
  </si>
  <si>
    <t>Spens, Janet.</t>
  </si>
  <si>
    <t>uc2.ark:/13960/t9n302457</t>
  </si>
  <si>
    <t>mdp.39015030940772</t>
  </si>
  <si>
    <t>001374885</t>
  </si>
  <si>
    <t>The growth of English drama,</t>
  </si>
  <si>
    <t>Wynne, Arnold,</t>
  </si>
  <si>
    <t>uc1.b312299</t>
  </si>
  <si>
    <t>mdp.39015000544059</t>
  </si>
  <si>
    <t>001376353</t>
  </si>
  <si>
    <t>uc1.b167694</t>
  </si>
  <si>
    <t>001376354</t>
  </si>
  <si>
    <t>The idea of Coventry Patmore.</t>
  </si>
  <si>
    <t>Burdett, Osbert,</t>
  </si>
  <si>
    <t>uc1.b4104918</t>
  </si>
  <si>
    <t>001376355</t>
  </si>
  <si>
    <t>Memoirs and correspondence of Coventry Patmore.</t>
  </si>
  <si>
    <t>Champneys, Basil,</t>
  </si>
  <si>
    <t>uc1.b4104919</t>
  </si>
  <si>
    <t>mdp.39015007059234</t>
  </si>
  <si>
    <t>001376775</t>
  </si>
  <si>
    <t>Instigations of Ezra Pound, together with an essay on the Chinese written character,</t>
  </si>
  <si>
    <t>Pound, Ezra,</t>
  </si>
  <si>
    <t>uc1.$b375779</t>
  </si>
  <si>
    <t>001379154</t>
  </si>
  <si>
    <t>Tertium quid : chapters on various disputed questions /</t>
  </si>
  <si>
    <t>Gurney, Edmund,</t>
  </si>
  <si>
    <t>uc1.b275098</t>
  </si>
  <si>
    <t>mdp.39015065773866</t>
  </si>
  <si>
    <t>001392097</t>
  </si>
  <si>
    <t>The classic myths in English literature : based chiefly on Bulfinch's "Age of fable." (1855) /</t>
  </si>
  <si>
    <t>uc2.ark:/13960/t79s1t89p</t>
  </si>
  <si>
    <t>001392098</t>
  </si>
  <si>
    <t>The classic myths in English literature and in art based originally on Bulfinch's "Age of fable" (1855) accompanied by an interpretative and illustrative commentary,</t>
  </si>
  <si>
    <t>mdp.39015059372667</t>
  </si>
  <si>
    <t>001397715</t>
  </si>
  <si>
    <t>The history of English literature : with an outline of the origin and growth of the English language /</t>
  </si>
  <si>
    <t>Spalding, William,</t>
  </si>
  <si>
    <t>mdp.39015011268276</t>
  </si>
  <si>
    <t>Shakspere and his forerunners; studies in Elizabethan poetry and its development from early English,</t>
  </si>
  <si>
    <t>coo.31924065004651</t>
  </si>
  <si>
    <t>mdp.39015024832357</t>
  </si>
  <si>
    <t>mdp.39015024832373</t>
  </si>
  <si>
    <t>nyp.33433074834775</t>
  </si>
  <si>
    <t>nyp.33433074834783</t>
  </si>
  <si>
    <t>uc2.ark:/13960/t2w37rt99</t>
  </si>
  <si>
    <t>umn.31951002333503h</t>
  </si>
  <si>
    <t>umn.31951002333504f</t>
  </si>
  <si>
    <t>mdp.39015015386264</t>
  </si>
  <si>
    <t>001373949</t>
  </si>
  <si>
    <t>The relations of Shirley's plays to the Elizabethan drama.</t>
  </si>
  <si>
    <t>Forsythe, Robert S.</t>
  </si>
  <si>
    <t>nyp.33433074795810</t>
  </si>
  <si>
    <t>mdp.39015030766128</t>
  </si>
  <si>
    <t>001374208</t>
  </si>
  <si>
    <t>Classic myth in the poetic drama of the age of Elizabeth ...</t>
  </si>
  <si>
    <t>Blake, Harriet Manning.</t>
  </si>
  <si>
    <t>uc1.b31465</t>
  </si>
  <si>
    <t>uc2.ark:/13960/t8sb4077m</t>
  </si>
  <si>
    <t>mdp.39015030766409</t>
  </si>
  <si>
    <t>001374245</t>
  </si>
  <si>
    <t>The presentation of time in the Elizabethan drama.</t>
  </si>
  <si>
    <t>Buland, Mable,</t>
  </si>
  <si>
    <t>loc.ark:/13960/t2f76z28d</t>
  </si>
  <si>
    <t>001374257</t>
  </si>
  <si>
    <t>Metaphor and simile in the minor Elizabethan drama.</t>
  </si>
  <si>
    <t>Carpenter, Frederic Ives,</t>
  </si>
  <si>
    <t>mdp.39015030766391</t>
  </si>
  <si>
    <t>nyp.33433074907860</t>
  </si>
  <si>
    <t>uc1.b3129438</t>
  </si>
  <si>
    <t>uc2.ark:/13960/t7mp53t7g</t>
  </si>
  <si>
    <t>mdp.39015012881630</t>
  </si>
  <si>
    <t>001374288</t>
  </si>
  <si>
    <t>The history of English dramatic poetry to the time of Shakespeare; and Annals of the stage to the restoration,</t>
  </si>
  <si>
    <t>mdp.39015014278405</t>
  </si>
  <si>
    <t>mdp.39015016918313</t>
  </si>
  <si>
    <t>nyp.33433081603056</t>
  </si>
  <si>
    <t>nyp.33433081603064</t>
  </si>
  <si>
    <t>mdp.39015028538497</t>
  </si>
  <si>
    <t>001374311</t>
  </si>
  <si>
    <t>Deception in Elizabethan comedy.</t>
  </si>
  <si>
    <t>Curry, John Vincent,</t>
  </si>
  <si>
    <t>loc.ark:/13960/t0tq6gz60</t>
  </si>
  <si>
    <t>001374362</t>
  </si>
  <si>
    <t>The evolution of technic in Elizabethan tragedy,</t>
  </si>
  <si>
    <t>Fansler, Harriott (Ely),</t>
  </si>
  <si>
    <t>mdp.39015030940673</t>
  </si>
  <si>
    <t>uc1.b3528495</t>
  </si>
  <si>
    <t>uc2.ark:/13960/t7np25x3w</t>
  </si>
  <si>
    <t>mdp.39015066118046</t>
  </si>
  <si>
    <t>001374384</t>
  </si>
  <si>
    <t>Disguise plots in Elizabethan drama:</t>
  </si>
  <si>
    <t>Freeburg, Victor Oscar,</t>
  </si>
  <si>
    <t>uc1.b3527803</t>
  </si>
  <si>
    <t>001374514</t>
  </si>
  <si>
    <t>Act division in Elizabethan and Jacobean plays, 1583-1616.</t>
  </si>
  <si>
    <t>Jewkes, Wilfred Thomas,</t>
  </si>
  <si>
    <t>mdp.39015004731900</t>
  </si>
  <si>
    <t>001374541</t>
  </si>
  <si>
    <t>The Elizabethan dramatists as critics /</t>
  </si>
  <si>
    <t>Klein, David,</t>
  </si>
  <si>
    <t>mdp.39015024886809</t>
  </si>
  <si>
    <t>001374676</t>
  </si>
  <si>
    <t>umn.31951001602774w</t>
  </si>
  <si>
    <t>(v.1-2)</t>
  </si>
  <si>
    <t>mdp.39015016457320</t>
  </si>
  <si>
    <t>001372133</t>
  </si>
  <si>
    <t>Reliques of ancient English poetry; consisting of old heroic ballads, songs, and other pieces of our earlier poets; together with some few of later date.</t>
  </si>
  <si>
    <t>mdp.39015016457338</t>
  </si>
  <si>
    <t>mdp.39015016456165</t>
  </si>
  <si>
    <t>001372227</t>
  </si>
  <si>
    <t>The home book of verse, American and English, 1580-1912,</t>
  </si>
  <si>
    <t>v.1 p.1-456</t>
  </si>
  <si>
    <t>Stevenson, Burton Egbert,</t>
  </si>
  <si>
    <t>mdp.39015016456322</t>
  </si>
  <si>
    <t>v.3 p.843-1252</t>
  </si>
  <si>
    <t>mdp.39015016456330</t>
  </si>
  <si>
    <t>v.4 p.1253-1648</t>
  </si>
  <si>
    <t>mdp.39015016456348</t>
  </si>
  <si>
    <t>v.5 p.1649-2120</t>
  </si>
  <si>
    <t>mdp.39015016456355</t>
  </si>
  <si>
    <t>v.7 p.2727-3148</t>
  </si>
  <si>
    <t>mdp.39015016456363</t>
  </si>
  <si>
    <t>v.8 p.3149-3742</t>
  </si>
  <si>
    <t>mdp.39015016456413</t>
  </si>
  <si>
    <t>v.6 p.2121-2726</t>
  </si>
  <si>
    <t>mdp.39015008900246</t>
  </si>
  <si>
    <t>001372316</t>
  </si>
  <si>
    <t>Alexander Scott, Montgomerie, and Drummond of Hawthornden as lyric poets.</t>
  </si>
  <si>
    <t>Maclean, Catherine Macdonald.</t>
  </si>
  <si>
    <t>uc1.b161365</t>
  </si>
  <si>
    <t>uc2.ark:/13960/t09w0c62r</t>
  </si>
  <si>
    <t>mdp.39015025043160</t>
  </si>
  <si>
    <t>001372334</t>
  </si>
  <si>
    <t>Early plays from the Italian:</t>
  </si>
  <si>
    <t>Bond, R. Warwick</t>
  </si>
  <si>
    <t>mdp.39015005284123</t>
  </si>
  <si>
    <t>001372646</t>
  </si>
  <si>
    <t>Elizabethan comic character conventions as revealed in the comedies of George Chapman /</t>
  </si>
  <si>
    <t>Kreider, Paul Vernon.</t>
  </si>
  <si>
    <t>mdp.39015048473899</t>
  </si>
  <si>
    <t>uc1.b4109177</t>
  </si>
  <si>
    <t>mdp.39015030834348</t>
  </si>
  <si>
    <t>001372964</t>
  </si>
  <si>
    <t>Authorship and sources of "Gentleness and nobility";</t>
  </si>
  <si>
    <t>Cameron, Kenneth Walter,</t>
  </si>
  <si>
    <t>uc1.b3393788</t>
  </si>
  <si>
    <t>mdp.39015005495687</t>
  </si>
  <si>
    <t>001372967</t>
  </si>
  <si>
    <t>The background of John Heywood's "Witty and witless";</t>
  </si>
  <si>
    <t>uc1.b3393345</t>
  </si>
  <si>
    <t>mdp.39015004721745</t>
  </si>
  <si>
    <t>001373070</t>
  </si>
  <si>
    <t>Influence of Ben Jonson on English comedy, 1598-1642.</t>
  </si>
  <si>
    <t>Kerr, Mina,</t>
  </si>
  <si>
    <t>mdp.39015019152522</t>
  </si>
  <si>
    <t>uc1.b4109930</t>
  </si>
  <si>
    <t>uc2.ark:/13960/t9z039j8v</t>
  </si>
  <si>
    <t>mdp.39015053661412</t>
  </si>
  <si>
    <t>001373330</t>
  </si>
  <si>
    <t>Plays of the Ridings.</t>
  </si>
  <si>
    <t>Moorman, Frederic William,</t>
  </si>
  <si>
    <t>mdp.39015053663277</t>
  </si>
  <si>
    <t>001373730</t>
  </si>
  <si>
    <t>A study of Shakespeare's versification, with an inquiry into the trustworthiness of the early texts,</t>
  </si>
  <si>
    <t>coo.31924012960930</t>
  </si>
  <si>
    <t>001373782</t>
  </si>
  <si>
    <t>uc2.ark:/13960/t8ff3v30b</t>
  </si>
  <si>
    <t>mdp.39015008698006</t>
  </si>
  <si>
    <t>001371685</t>
  </si>
  <si>
    <t>Undercurrents of influence in English romantic poetry.</t>
  </si>
  <si>
    <t>Sherwood, Margaret Pollock,</t>
  </si>
  <si>
    <t>mdp.39015066078133</t>
  </si>
  <si>
    <t>001371687</t>
  </si>
  <si>
    <t>The English ode from Milton to Keats,</t>
  </si>
  <si>
    <t>Shuster, George Nauman,</t>
  </si>
  <si>
    <t>uc1.b4109156</t>
  </si>
  <si>
    <t>mdp.39015053661768</t>
  </si>
  <si>
    <t>001371728</t>
  </si>
  <si>
    <t>Verse satire in England before the renaissance,</t>
  </si>
  <si>
    <t>Tucker, Samuel Marion,</t>
  </si>
  <si>
    <t>uc1.b31569</t>
  </si>
  <si>
    <t>uc2.ark:/13960/t6m04133r</t>
  </si>
  <si>
    <t>mdp.39015008297817</t>
  </si>
  <si>
    <t>001371740</t>
  </si>
  <si>
    <t>The greater Victorian poets.</t>
  </si>
  <si>
    <t>Walker, Hugh,</t>
  </si>
  <si>
    <t>uc1.b31555</t>
  </si>
  <si>
    <t>uc2.ark:/13960/t7pn90n88</t>
  </si>
  <si>
    <t>mdp.39015004300599</t>
  </si>
  <si>
    <t>001371758</t>
  </si>
  <si>
    <t>The Middle English legends of visits to the other world and their relation to the metrical romances ...</t>
  </si>
  <si>
    <t>Willson, Elizabeth.</t>
  </si>
  <si>
    <t>mdp.39015030768421</t>
  </si>
  <si>
    <t>001371951</t>
  </si>
  <si>
    <t>mdp.39015030768439</t>
  </si>
  <si>
    <t>001371952</t>
  </si>
  <si>
    <t>Poetry of the people : comprising poems illustrative of the history and national spirit of England, Scotland, Ireland, and America /</t>
  </si>
  <si>
    <t>mdp.39015002149782</t>
  </si>
  <si>
    <t>001371979</t>
  </si>
  <si>
    <t>mdp.39015030934437</t>
  </si>
  <si>
    <t>001372051</t>
  </si>
  <si>
    <t>Poetry of America : selections from one hundred American poets from 1776 to 1876 : with an introductory review of colonial poetry, and some specimens of Negro melody.</t>
  </si>
  <si>
    <t>nyp.33433076020225</t>
  </si>
  <si>
    <t>Copy 1</t>
  </si>
  <si>
    <t>uc1.b251360</t>
  </si>
  <si>
    <t>hvd.hw37nc</t>
  </si>
  <si>
    <t>001372131</t>
  </si>
  <si>
    <t>Reliques of ancient English poetry : consisting of old heroic ballads, songs, and other pieces of our earlier poets, together with some few of later date.</t>
  </si>
  <si>
    <t>hvd.hw37nd</t>
  </si>
  <si>
    <t>hvd.hw37ne</t>
  </si>
  <si>
    <t>hvd.hw37nf</t>
  </si>
  <si>
    <t>hvd.hw37ng</t>
  </si>
  <si>
    <t>hvd.hw37nh</t>
  </si>
  <si>
    <t>hvd.hwpac7</t>
  </si>
  <si>
    <t>mdp.39015074634513</t>
  </si>
  <si>
    <t>mdp.39015074634521</t>
  </si>
  <si>
    <t>mdp.39015074634695</t>
  </si>
  <si>
    <t>uc2.ark:/13960/t8gf0pg5s</t>
  </si>
  <si>
    <t>uc2.ark:/13960/t9k35p26j</t>
  </si>
  <si>
    <t>mdp.39015028765124</t>
  </si>
  <si>
    <t>001372132</t>
  </si>
  <si>
    <t>Reliques of ancient English poetry: consisting of old heroic ballads, songs, and other pieces of our earlier poets; together with some few of later date.</t>
  </si>
  <si>
    <t>Percy, Thomas,</t>
  </si>
  <si>
    <t>mdp.39015028765132</t>
  </si>
  <si>
    <t>mdp.39015028765876</t>
  </si>
  <si>
    <t>001371553</t>
  </si>
  <si>
    <t>The divine science;</t>
  </si>
  <si>
    <t>Jonas, Leah,</t>
  </si>
  <si>
    <t>mdp.39015066235378</t>
  </si>
  <si>
    <t>mdp.39015005353514</t>
  </si>
  <si>
    <t>001371559</t>
  </si>
  <si>
    <t>The influence of Christianity on the vocabulary of Old English poetry,</t>
  </si>
  <si>
    <t>Keiser, Albert,</t>
  </si>
  <si>
    <t>uc1.b4500738</t>
  </si>
  <si>
    <t>uc2.ark:/13960/t1vd71h55</t>
  </si>
  <si>
    <t>mdp.39015019145799</t>
  </si>
  <si>
    <t>001371568</t>
  </si>
  <si>
    <t>Dante and the English poets from Chaucer to Tennyson,</t>
  </si>
  <si>
    <t>Kuhns, Oscar,</t>
  </si>
  <si>
    <t>njp.32101067684843</t>
  </si>
  <si>
    <t>001371577</t>
  </si>
  <si>
    <t>Über das Sonett und seine Gestaltung in der englischen Dichtung bis Milton.</t>
  </si>
  <si>
    <t>Lentzner, Karl August,</t>
  </si>
  <si>
    <t>mdp.39015011348243</t>
  </si>
  <si>
    <t>001371580</t>
  </si>
  <si>
    <t>Tendencies in modern American poetry,</t>
  </si>
  <si>
    <t>mdp.39015031007928</t>
  </si>
  <si>
    <t>001371581</t>
  </si>
  <si>
    <t>Conversations on some of the old poets.</t>
  </si>
  <si>
    <t>uc1.b3315072</t>
  </si>
  <si>
    <t>uc2.ark:/13960/t28918w1r</t>
  </si>
  <si>
    <t>hvd.32044020557104</t>
  </si>
  <si>
    <t>001371600</t>
  </si>
  <si>
    <t>Essays biographical and critical: chiefly on English poets.</t>
  </si>
  <si>
    <t>Masson, David,</t>
  </si>
  <si>
    <t>mdp.39015012415058</t>
  </si>
  <si>
    <t>001371621</t>
  </si>
  <si>
    <t>The breaking of the circle; studies in the effect of the "new science" upon seventeenth century poetry.</t>
  </si>
  <si>
    <t>Nicolson, Marjorie Hope,</t>
  </si>
  <si>
    <t>mdp.39015031009031</t>
  </si>
  <si>
    <t>001371627</t>
  </si>
  <si>
    <t>Studi sul romanticismo inglese</t>
  </si>
  <si>
    <t>Olivero, Federico,</t>
  </si>
  <si>
    <t>loc.ark:/13960/t8pc3kq50</t>
  </si>
  <si>
    <t>001371631</t>
  </si>
  <si>
    <t>Formative types in English poetry; the Earl lectures of 1917,</t>
  </si>
  <si>
    <t>Palmer, George Herbert,</t>
  </si>
  <si>
    <t>mdp.39015031009015</t>
  </si>
  <si>
    <t>uc1.b158095</t>
  </si>
  <si>
    <t>uc2.ark:/13960/t71v5gf3m</t>
  </si>
  <si>
    <t>mdp.39015016888409</t>
  </si>
  <si>
    <t>001371635</t>
  </si>
  <si>
    <t>Elizabethan love conventions.</t>
  </si>
  <si>
    <t>Pearson, Lu Emily Hess.</t>
  </si>
  <si>
    <t>mdp.39015066078018</t>
  </si>
  <si>
    <t>uc1.b3512897</t>
  </si>
  <si>
    <t>mdp.39015031009437</t>
  </si>
  <si>
    <t>001371644</t>
  </si>
  <si>
    <t>Political satire in English poetry,</t>
  </si>
  <si>
    <t>Previté-Orton, Charles William,</t>
  </si>
  <si>
    <t>uc2.ark:/13960/t7kp8422f</t>
  </si>
  <si>
    <t>uva.x001085602</t>
  </si>
  <si>
    <t>mdp.39015031009411</t>
  </si>
  <si>
    <t>001371650</t>
  </si>
  <si>
    <t>English lyrical poetry : from its origins to the present time.</t>
  </si>
  <si>
    <t>Reed, Edward Bliss,</t>
  </si>
  <si>
    <t>uc1.b3294885</t>
  </si>
  <si>
    <t>uc2.ark:/13960/t7tm7528v</t>
  </si>
  <si>
    <t>mdp.39015008569868</t>
  </si>
  <si>
    <t>001371656</t>
  </si>
  <si>
    <t>The treatment of nature in English poetry, between Pope and Wordsworth.</t>
  </si>
  <si>
    <t>mdp.39015030929130</t>
  </si>
  <si>
    <t>001371442</t>
  </si>
  <si>
    <t>Scottish poetry : Drummond of Hawthornden to Fergusson : lectures delivered in the University of Glasgow.</t>
  </si>
  <si>
    <t>Douglas, George,</t>
  </si>
  <si>
    <t>uc2.ark:/13960/t2m61jr1b</t>
  </si>
  <si>
    <t>mdp.39015018600117</t>
  </si>
  <si>
    <t>001371466</t>
  </si>
  <si>
    <t>First follow nature; primitivism in English poetry, 1725-1750.</t>
  </si>
  <si>
    <t>mdp.39015029913384</t>
  </si>
  <si>
    <t>001371480</t>
  </si>
  <si>
    <t>From Shakespeare to Pope;</t>
  </si>
  <si>
    <t>mdp.39015031007506</t>
  </si>
  <si>
    <t>mdp.39015031007548</t>
  </si>
  <si>
    <t>001371482</t>
  </si>
  <si>
    <t>Seventeenth-century studies. A contribution to the history of English poetry,</t>
  </si>
  <si>
    <t>uc1.b3295069</t>
  </si>
  <si>
    <t>uc2.ark:/13960/t6g162r9f</t>
  </si>
  <si>
    <t>mdp.39015032396916</t>
  </si>
  <si>
    <t>001371490</t>
  </si>
  <si>
    <t>Pastoral poetry &amp; pastoral drama; a literary inquiry, with special reference to the pre-Restoration stage in England.</t>
  </si>
  <si>
    <t>mdp.39015001139461</t>
  </si>
  <si>
    <t>001371494</t>
  </si>
  <si>
    <t>Lyrical poetry of the nineteenth century /</t>
  </si>
  <si>
    <t>Grierson, Herbert John Clifford,</t>
  </si>
  <si>
    <t>mdp.39015031007597</t>
  </si>
  <si>
    <t>uc2.ark:/13960/t8rb78n2q</t>
  </si>
  <si>
    <t>001371495</t>
  </si>
  <si>
    <t>The higher ministries of recent English poetry</t>
  </si>
  <si>
    <t>Gunsaulus, Frank W.</t>
  </si>
  <si>
    <t>mdp.39015000584667</t>
  </si>
  <si>
    <t>001371510</t>
  </si>
  <si>
    <t>Pre-Raphaelite and other poets; lectures.</t>
  </si>
  <si>
    <t>nyp.33433081604286</t>
  </si>
  <si>
    <t>uc1.b3514929</t>
  </si>
  <si>
    <t>uc2.ark:/13960/t7kp8418w</t>
  </si>
  <si>
    <t>uc1.b3514741</t>
  </si>
  <si>
    <t>001371530</t>
  </si>
  <si>
    <t>The English romantic poets and essayists : a review of research and criticism /</t>
  </si>
  <si>
    <t>mdp.39015031007746</t>
  </si>
  <si>
    <t>001371533</t>
  </si>
  <si>
    <t>The spiritual message of modern English poetry,</t>
  </si>
  <si>
    <t>Hoyt, Arthur Stephen,</t>
  </si>
  <si>
    <t>uc1.b276176</t>
  </si>
  <si>
    <t>mdp.39015031007753</t>
  </si>
  <si>
    <t>001371536</t>
  </si>
  <si>
    <t>Imagination and fancy, or, Selections from the English poets : illustrative of those first requisites of their art : with markings of the best passages, critical notices of the writers, and an essay in answer to the question "What is poetry?" /</t>
  </si>
  <si>
    <t>Hunt, Leigh,</t>
  </si>
  <si>
    <t>mdp.39015006563376</t>
  </si>
  <si>
    <t>001371544</t>
  </si>
  <si>
    <t>A pamphlet against anthologies /</t>
  </si>
  <si>
    <t>Jackson, Laura (Riding),</t>
  </si>
  <si>
    <t>mdp.39015053668664</t>
  </si>
  <si>
    <t>mdp.39015053662824</t>
  </si>
  <si>
    <t>001371550</t>
  </si>
  <si>
    <t>Forms of English poetry /</t>
  </si>
  <si>
    <t>uc1.b276193</t>
  </si>
  <si>
    <t>mdp.39015053662816</t>
  </si>
  <si>
    <t>Broadus, Edmund Kemper,</t>
  </si>
  <si>
    <t>mdp.39015066195457</t>
  </si>
  <si>
    <t>001371388</t>
  </si>
  <si>
    <t>The history of early English literature : being the history of English poetry from its beginnings to the accession of King Aelfred /</t>
  </si>
  <si>
    <t>mdp.39015066195606</t>
  </si>
  <si>
    <t>uva.x000380892</t>
  </si>
  <si>
    <t>001371389</t>
  </si>
  <si>
    <t>Naturalism in English poetry,</t>
  </si>
  <si>
    <t>inu.39000005920231</t>
  </si>
  <si>
    <t>001371393</t>
  </si>
  <si>
    <t>A history of English balladry, and other studies,</t>
  </si>
  <si>
    <t>Bryant, Frank Egbert,</t>
  </si>
  <si>
    <t>mdp.39015004884485</t>
  </si>
  <si>
    <t>uc1.b4097369</t>
  </si>
  <si>
    <t>mdp.39015059409402</t>
  </si>
  <si>
    <t>001371400</t>
  </si>
  <si>
    <t>The art of English poetry. Containing, I. Rules for making verses. II. A collection of the most natural, agreeable, and sublime thoughts ... that are to be found in the best English poets. III. A dictionary of rhymes.</t>
  </si>
  <si>
    <t>Bysshe, Edward,</t>
  </si>
  <si>
    <t>mdp.39015059409410</t>
  </si>
  <si>
    <t>mdp.39015030930211</t>
  </si>
  <si>
    <t>001371409</t>
  </si>
  <si>
    <t>That dome in air : thoughts on poetry and the poets.</t>
  </si>
  <si>
    <t>Cheney, John Vance,</t>
  </si>
  <si>
    <t>uc2.ark:/13960/fk6d21rw50</t>
  </si>
  <si>
    <t>mdp.39015005194710</t>
  </si>
  <si>
    <t>001371417</t>
  </si>
  <si>
    <t>mdp.39015030930047</t>
  </si>
  <si>
    <t>mdp.39015030930054</t>
  </si>
  <si>
    <t>mdp.39015030930088</t>
  </si>
  <si>
    <t>mdp.39015030930153</t>
  </si>
  <si>
    <t>mdp.39015030930161</t>
  </si>
  <si>
    <t>mdp.39015030930179</t>
  </si>
  <si>
    <t>miun.afw0791.0001.001</t>
  </si>
  <si>
    <t>miun.afw0791.0002.001</t>
  </si>
  <si>
    <t>miun.afw0791.0003.001</t>
  </si>
  <si>
    <t>miun.afw0791.0004.001</t>
  </si>
  <si>
    <t>miun.afw0791.0005.001</t>
  </si>
  <si>
    <t>miun.afw0791.0006.001</t>
  </si>
  <si>
    <t>uc1.b3295125</t>
  </si>
  <si>
    <t>uc1.b3295126</t>
  </si>
  <si>
    <t>uc1.b3295127</t>
  </si>
  <si>
    <t>uc1.b3295128</t>
  </si>
  <si>
    <t>uc1.b3295129</t>
  </si>
  <si>
    <t>uc1.b3295130</t>
  </si>
  <si>
    <t>uc1.b115529</t>
  </si>
  <si>
    <t>001371419</t>
  </si>
  <si>
    <t>Character in the "Matter of England" romances ...</t>
  </si>
  <si>
    <t>Creek, Herbert Le Sourd,</t>
  </si>
  <si>
    <t>uc2.ark:/13960/t4zg6jj9t</t>
  </si>
  <si>
    <t>mdp.39015030929197</t>
  </si>
  <si>
    <t>001371427</t>
  </si>
  <si>
    <t>The Anglosaxon poets on the judgment day...</t>
  </si>
  <si>
    <t>Deering, Robert Waller,</t>
  </si>
  <si>
    <t>uc1.b29652</t>
  </si>
  <si>
    <t>uc2.ark:/13960/t36110r1j</t>
  </si>
  <si>
    <t>mdp.39015005332690</t>
  </si>
  <si>
    <t>001371429</t>
  </si>
  <si>
    <t>English fairy poetry from the origins to the seventeenth century. -</t>
  </si>
  <si>
    <t>Delattre, Floris,</t>
  </si>
  <si>
    <t>uc2.ark:/13960/t9z033c5p</t>
  </si>
  <si>
    <t>mdp.39015053659416</t>
  </si>
  <si>
    <t>001371440</t>
  </si>
  <si>
    <t>English lyric in the age of reason /</t>
  </si>
  <si>
    <t>Doughty, Oswald.</t>
  </si>
  <si>
    <t>uc1.b3514907</t>
  </si>
  <si>
    <t>Lectures on the literature of the age of Elizabeth, and Characters of Shakespear's plays.</t>
  </si>
  <si>
    <t>uva.x001875358</t>
  </si>
  <si>
    <t>mdp.39015030935806</t>
  </si>
  <si>
    <t>001370913</t>
  </si>
  <si>
    <t>Representative English prose and prose writers,</t>
  </si>
  <si>
    <t>Hunt, Theodore W.</t>
  </si>
  <si>
    <t>njp.32101072582453</t>
  </si>
  <si>
    <t>uc2.ark:/13960/t3319wx3m</t>
  </si>
  <si>
    <t>mdp.39015030935509</t>
  </si>
  <si>
    <t>001370962</t>
  </si>
  <si>
    <t>Martial books and Tudor verse.</t>
  </si>
  <si>
    <t>Langsam, Gert Geoffrey.</t>
  </si>
  <si>
    <t>uc1.b3515163</t>
  </si>
  <si>
    <t>mdp.39015011682690</t>
  </si>
  <si>
    <t>001371021</t>
  </si>
  <si>
    <t>Translation, an Elizabethan art.</t>
  </si>
  <si>
    <t>Matthiessen, F. O.</t>
  </si>
  <si>
    <t>mdp.39015046438563</t>
  </si>
  <si>
    <t>loc.ark:/13960/t41r7b24d</t>
  </si>
  <si>
    <t>001371102</t>
  </si>
  <si>
    <t>Currents and eddies in the English romantic generation.</t>
  </si>
  <si>
    <t>Pierce, F. E.</t>
  </si>
  <si>
    <t>mdp.39015000518848</t>
  </si>
  <si>
    <t>uc2.ark:/13960/t2h70gq8g</t>
  </si>
  <si>
    <t>loc.ark:/13960/t7pn9rw71</t>
  </si>
  <si>
    <t>001371150</t>
  </si>
  <si>
    <t>Elizabethan literature,</t>
  </si>
  <si>
    <t>Robertson, J. M.</t>
  </si>
  <si>
    <t>mdp.39015022200847</t>
  </si>
  <si>
    <t>mdp.39015031008975</t>
  </si>
  <si>
    <t>uc1.b275383</t>
  </si>
  <si>
    <t>uc2.ark:/13960/t3513xw0g</t>
  </si>
  <si>
    <t>mdp.39015031009122</t>
  </si>
  <si>
    <t>001371169</t>
  </si>
  <si>
    <t>A history of Elizabethan literature,</t>
  </si>
  <si>
    <t>uc1.b3543117</t>
  </si>
  <si>
    <t>uc2.ark:/13960/t8bg2w65j</t>
  </si>
  <si>
    <t>mdp.39015031004784</t>
  </si>
  <si>
    <t>001371188</t>
  </si>
  <si>
    <t>The age of Shakespeare (1579-1631) /</t>
  </si>
  <si>
    <t>Seccombe, Thomas,</t>
  </si>
  <si>
    <t>mdp.39015031004941</t>
  </si>
  <si>
    <t>uc1.b245829</t>
  </si>
  <si>
    <t>v.2 copy 2</t>
  </si>
  <si>
    <t>mdp.39015031010385</t>
  </si>
  <si>
    <t>001371344</t>
  </si>
  <si>
    <t>Scepticisms : notes on contemporary poetry / Conrad Aiken.</t>
  </si>
  <si>
    <t>Aiken, Conrad,</t>
  </si>
  <si>
    <t>nyp.33433067364889</t>
  </si>
  <si>
    <t>uc1.b3514885</t>
  </si>
  <si>
    <t>uc2.ark:/13960/t59c6vz2w</t>
  </si>
  <si>
    <t>mdp.39015007009916</t>
  </si>
  <si>
    <t>001371354</t>
  </si>
  <si>
    <t>Poets and poetry : being articles reprinted from the literary supplement of 'The Times.'</t>
  </si>
  <si>
    <t>Bailey, John Cann,</t>
  </si>
  <si>
    <t>uc1.b63426</t>
  </si>
  <si>
    <t>mdp.39015004176049</t>
  </si>
  <si>
    <t>001371363</t>
  </si>
  <si>
    <t>Early Tudor poetry, 1485-1547 /</t>
  </si>
  <si>
    <t>Berdan, John M.</t>
  </si>
  <si>
    <t>miun.afw0737.0001.001</t>
  </si>
  <si>
    <t>mdp.39015008432711</t>
  </si>
  <si>
    <t>001371368</t>
  </si>
  <si>
    <t>English poetry in its relation to painting and the other arts.</t>
  </si>
  <si>
    <t>Binyon, Laurence,</t>
  </si>
  <si>
    <t>mdp.39015016912928</t>
  </si>
  <si>
    <t>001371386</t>
  </si>
  <si>
    <t>The laureateship : a study of the office of Poet laureate in England with some account of the poets.</t>
  </si>
  <si>
    <t>mdp.39015053245182</t>
  </si>
  <si>
    <t>mdp.39015053245190</t>
  </si>
  <si>
    <t>mdp.39015053245208</t>
  </si>
  <si>
    <t>mdp.39015053245216</t>
  </si>
  <si>
    <t>v.2 1904</t>
  </si>
  <si>
    <t>mdp.39015053245224</t>
  </si>
  <si>
    <t>v.1 1911</t>
  </si>
  <si>
    <t>mdp.39015017638761</t>
  </si>
  <si>
    <t>001370027</t>
  </si>
  <si>
    <t>The principles and progress of English poetry,</t>
  </si>
  <si>
    <t>mdp.39015065731476</t>
  </si>
  <si>
    <t>001370055</t>
  </si>
  <si>
    <t>Revaluation; tradition &amp; development in English poetry.</t>
  </si>
  <si>
    <t>Leavis, F. R.</t>
  </si>
  <si>
    <t>mdp.39015065731674</t>
  </si>
  <si>
    <t>001370063</t>
  </si>
  <si>
    <t>Platonism in English poetry of the sixteenth and seventeenth centuries,</t>
  </si>
  <si>
    <t>Harrison, John Smith,</t>
  </si>
  <si>
    <t>mdp.39015005179596</t>
  </si>
  <si>
    <t>001370064</t>
  </si>
  <si>
    <t>Early Tudor poetry, 1485-1547,</t>
  </si>
  <si>
    <t>Berdan, John Milton,</t>
  </si>
  <si>
    <t>uc1.b3514891</t>
  </si>
  <si>
    <t>uc2.ark:/13960/t20c4wc0b</t>
  </si>
  <si>
    <t>mdp.39015063039245</t>
  </si>
  <si>
    <t>001370075</t>
  </si>
  <si>
    <t>Lives of the English poets.</t>
  </si>
  <si>
    <t>mdp.39015063039252</t>
  </si>
  <si>
    <t>uc1.l0071253140</t>
  </si>
  <si>
    <t>mdp.39015030932902</t>
  </si>
  <si>
    <t>001370533</t>
  </si>
  <si>
    <t>Studies in language and literature in celebration of the seventieth birthday of James Morgan Hart, November 2, 1909.</t>
  </si>
  <si>
    <t>mdp.39015030932860</t>
  </si>
  <si>
    <t>001370577</t>
  </si>
  <si>
    <t>A book of prose narratives, chosen and ed.</t>
  </si>
  <si>
    <t>Wells, Chauncey Wetmore,</t>
  </si>
  <si>
    <t>uc1.b250038</t>
  </si>
  <si>
    <t>uc2.ark:/13960/t50g3ks2f</t>
  </si>
  <si>
    <t>mdp.39015066235360</t>
  </si>
  <si>
    <t>001370688</t>
  </si>
  <si>
    <t>Elizabethans.</t>
  </si>
  <si>
    <t>Bullen, A. H.</t>
  </si>
  <si>
    <t>uc1.b4379951</t>
  </si>
  <si>
    <t>mdp.39015014278355</t>
  </si>
  <si>
    <t>001370748</t>
  </si>
  <si>
    <t>Sketches of the history of literature and learning in England ...</t>
  </si>
  <si>
    <t>uc1.b287383</t>
  </si>
  <si>
    <t>uc1.b287384</t>
  </si>
  <si>
    <t>v. 3-4</t>
  </si>
  <si>
    <t>uc1.b287385</t>
  </si>
  <si>
    <t>v. 5-6</t>
  </si>
  <si>
    <t>mdp.39015011583377</t>
  </si>
  <si>
    <t>001370772</t>
  </si>
  <si>
    <t>Holland's influence on English language and literature,</t>
  </si>
  <si>
    <t>De Vries, T.</t>
  </si>
  <si>
    <t>uc1.b249339</t>
  </si>
  <si>
    <t>uc2.ark:/13960/t59c6vt04</t>
  </si>
  <si>
    <t>mdp.39015009357545</t>
  </si>
  <si>
    <t>001370780</t>
  </si>
  <si>
    <t>Puritan and Anglican : studies in literature.</t>
  </si>
  <si>
    <t>Dowden, Edward,</t>
  </si>
  <si>
    <t>mdp.39015029766782</t>
  </si>
  <si>
    <t>001370785</t>
  </si>
  <si>
    <t>The new science and English literature in the classical period /</t>
  </si>
  <si>
    <t>Duncan, Carson S.</t>
  </si>
  <si>
    <t>njp.32101067683969</t>
  </si>
  <si>
    <t>uc1.b4500739</t>
  </si>
  <si>
    <t>uc2.ark:/13960/t8pc3644b</t>
  </si>
  <si>
    <t>mdp.39015009317077</t>
  </si>
  <si>
    <t>001370891</t>
  </si>
  <si>
    <t>Bathurst, Charles.</t>
  </si>
  <si>
    <t>uc1.b27289</t>
  </si>
  <si>
    <t>mdp.39015013129245</t>
  </si>
  <si>
    <t>001367218</t>
  </si>
  <si>
    <t>The Janus of poets; being an essay on the dramatic value of Shakespeare's [sic] poetry both good and bad.</t>
  </si>
  <si>
    <t>David, Richard.</t>
  </si>
  <si>
    <t>hvd.hwpkkb</t>
  </si>
  <si>
    <t>001367232</t>
  </si>
  <si>
    <t>Shakespeare's versification and its apparent irregularities explained by examples from early and late English writers.</t>
  </si>
  <si>
    <t>Walker, William Sidney,</t>
  </si>
  <si>
    <t>uc1.b259647</t>
  </si>
  <si>
    <t>uc2.ark:/13960/t1gh9q52w</t>
  </si>
  <si>
    <t>nyp.33433082310685</t>
  </si>
  <si>
    <t>001367639</t>
  </si>
  <si>
    <t>A glossary; or, collection of words, phrases, names, and allusions to customs, proverbs, etc., which have been thought to require illustration, in the works of English authors, particularly Shakespeare and his contemporaries.</t>
  </si>
  <si>
    <t>v. 2 (K-Z)</t>
  </si>
  <si>
    <t>nyp.33433082310693</t>
  </si>
  <si>
    <t>v. 1 (A-J)</t>
  </si>
  <si>
    <t>mdp.39015048887759</t>
  </si>
  <si>
    <t>001367640</t>
  </si>
  <si>
    <t>A glossary; or, Collection of words, phrases, names, and allusions to customs, proverbs, etc., which have been thought to require illustration, in the works of English authors; particularly Shakespeare and his contemporaries.</t>
  </si>
  <si>
    <t>v.1 A-J</t>
  </si>
  <si>
    <t>mdp.39015048887767</t>
  </si>
  <si>
    <t>v.2 K-Z</t>
  </si>
  <si>
    <t>nyp.33433082538830</t>
  </si>
  <si>
    <t>001369727</t>
  </si>
  <si>
    <t>A history of English criticism; being the English chapters of A history of criticism and literary taste in Europe; rev., adapted, and supplemented,</t>
  </si>
  <si>
    <t>mdp.39015008496575</t>
  </si>
  <si>
    <t>001369778</t>
  </si>
  <si>
    <t>English literature,</t>
  </si>
  <si>
    <t>Brooke, Stopford Augustus,</t>
  </si>
  <si>
    <t>uc2.ark:/13960/t5fb5bb62</t>
  </si>
  <si>
    <t>001370021</t>
  </si>
  <si>
    <t>The history of English poetry, from the close of the eleventh to the commencement of the eighteenth century. To which are prefixed two dissertations. I. On the origin of romantic fiction in Europe. II. On the introduction of learning into England.</t>
  </si>
  <si>
    <t>Warton, Thomas,</t>
  </si>
  <si>
    <t>njp.32101037977384</t>
  </si>
  <si>
    <t>001370024</t>
  </si>
  <si>
    <t>History of English poetry from the twelfth to the close of the sixteenth century.</t>
  </si>
  <si>
    <t>vol.4</t>
  </si>
  <si>
    <t>njp.32101037977392</t>
  </si>
  <si>
    <t>vol.2</t>
  </si>
  <si>
    <t>njp.32101037977400</t>
  </si>
  <si>
    <t>vol.1</t>
  </si>
  <si>
    <t>mdp.39015053245174</t>
  </si>
  <si>
    <t>001370025</t>
  </si>
  <si>
    <t>A history of English poetry,</t>
  </si>
  <si>
    <t>Loci critici; passages illustrative of critical theory and practice from Aristotle downwards,</t>
  </si>
  <si>
    <t>mdp.39015019116485</t>
  </si>
  <si>
    <t>001362499</t>
  </si>
  <si>
    <t>A history of literary criticism in the renaissance,</t>
  </si>
  <si>
    <t>Spingarn, Joel Elias,</t>
  </si>
  <si>
    <t>uc2.ark:/13960/t7dr2sp5p</t>
  </si>
  <si>
    <t>001363718</t>
  </si>
  <si>
    <t>Elements of elocution. Being the substance of a course of lectures on the art of reading; delivered at several colleges in the University of Oxford.</t>
  </si>
  <si>
    <t>mdp.39015062336683</t>
  </si>
  <si>
    <t>001363748</t>
  </si>
  <si>
    <t>mdp.39015069429820</t>
  </si>
  <si>
    <t>001363795</t>
  </si>
  <si>
    <t>Speech correction on the contract plan,</t>
  </si>
  <si>
    <t>Manser, Ruth Baldock.</t>
  </si>
  <si>
    <t>mdp.39015072137881</t>
  </si>
  <si>
    <t>001363798</t>
  </si>
  <si>
    <t>mdp.39015063606159</t>
  </si>
  <si>
    <t>001363809</t>
  </si>
  <si>
    <t>The officers' speech book,</t>
  </si>
  <si>
    <t>Morath, Dale H</t>
  </si>
  <si>
    <t>njp.32101072657933</t>
  </si>
  <si>
    <t>001365913</t>
  </si>
  <si>
    <t>The English of Shakespeare illustrated in a philological commentary on his Julius Caesar.</t>
  </si>
  <si>
    <t>Craik, George L.</t>
  </si>
  <si>
    <t>mdp.39015024475686</t>
  </si>
  <si>
    <t>001365918</t>
  </si>
  <si>
    <t>The English of Shakespeare illustrated in a philological commentary on his Julius Cæsar.</t>
  </si>
  <si>
    <t>njp.32101066125780</t>
  </si>
  <si>
    <t>001365921</t>
  </si>
  <si>
    <t>The English of Shakespeare; illustrated in a philological commentary on his Julius Cæsar.</t>
  </si>
  <si>
    <t>uc2.ark:/13960/t53f50592</t>
  </si>
  <si>
    <t>001365925</t>
  </si>
  <si>
    <t>The English of Shakespeare; illustrated in a philological commentary on his Julius Caesar.</t>
  </si>
  <si>
    <t>mdp.39015025026181</t>
  </si>
  <si>
    <t>001365926</t>
  </si>
  <si>
    <t>mdp.39015005172237</t>
  </si>
  <si>
    <t>001367164</t>
  </si>
  <si>
    <t>A Shakespearian grammar. An attempt to illustrate some of the differences between Elizabethan and modern English. For the use of schools.</t>
  </si>
  <si>
    <t>mdp.39015064437588</t>
  </si>
  <si>
    <t>001367165</t>
  </si>
  <si>
    <t>A Shakespearian grammar; an attempt to illustrate some of the differences between Elizabethan and modern English. For the use of the schools.</t>
  </si>
  <si>
    <t>uc1.b272575</t>
  </si>
  <si>
    <t>001367201</t>
  </si>
  <si>
    <t>Shakespeare's pronunciation [I] A Shakespeare phonology...</t>
  </si>
  <si>
    <t>uc2.ark:/13960/t00002r8b</t>
  </si>
  <si>
    <t>hvd.hwpkk7</t>
  </si>
  <si>
    <t>001367206</t>
  </si>
  <si>
    <t>Remarks on the differences in Shakespeare's versification in different periods of his life, and on the like points of difference in poetry generally.</t>
  </si>
  <si>
    <t>The teaching of English in the secondary school /</t>
  </si>
  <si>
    <t>Thomas, Charles Swain,</t>
  </si>
  <si>
    <t>mdp.39015014591302</t>
  </si>
  <si>
    <t>uc1.b301263</t>
  </si>
  <si>
    <t>mdp.39015038902055</t>
  </si>
  <si>
    <t>001283041</t>
  </si>
  <si>
    <t>Teaching English in the junior high school /</t>
  </si>
  <si>
    <t>Webster, Edward Harlan,</t>
  </si>
  <si>
    <t>uc1.b4488000</t>
  </si>
  <si>
    <t>mdp.39015070542314</t>
  </si>
  <si>
    <t>001287800</t>
  </si>
  <si>
    <t>An evaluation of five methods of teaching spelling in the second and third grades</t>
  </si>
  <si>
    <t>Reid, Hale C.</t>
  </si>
  <si>
    <t>mdp.39015008650197</t>
  </si>
  <si>
    <t>001287808</t>
  </si>
  <si>
    <t>Sound and spelling in English.</t>
  </si>
  <si>
    <t>Hall, Robert A.</t>
  </si>
  <si>
    <t>miun.afm4455.0001.001</t>
  </si>
  <si>
    <t>001287814</t>
  </si>
  <si>
    <t>First lessons in composition.</t>
  </si>
  <si>
    <t>Quackenbos, G. P.</t>
  </si>
  <si>
    <t>mdp.39015011921064</t>
  </si>
  <si>
    <t>001355739</t>
  </si>
  <si>
    <t>The English poets; selections with critical introductions by various writers and a general introduction</t>
  </si>
  <si>
    <t>Ward, Thomas Humphry,</t>
  </si>
  <si>
    <t>mdp.39015065391990</t>
  </si>
  <si>
    <t>mdp.39015065392154</t>
  </si>
  <si>
    <t>mdp.39015065392329</t>
  </si>
  <si>
    <t>mdp.39015004945625</t>
  </si>
  <si>
    <t>001356702</t>
  </si>
  <si>
    <t>Medieval rhetoric and poetic (to 1400) interpreted from representative works,</t>
  </si>
  <si>
    <t>mdp.39015035760415</t>
  </si>
  <si>
    <t>mdp.39015066923411</t>
  </si>
  <si>
    <t>001358223</t>
  </si>
  <si>
    <t>The prosody of the Persians according to Saifi, Jami, and other writers /</t>
  </si>
  <si>
    <t>Blochmann, H.</t>
  </si>
  <si>
    <t>mdp.39015024840343</t>
  </si>
  <si>
    <t>001358473</t>
  </si>
  <si>
    <t>The Proto-Malayo-Polynesian laryngeals.</t>
  </si>
  <si>
    <t>Dyen, Isidore,</t>
  </si>
  <si>
    <t>uc1.32106001629473</t>
  </si>
  <si>
    <t>mdp.39015065727987</t>
  </si>
  <si>
    <t>001358887</t>
  </si>
  <si>
    <t>Menaphon. : Camila's alarm to slumbering Euphues in his melancholy cell at Silexedra, &amp;c. /</t>
  </si>
  <si>
    <t>mdp.39015000531676</t>
  </si>
  <si>
    <t>001359008</t>
  </si>
  <si>
    <t>The new apologists for poetry.</t>
  </si>
  <si>
    <t>Krieger, Murray,</t>
  </si>
  <si>
    <t>mdp.39015004199751</t>
  </si>
  <si>
    <t>mdp.39015010719345</t>
  </si>
  <si>
    <t>mdp.39015066079362</t>
  </si>
  <si>
    <t>mdp.39015067888571</t>
  </si>
  <si>
    <t>uc1.32106001660825</t>
  </si>
  <si>
    <t>mdp.39015024324215</t>
  </si>
  <si>
    <t>001360090</t>
  </si>
  <si>
    <t>The beginnings of poetry,</t>
  </si>
  <si>
    <t>mdp.39015013138261</t>
  </si>
  <si>
    <t>001360179</t>
  </si>
  <si>
    <t>Pastoral poetry &amp; pastoral drama; a literary inquiry, with special reference to the pre-restoration stage in England.</t>
  </si>
  <si>
    <t>Greg, W. W.</t>
  </si>
  <si>
    <t>mdp.39015003599431</t>
  </si>
  <si>
    <t>001361669</t>
  </si>
  <si>
    <t>Science and poetry.</t>
  </si>
  <si>
    <t>nyp.33433082502513</t>
  </si>
  <si>
    <t>001362462</t>
  </si>
  <si>
    <t>The teaching of spelling; a critical study of recent tendencies in method,</t>
  </si>
  <si>
    <t>Suzzallo, Henry,</t>
  </si>
  <si>
    <t>mdp.39015023663928</t>
  </si>
  <si>
    <t>uc1.b305389</t>
  </si>
  <si>
    <t>uc1.b308904</t>
  </si>
  <si>
    <t>uc2.ark:/13960/t0zp40n88</t>
  </si>
  <si>
    <t>uc2.ark:/13960/t0gt5h38q</t>
  </si>
  <si>
    <t>001281997</t>
  </si>
  <si>
    <t>An experimental study of grouping by similarity as a factor in the teaching of spelling;</t>
  </si>
  <si>
    <t>Wagner, Charles Adam,</t>
  </si>
  <si>
    <t>loc.ark:/13960/t7tm7pf61</t>
  </si>
  <si>
    <t>001281998</t>
  </si>
  <si>
    <t>Spelling efficiency in relation to age, grade and sex, and the question of transfer: an experimental and critical study of the function of method in the teaching of spelling,</t>
  </si>
  <si>
    <t>Wallin, J. E. Wallace</t>
  </si>
  <si>
    <t>mdp.39015062701373</t>
  </si>
  <si>
    <t>uc2.ark:/13960/t15m6d960</t>
  </si>
  <si>
    <t>mdp.39015050939563</t>
  </si>
  <si>
    <t>001282011</t>
  </si>
  <si>
    <t>Essential principles of teaching reading and literature in the intermediate grades and the high school,</t>
  </si>
  <si>
    <t>mdp.39015062746808</t>
  </si>
  <si>
    <t>001282107</t>
  </si>
  <si>
    <t>Rebuilding the English-usage curriculum to insure greater mastery of essentials;</t>
  </si>
  <si>
    <t>O'Rourke, Lawrence James,</t>
  </si>
  <si>
    <t>uc1.b59701</t>
  </si>
  <si>
    <t>mdp.39015009312466</t>
  </si>
  <si>
    <t>001282121</t>
  </si>
  <si>
    <t>How much English grammar? An investigation of the frequency of usage of grammatical constructions in various types of writing together with a discussion of the teaching of grammar in the elementary and the high school,</t>
  </si>
  <si>
    <t>Stormzand, Martin J.</t>
  </si>
  <si>
    <t>mdp.39015035880155</t>
  </si>
  <si>
    <t>001282976</t>
  </si>
  <si>
    <t>Teaching secondary English /</t>
  </si>
  <si>
    <t>De Boer, John James,</t>
  </si>
  <si>
    <t>mdp.39015048455409</t>
  </si>
  <si>
    <t>001283011</t>
  </si>
  <si>
    <t>High school English textbooks: a critical examination.</t>
  </si>
  <si>
    <t>Lynch, James Jeremiah,</t>
  </si>
  <si>
    <t>uc1.b4305473</t>
  </si>
  <si>
    <t>mdp.39015062731750</t>
  </si>
  <si>
    <t>001283012</t>
  </si>
  <si>
    <t>Supervised study in English for junior high school grades,</t>
  </si>
  <si>
    <t>McGregor, Anne Laura,</t>
  </si>
  <si>
    <t>nyp.33433069253643</t>
  </si>
  <si>
    <t>uc1.b301259</t>
  </si>
  <si>
    <t>uc1.b305850</t>
  </si>
  <si>
    <t>uc2.ark:/13960/t45q5592n</t>
  </si>
  <si>
    <t>mdp.39015062349298</t>
  </si>
  <si>
    <t>001283022</t>
  </si>
  <si>
    <t>1933-1939</t>
  </si>
  <si>
    <t>mdp.39015062731578</t>
  </si>
  <si>
    <t>001283033</t>
  </si>
  <si>
    <t>Psychology of the teaching of English,</t>
  </si>
  <si>
    <t>Shreve, Francis.</t>
  </si>
  <si>
    <t>loc.ark:/13960/t4th9bg7q</t>
  </si>
  <si>
    <t>001283039</t>
  </si>
  <si>
    <t>mdp.39015038703222</t>
  </si>
  <si>
    <t>001280451</t>
  </si>
  <si>
    <t>Education through the imagination.</t>
  </si>
  <si>
    <t>McMillan, Margaret.</t>
  </si>
  <si>
    <t>mdp.39015062755536</t>
  </si>
  <si>
    <t>001281414</t>
  </si>
  <si>
    <t>Word mastery: a course in phonics for the first three grades,</t>
  </si>
  <si>
    <t>Akin, Florence,</t>
  </si>
  <si>
    <t>uc1.b3130491</t>
  </si>
  <si>
    <t>uc2.ark:/13960/t6g162g2g</t>
  </si>
  <si>
    <t>mdp.39015076598708</t>
  </si>
  <si>
    <t>001281583</t>
  </si>
  <si>
    <t>Course of study.</t>
  </si>
  <si>
    <t>mdp.39015062812634</t>
  </si>
  <si>
    <t>001281865</t>
  </si>
  <si>
    <t>How to teach phonics /</t>
  </si>
  <si>
    <t>Dougherty, Mary Lorette,</t>
  </si>
  <si>
    <t>uc1.b239378</t>
  </si>
  <si>
    <t>nyp.33433069253601</t>
  </si>
  <si>
    <t>001281904</t>
  </si>
  <si>
    <t>The psychology and pedagogy of reading.</t>
  </si>
  <si>
    <t>Huey, Edmund Burke,</t>
  </si>
  <si>
    <t>mdp.39015062701332</t>
  </si>
  <si>
    <t>001281974</t>
  </si>
  <si>
    <t>How to teach spelling /</t>
  </si>
  <si>
    <t>Breed, Frederick S.</t>
  </si>
  <si>
    <t>mdp.39015003989152</t>
  </si>
  <si>
    <t>001281977</t>
  </si>
  <si>
    <t>The child and his spelling; an investigation of the psychology of spelling, individual and sex differences in spelling abilities and needs, the character and range of the spelling vocabulary, and the practical problems of teaching spelling,</t>
  </si>
  <si>
    <t>Cook, William Adelbert,</t>
  </si>
  <si>
    <t>uc1.b239392</t>
  </si>
  <si>
    <t>uc1.b305388</t>
  </si>
  <si>
    <t>uc2.ark:/13960/t17m06h90</t>
  </si>
  <si>
    <t>wu.89011049434</t>
  </si>
  <si>
    <t>mdp.39015031678660</t>
  </si>
  <si>
    <t>001281980</t>
  </si>
  <si>
    <t>The psychology and teaching of spelling /</t>
  </si>
  <si>
    <t>Foran, Thomas George,</t>
  </si>
  <si>
    <t>uc1.b4238426</t>
  </si>
  <si>
    <t>mdp.39015025339857</t>
  </si>
  <si>
    <t>001281981</t>
  </si>
  <si>
    <t>A list of spelling difficulties in 3876 words ...</t>
  </si>
  <si>
    <t>mdp.39015031678678</t>
  </si>
  <si>
    <t>001281982</t>
  </si>
  <si>
    <t>Generalization and transfer in spelling,</t>
  </si>
  <si>
    <t>uc1.b4091310</t>
  </si>
  <si>
    <t>mdp.39015070542322</t>
  </si>
  <si>
    <t>001281988</t>
  </si>
  <si>
    <t>The effects of negative practice on the acquisition and retention of material in a self-instructional program of spelling,</t>
  </si>
  <si>
    <t>Meyn, Constance F.</t>
  </si>
  <si>
    <t>mdp.39015074170617</t>
  </si>
  <si>
    <t>001281989</t>
  </si>
  <si>
    <t>Creative teaching in the field of spelling:</t>
  </si>
  <si>
    <t>Miller, Helen R.</t>
  </si>
  <si>
    <t>uc1.b73036</t>
  </si>
  <si>
    <t>loc.ark:/13960/t8pc3gx01</t>
  </si>
  <si>
    <t>001281992</t>
  </si>
  <si>
    <t>A guide to the teaching of spelling.</t>
  </si>
  <si>
    <t>Pryor, Hugh Clark.</t>
  </si>
  <si>
    <t>mdp.39015062803369</t>
  </si>
  <si>
    <t>uc1.b308903</t>
  </si>
  <si>
    <t>uc2.ark:/13960/t0qr4sd5q</t>
  </si>
  <si>
    <t>loc.ark:/13960/t4km04654</t>
  </si>
  <si>
    <t>001281994</t>
  </si>
  <si>
    <t>mdp.39015005179653</t>
  </si>
  <si>
    <t>mdp.39015014619046</t>
  </si>
  <si>
    <t>uc2.ark:/13960/t71v5p17n</t>
  </si>
  <si>
    <t>mdp.39015022646890</t>
  </si>
  <si>
    <t>001221907</t>
  </si>
  <si>
    <t>The English, Dionysian, and Hellenic pronunciations of Greek,</t>
  </si>
  <si>
    <t>uc1.b255183</t>
  </si>
  <si>
    <t>uc2.ark:/13960/t78s4nn3g</t>
  </si>
  <si>
    <t>mdp.39015051096132</t>
  </si>
  <si>
    <t>001221934</t>
  </si>
  <si>
    <t>The principles of sound and inflexion as illustrated in the Greek and Latin languages,</t>
  </si>
  <si>
    <t>King, J. E.</t>
  </si>
  <si>
    <t>nyp.33433082186390</t>
  </si>
  <si>
    <t>miun.afe7024.0001.001</t>
  </si>
  <si>
    <t>001222144</t>
  </si>
  <si>
    <t>Greek influence on English poetry /</t>
  </si>
  <si>
    <t>uc1.b158059</t>
  </si>
  <si>
    <t>uc2.ark:/13960/t2p55gf37</t>
  </si>
  <si>
    <t>mdp.39015027648743</t>
  </si>
  <si>
    <t>001222405</t>
  </si>
  <si>
    <t>Extemporary speech in antiquity ...</t>
  </si>
  <si>
    <t>Brown, Hazel Louise,</t>
  </si>
  <si>
    <t>uc1.b14701</t>
  </si>
  <si>
    <t>uc2.ark:/13960/t2q52h537</t>
  </si>
  <si>
    <t>mdp.39015004947233</t>
  </si>
  <si>
    <t>001222610</t>
  </si>
  <si>
    <t>The Rhetoric of Aristotle /</t>
  </si>
  <si>
    <t>mdp.39015005000263</t>
  </si>
  <si>
    <t>mdp.39015005004216</t>
  </si>
  <si>
    <t>mdp.39015005325314</t>
  </si>
  <si>
    <t>mdp.39015013395630</t>
  </si>
  <si>
    <t>mdp.39015013425254</t>
  </si>
  <si>
    <t>mdp.39015015356457</t>
  </si>
  <si>
    <t>nyp.33433022673234</t>
  </si>
  <si>
    <t>v. 2 (1877)</t>
  </si>
  <si>
    <t>mdp.39015004800457</t>
  </si>
  <si>
    <t>001222922</t>
  </si>
  <si>
    <t>The wrath of Achilleus,</t>
  </si>
  <si>
    <t>Homer.</t>
  </si>
  <si>
    <t>uc2.ark:/13960/t1wd3t92b</t>
  </si>
  <si>
    <t>mdp.39015073736905</t>
  </si>
  <si>
    <t>001226653</t>
  </si>
  <si>
    <t>Alliteration in Italian ...</t>
  </si>
  <si>
    <t>Taylor, Robert Longley.</t>
  </si>
  <si>
    <t>uc2.ark:/13960/t2d79d077</t>
  </si>
  <si>
    <t>mdp.39015013290013</t>
  </si>
  <si>
    <t>001227301</t>
  </si>
  <si>
    <t>The Elizabethan translations of Seneca's tragedies</t>
  </si>
  <si>
    <t>Simpson, Evelyn Mary Spearing,</t>
  </si>
  <si>
    <t>uc2.ark:/13960/t9q242p56</t>
  </si>
  <si>
    <t>mdp.39015030577319</t>
  </si>
  <si>
    <t>001231746</t>
  </si>
  <si>
    <t>Antonius Rhetor on versification ...</t>
  </si>
  <si>
    <t>Sprengling, Martin.</t>
  </si>
  <si>
    <t>uc1.b31622</t>
  </si>
  <si>
    <t>uc2.ark:/13960/t5bc3w19r</t>
  </si>
  <si>
    <t>mdp.39015050602534</t>
  </si>
  <si>
    <t>001232157</t>
  </si>
  <si>
    <t>The Pepet law in Philippine languages ...</t>
  </si>
  <si>
    <t>Conant, Carlos Everett,</t>
  </si>
  <si>
    <t>miun.aff7168.0001.001</t>
  </si>
  <si>
    <t>nyp.33433010500811</t>
  </si>
  <si>
    <t>uc2.ark:/13960/t5j96590m</t>
  </si>
  <si>
    <t>mdp.39015008975446</t>
  </si>
  <si>
    <t>001245149</t>
  </si>
  <si>
    <t>Malay phonetics.</t>
  </si>
  <si>
    <t>Fokker, Abraham Anthony,</t>
  </si>
  <si>
    <t>mdp.39015062756427</t>
  </si>
  <si>
    <t>001280280</t>
  </si>
  <si>
    <t>The psychology of the common branches. -- with abstracts of the source material,</t>
  </si>
  <si>
    <t>Pyle, William Henry,</t>
  </si>
  <si>
    <t>uc1.b262662</t>
  </si>
  <si>
    <t>uc1.b256919</t>
  </si>
  <si>
    <t>uc2.ark:/13960/t5p849q56</t>
  </si>
  <si>
    <t>uc1.b257526</t>
  </si>
  <si>
    <t>001201316</t>
  </si>
  <si>
    <t>Practical French phonetics,</t>
  </si>
  <si>
    <t>Macirone, Teresa,</t>
  </si>
  <si>
    <t>uc2.ark:/13960/t9377904x</t>
  </si>
  <si>
    <t>hvd.32044102851128</t>
  </si>
  <si>
    <t>001201383</t>
  </si>
  <si>
    <t>A grammar of the French language, with practical exercises.</t>
  </si>
  <si>
    <t>Wanostrocht, Nicolas.</t>
  </si>
  <si>
    <t>mdp.39015065422621</t>
  </si>
  <si>
    <t>nyp.33433070242155</t>
  </si>
  <si>
    <t>001201389</t>
  </si>
  <si>
    <t>Army French; an introduction to spoken French for men in military service,</t>
  </si>
  <si>
    <t>Wilkins, Ernest Hatch,</t>
  </si>
  <si>
    <t>uc1.b309341</t>
  </si>
  <si>
    <t>mdp.39015024853577</t>
  </si>
  <si>
    <t>001201405</t>
  </si>
  <si>
    <t>Vers libre a logical development of French verse,</t>
  </si>
  <si>
    <t>Dondo, Mathurin Marius,</t>
  </si>
  <si>
    <t>mdp.39015028699455</t>
  </si>
  <si>
    <t>001201422</t>
  </si>
  <si>
    <t>Phonetic French reader;</t>
  </si>
  <si>
    <t>Ballard, Anna Woods.</t>
  </si>
  <si>
    <t>miun.afc6228.0001.001</t>
  </si>
  <si>
    <t>001201441</t>
  </si>
  <si>
    <t>French prose and poetry.</t>
  </si>
  <si>
    <t>Magill, Edward Hicks,</t>
  </si>
  <si>
    <t>mdp.39015006561594</t>
  </si>
  <si>
    <t>001202605</t>
  </si>
  <si>
    <t>Three centuries of French poetic theory : a critical history of the chief arts of poetry in France (1328-1630) /</t>
  </si>
  <si>
    <t>pt.3-4</t>
  </si>
  <si>
    <t>Patterson, Warner Forrest,</t>
  </si>
  <si>
    <t>mdp.39015006562006</t>
  </si>
  <si>
    <t>pt.1-2</t>
  </si>
  <si>
    <t>mdp.39015033174676</t>
  </si>
  <si>
    <t>001205305</t>
  </si>
  <si>
    <t>Alliteration in the Chanson de Roland and in the Carmen de prodicione Guenonis.</t>
  </si>
  <si>
    <t>Krappe, Alexander Haggerty,</t>
  </si>
  <si>
    <t>uc1.$b617396</t>
  </si>
  <si>
    <t>uc2.ark:/13960/t0wp9xp47</t>
  </si>
  <si>
    <t>mdp.39015008708508</t>
  </si>
  <si>
    <t>001210794</t>
  </si>
  <si>
    <t>Structure of French,</t>
  </si>
  <si>
    <t>Mueller, Theodore H.</t>
  </si>
  <si>
    <t>mdp.39015010751967</t>
  </si>
  <si>
    <t>001220508</t>
  </si>
  <si>
    <t>Versification of the cuaderna vía as found in Berceo's Vida de Santo Domingo de Silos,</t>
  </si>
  <si>
    <t>Fitz-Gerald, John Driscoll,</t>
  </si>
  <si>
    <t>mdp.39015005273373</t>
  </si>
  <si>
    <t>001220813</t>
  </si>
  <si>
    <t>Cicero's Manilian law;</t>
  </si>
  <si>
    <t>Cicero, Marcus Tullius.</t>
  </si>
  <si>
    <t>mdp.39015004198597</t>
  </si>
  <si>
    <t>001221382</t>
  </si>
  <si>
    <t>Seneca's De remediis fortuitorum and the Elizabethans...</t>
  </si>
  <si>
    <t>Palmer, Ralph Graham.</t>
  </si>
  <si>
    <t>mdp.39015002157132</t>
  </si>
  <si>
    <t>001221455</t>
  </si>
  <si>
    <t>Tacitus, and other Roman studies,</t>
  </si>
  <si>
    <t>Boissier, Gaston,</t>
  </si>
  <si>
    <t>nyp.33433081616686</t>
  </si>
  <si>
    <t>loc.ark:/13960/t4cn7p19k</t>
  </si>
  <si>
    <t>001221667</t>
  </si>
  <si>
    <t>Vergil and the English poets,</t>
  </si>
  <si>
    <t>Nitchie, Elizabeth,</t>
  </si>
  <si>
    <t>Applied phonetics.</t>
  </si>
  <si>
    <t>Wise, Claude Merton,</t>
  </si>
  <si>
    <t>mdp.39015026957137</t>
  </si>
  <si>
    <t>001193590</t>
  </si>
  <si>
    <t>Connectives of English speech;</t>
  </si>
  <si>
    <t>Fernald, James Champlin,</t>
  </si>
  <si>
    <t>mdp.39015030759438</t>
  </si>
  <si>
    <t>nyp.33433069257073</t>
  </si>
  <si>
    <t>uc1.b258150</t>
  </si>
  <si>
    <t>uc2.ark:/13960/t0pr7zv5f</t>
  </si>
  <si>
    <t>uc2.ark:/13960/t6c24tk4j</t>
  </si>
  <si>
    <t>mdp.39015026844616</t>
  </si>
  <si>
    <t>001193594</t>
  </si>
  <si>
    <t>Writing well ...</t>
  </si>
  <si>
    <t>Greenough, Chester Noyes,</t>
  </si>
  <si>
    <t>uc1.b3140688</t>
  </si>
  <si>
    <t>mdp.39015019108300</t>
  </si>
  <si>
    <t>001193606</t>
  </si>
  <si>
    <t>Phrasal patterns in English prose</t>
  </si>
  <si>
    <t>Scott, John Hubert.</t>
  </si>
  <si>
    <t>mdp.39015065158308</t>
  </si>
  <si>
    <t>mdp.39015005179513</t>
  </si>
  <si>
    <t>001193609</t>
  </si>
  <si>
    <t>A history of English versification,</t>
  </si>
  <si>
    <t>Schipper, Jakob,</t>
  </si>
  <si>
    <t>mdp.39015051372293</t>
  </si>
  <si>
    <t>001193610</t>
  </si>
  <si>
    <t>Blank verse,</t>
  </si>
  <si>
    <t>Symonds, John Addington,</t>
  </si>
  <si>
    <t>mdp.39015067253230</t>
  </si>
  <si>
    <t>001193611</t>
  </si>
  <si>
    <t>The rhyming dictionary of the English language, in which the whole language is arranged according to its terminations with an index of allowable rhymes.</t>
  </si>
  <si>
    <t>Wallker, John,</t>
  </si>
  <si>
    <t>uc1.32106007512731</t>
  </si>
  <si>
    <t>mdp.39015031030623</t>
  </si>
  <si>
    <t>001193612</t>
  </si>
  <si>
    <t>Contested etymologies in the dictionary of the Rev. W. W. Skeat.</t>
  </si>
  <si>
    <t>nyp.33433081968442</t>
  </si>
  <si>
    <t>uc1.b4093329</t>
  </si>
  <si>
    <t>uc2.ark:/13960/t74t6h092</t>
  </si>
  <si>
    <t>mdp.39015058560452</t>
  </si>
  <si>
    <t>001193690</t>
  </si>
  <si>
    <t>German orthography and phonology;</t>
  </si>
  <si>
    <t>Hempl, George,</t>
  </si>
  <si>
    <t>mdp.39015077909227</t>
  </si>
  <si>
    <t>001198254</t>
  </si>
  <si>
    <t>Sudermanns' treatment of verse,</t>
  </si>
  <si>
    <t>Cannon, Harry Sharp,</t>
  </si>
  <si>
    <t>njp.32101073050625</t>
  </si>
  <si>
    <t>uc1.b4089130</t>
  </si>
  <si>
    <t>uc2.ark:/13960/t8jd51m5w</t>
  </si>
  <si>
    <t>mdp.39015030045861</t>
  </si>
  <si>
    <t>001198530</t>
  </si>
  <si>
    <t>Georg Rudolf Weckherlin:</t>
  </si>
  <si>
    <t>Schaffer, Aaron,</t>
  </si>
  <si>
    <t>mdp.39015030045853</t>
  </si>
  <si>
    <t>001198531</t>
  </si>
  <si>
    <t>Georg Rudolf Weckherlin,</t>
  </si>
  <si>
    <t>mdp.39015030061975</t>
  </si>
  <si>
    <t>001199671</t>
  </si>
  <si>
    <t>The phonology of the Elis saga ...</t>
  </si>
  <si>
    <t>Jones, Jessie Louise.</t>
  </si>
  <si>
    <t>uc1.b4156511</t>
  </si>
  <si>
    <t>uc2.ark:/13960/t59c7451s</t>
  </si>
  <si>
    <t>mdp.39015065544838</t>
  </si>
  <si>
    <t>001201182</t>
  </si>
  <si>
    <t>French diction for singers and speakers,</t>
  </si>
  <si>
    <t>Arnold, William Harkness.</t>
  </si>
  <si>
    <t>uc1.b309342</t>
  </si>
  <si>
    <t>uc2.ark:/13960/t1fj2f51g</t>
  </si>
  <si>
    <t>nyp.33433075910426</t>
  </si>
  <si>
    <t>001201266</t>
  </si>
  <si>
    <t>French pronunciation;</t>
  </si>
  <si>
    <t>Geddes, James,</t>
  </si>
  <si>
    <t>uc1.32106001579140</t>
  </si>
  <si>
    <t>001183433</t>
  </si>
  <si>
    <t>The pronunciation of English in the Atlantic States; based upon the collections of the linguistic atlas of the Eastern United States.</t>
  </si>
  <si>
    <t>Kurath, Hans,</t>
  </si>
  <si>
    <t>mdp.39015042484991</t>
  </si>
  <si>
    <t>001185516</t>
  </si>
  <si>
    <t>A defence of poetry,</t>
  </si>
  <si>
    <t>Shelley, Percy Bysshe,</t>
  </si>
  <si>
    <t>mdp.39015009040398</t>
  </si>
  <si>
    <t>001186165</t>
  </si>
  <si>
    <t>Alliteration in Spenser's poetry discussed and compared with the alliteration as employed by Drayton and Daniel...</t>
  </si>
  <si>
    <t>Spencer, Virginia Eviline,</t>
  </si>
  <si>
    <t>uc1.b3525082</t>
  </si>
  <si>
    <t>mdp.39015008487459</t>
  </si>
  <si>
    <t>001187847</t>
  </si>
  <si>
    <t>Toward an Augustan poetic : Edmund Waller's "reform" of English poetry.</t>
  </si>
  <si>
    <t>Allison, Alexander W.</t>
  </si>
  <si>
    <t>mdp.39015030717741</t>
  </si>
  <si>
    <t>uc1.b3567482</t>
  </si>
  <si>
    <t>uc1.b4929569</t>
  </si>
  <si>
    <t>mdp.39015030717980</t>
  </si>
  <si>
    <t>001188402</t>
  </si>
  <si>
    <t>Walt Whitman,</t>
  </si>
  <si>
    <t>mdp.39015030042447</t>
  </si>
  <si>
    <t>001188577</t>
  </si>
  <si>
    <t>By-ways round Helison, : a kind of anthology,.</t>
  </si>
  <si>
    <t>Williams, Iolo Aneurin.</t>
  </si>
  <si>
    <t>uc2.ark:/13960/t8x924q1s</t>
  </si>
  <si>
    <t>mdp.39015010349713</t>
  </si>
  <si>
    <t>001188942</t>
  </si>
  <si>
    <t>English childhood; Wordsworth's treatment of childhood in the light of English poetry from Prior to Crabbe.</t>
  </si>
  <si>
    <t>Babenroth, Adolph Charles,</t>
  </si>
  <si>
    <t>mdp.39015005324457</t>
  </si>
  <si>
    <t>001189128</t>
  </si>
  <si>
    <t>Ideas of good and evil.</t>
  </si>
  <si>
    <t>Yeats, W. B.</t>
  </si>
  <si>
    <t>uc1.b4107789</t>
  </si>
  <si>
    <t>uc2.ark:/13960/t6k07824h</t>
  </si>
  <si>
    <t>mdp.39015002669391</t>
  </si>
  <si>
    <t>001189376</t>
  </si>
  <si>
    <t>The sounds and history of the German language /</t>
  </si>
  <si>
    <t>Prokosch, Eduard,</t>
  </si>
  <si>
    <t>nyp.33433075922678</t>
  </si>
  <si>
    <t>mdp.39015019082190</t>
  </si>
  <si>
    <t>001189589</t>
  </si>
  <si>
    <t>On vowel alliteration in the old Germanic languages.</t>
  </si>
  <si>
    <t>Classen, Ernest,</t>
  </si>
  <si>
    <t>mdp.39015005147858</t>
  </si>
  <si>
    <t>001193575</t>
  </si>
  <si>
    <t>An advanced English grammar, with exercises,</t>
  </si>
  <si>
    <t>Kittredge, George Lyman,</t>
  </si>
  <si>
    <t>nyp.33433069256331</t>
  </si>
  <si>
    <t>uc1.32106001572517</t>
  </si>
  <si>
    <t>mdp.39015003888735</t>
  </si>
  <si>
    <t>001193576</t>
  </si>
  <si>
    <t>Current English usage,</t>
  </si>
  <si>
    <t>Leonard, Sterling Andrus,</t>
  </si>
  <si>
    <t>mdp.39015010300955</t>
  </si>
  <si>
    <t>uc1.$b627046</t>
  </si>
  <si>
    <t>mdp.39015014603669</t>
  </si>
  <si>
    <t>001193586</t>
  </si>
  <si>
    <t>Modern spoken English; an advanced practice book.</t>
  </si>
  <si>
    <t>Crowell, Thomas Lee.</t>
  </si>
  <si>
    <t>uc1.32106001573507</t>
  </si>
  <si>
    <t>001193589</t>
  </si>
  <si>
    <t>Mackey, Mary Stuart.</t>
  </si>
  <si>
    <t>njp.32101042221554</t>
  </si>
  <si>
    <t>nyp.33433044077976</t>
  </si>
  <si>
    <t>mdp.39015001569717</t>
  </si>
  <si>
    <t>001183057</t>
  </si>
  <si>
    <t>A special help to orthographie,</t>
  </si>
  <si>
    <t>Hodges, Richard,</t>
  </si>
  <si>
    <t>njp.32101061812242</t>
  </si>
  <si>
    <t>001183074</t>
  </si>
  <si>
    <t>The philosophy of rhetoric.</t>
  </si>
  <si>
    <t>njp.32101061812259</t>
  </si>
  <si>
    <t>mdp.39015065774781</t>
  </si>
  <si>
    <t>001183077</t>
  </si>
  <si>
    <t>Wilson's Arte of rhetorique, 1560.</t>
  </si>
  <si>
    <t>Wilson, Thomas,</t>
  </si>
  <si>
    <t>uc1.b4093244</t>
  </si>
  <si>
    <t>uc1.b4097387</t>
  </si>
  <si>
    <t>mdp.39015065840038</t>
  </si>
  <si>
    <t>001183087</t>
  </si>
  <si>
    <t>Creative communication.</t>
  </si>
  <si>
    <t>Cady, Edwin Laird.</t>
  </si>
  <si>
    <t>wu.89048451850</t>
  </si>
  <si>
    <t>mdp.39015004344456</t>
  </si>
  <si>
    <t>001183103</t>
  </si>
  <si>
    <t>Communication, handling ideas effectively</t>
  </si>
  <si>
    <t>Johnson, Roy Ivan,</t>
  </si>
  <si>
    <t>mdp.39015031013629</t>
  </si>
  <si>
    <t>mdp.39015072136404</t>
  </si>
  <si>
    <t>001183118</t>
  </si>
  <si>
    <t>The Perrin-Smith handbook of current English,</t>
  </si>
  <si>
    <t>Perrin, Porter Gale,</t>
  </si>
  <si>
    <t>mdp.39015004560994</t>
  </si>
  <si>
    <t>001183124</t>
  </si>
  <si>
    <t>Fundamentals of communication; an integrated approach /</t>
  </si>
  <si>
    <t>Thompson, Wayne N.</t>
  </si>
  <si>
    <t>uc1.b4094164</t>
  </si>
  <si>
    <t>mdp.39015048998895</t>
  </si>
  <si>
    <t>001183131</t>
  </si>
  <si>
    <t>Writer's guide and index to English,</t>
  </si>
  <si>
    <t>mdp.39015013237576</t>
  </si>
  <si>
    <t>001183146</t>
  </si>
  <si>
    <t>Expository writing,</t>
  </si>
  <si>
    <t>Curl, Mervin James.</t>
  </si>
  <si>
    <t>mdp.39015031013280</t>
  </si>
  <si>
    <t>uc1.b258276</t>
  </si>
  <si>
    <t>uc2.ark:/13960/t1hh6pc2b</t>
  </si>
  <si>
    <t>uc1.b258635</t>
  </si>
  <si>
    <t>001183181</t>
  </si>
  <si>
    <t>The composition of technical papers,</t>
  </si>
  <si>
    <t>Watt, Homer Andrew.</t>
  </si>
  <si>
    <t>uc2.ark:/13960/t22b8z17v</t>
  </si>
  <si>
    <t>njp.32101013960255</t>
  </si>
  <si>
    <t>001183263</t>
  </si>
  <si>
    <t>Illustrations of English philology. I. A critical examination of Dr. Johnson's dictionary ... II. Remarks on Mr. Dugald Stewart's essay "On the tendency of some late philological speculations" ...</t>
  </si>
  <si>
    <t>Richardson, Charles,</t>
  </si>
  <si>
    <t>uc2.ark:/13960/t14m95x1k</t>
  </si>
  <si>
    <t>uc2.ark:/13960/t5gb20073</t>
  </si>
  <si>
    <t>001183276</t>
  </si>
  <si>
    <t>A complete dictionary of the English language, both with regard to sound and meaning ... To which is prefixed a prosodial grammar.</t>
  </si>
  <si>
    <t>uc2.ark:/13960/t82j69r6w</t>
  </si>
  <si>
    <t>mdp.39015025887848</t>
  </si>
  <si>
    <t>001183286</t>
  </si>
  <si>
    <t>The imperial dictionary of the English language:</t>
  </si>
  <si>
    <t>Ogilvie, John,</t>
  </si>
  <si>
    <t>mdp.39015025887855</t>
  </si>
  <si>
    <t>mdp.39015025887863</t>
  </si>
  <si>
    <t>mdp.39015025887871</t>
  </si>
  <si>
    <t>Historical outlines of English phonology and Middle English grammar : for courses in Chaucer, Middle English, and the history of the English language /</t>
  </si>
  <si>
    <t>Moore, Samuel,</t>
  </si>
  <si>
    <t>uc2.ark:/13960/t51g0t50g</t>
  </si>
  <si>
    <t>mdp.39015005089308</t>
  </si>
  <si>
    <t>001183023</t>
  </si>
  <si>
    <t>Historical outlines of English sounds and inflections;</t>
  </si>
  <si>
    <t>mdp.39015046445360</t>
  </si>
  <si>
    <t>mdp.39015005770865</t>
  </si>
  <si>
    <t>001183024</t>
  </si>
  <si>
    <t>A history of English sounds from the earliest period, with full word-lists,</t>
  </si>
  <si>
    <t>Sweet, Henry,</t>
  </si>
  <si>
    <t>mdp.39015065774799</t>
  </si>
  <si>
    <t>uc1.32106001573341</t>
  </si>
  <si>
    <t>uc1.b4097698</t>
  </si>
  <si>
    <t>mdp.39015013275030</t>
  </si>
  <si>
    <t>001183026</t>
  </si>
  <si>
    <t>English visible speech in twelve lessons ...</t>
  </si>
  <si>
    <t>nyp.33433074391263</t>
  </si>
  <si>
    <t>uc2.ark:/13960/t7kp8568j</t>
  </si>
  <si>
    <t>coo.31924012980375</t>
  </si>
  <si>
    <t>001183042</t>
  </si>
  <si>
    <t>On early English pronunciation, with special reference to Shakspere and Chaucer, containing an investigation of the correspondence of writing with speech in England, from the Anglosaxon period to the present day, preceded by a systematic notation of all spoken sounds by means of the ordinary printing types.</t>
  </si>
  <si>
    <t>no.7</t>
  </si>
  <si>
    <t>coo.31924012980383</t>
  </si>
  <si>
    <t>no.14</t>
  </si>
  <si>
    <t>hvd.32044072003056</t>
  </si>
  <si>
    <t>v.4 (1874)</t>
  </si>
  <si>
    <t>hvd.32044072003064</t>
  </si>
  <si>
    <t>v.5 (1889)</t>
  </si>
  <si>
    <t>hvd.32044072003072</t>
  </si>
  <si>
    <t>v.2-3 (1869)</t>
  </si>
  <si>
    <t>mdp.39015001526410</t>
  </si>
  <si>
    <t>mdp.39015003498337</t>
  </si>
  <si>
    <t>mdp.39015003498352</t>
  </si>
  <si>
    <t>mdp.39015034115371</t>
  </si>
  <si>
    <t>mdp.39015066547855</t>
  </si>
  <si>
    <t>mdp.39015078118786</t>
  </si>
  <si>
    <t>mdp.39015078118794</t>
  </si>
  <si>
    <t>njp.32101074756709</t>
  </si>
  <si>
    <t>uc1.32106014328139</t>
  </si>
  <si>
    <t>mdp.39015058601207</t>
  </si>
  <si>
    <t>001183045</t>
  </si>
  <si>
    <t>mdp.39015023517447</t>
  </si>
  <si>
    <t>001183046</t>
  </si>
  <si>
    <t>American pronunciation /</t>
  </si>
  <si>
    <t>uc1.32106001573424</t>
  </si>
  <si>
    <t>mdp.39015015175915</t>
  </si>
  <si>
    <t>001183048</t>
  </si>
  <si>
    <t>The pronunciation of standard English in America,</t>
  </si>
  <si>
    <t>Krapp, George Philip,</t>
  </si>
  <si>
    <t>mdp.39015018000706</t>
  </si>
  <si>
    <t>uc1.32106001573580</t>
  </si>
  <si>
    <t>uc1.b4091635</t>
  </si>
  <si>
    <t>uc2.ark:/13960/t7gq72x78</t>
  </si>
  <si>
    <t>mdp.39015058601199</t>
  </si>
  <si>
    <t>001183051</t>
  </si>
  <si>
    <t>The pronunciation of 10,000 proper names, giving famous geographical and biographical names, names of books, works of art, characters in fiction, foreign titles, etc.</t>
  </si>
  <si>
    <t>mdp.39015033682496</t>
  </si>
  <si>
    <t>001169192</t>
  </si>
  <si>
    <t>Hand-list of early English books, mostly of the Elizabethan period.</t>
  </si>
  <si>
    <t>mdp.39015033682363</t>
  </si>
  <si>
    <t>001169216</t>
  </si>
  <si>
    <t>The first printed translations into English of the great foreign classics; a supplement to text-books of English literature.</t>
  </si>
  <si>
    <t>Harris, William James.</t>
  </si>
  <si>
    <t>mdp.39015059718513</t>
  </si>
  <si>
    <t>001171699</t>
  </si>
  <si>
    <t>Improving language arts instruction through research</t>
  </si>
  <si>
    <t>Shane, Harold Gray,</t>
  </si>
  <si>
    <t>mdp.39015073717657</t>
  </si>
  <si>
    <t>001172944</t>
  </si>
  <si>
    <t>Bibliography of speech education,</t>
  </si>
  <si>
    <t>Thonssen, Lester,</t>
  </si>
  <si>
    <t>mdp.39015033564165</t>
  </si>
  <si>
    <t>001175119</t>
  </si>
  <si>
    <t>Popular shorthand or steno-phonography.</t>
  </si>
  <si>
    <t>mdp.39015034595036</t>
  </si>
  <si>
    <t>001176987</t>
  </si>
  <si>
    <t>Poetry explication; a checklist of interpretation since 1925 of British and American poems past and present,</t>
  </si>
  <si>
    <t>Kuntz, Joseph Marshall,</t>
  </si>
  <si>
    <t>mdp.39015067282635</t>
  </si>
  <si>
    <t>mdp.39015065773940</t>
  </si>
  <si>
    <t>001181005</t>
  </si>
  <si>
    <t>Progress in language : with special reference to English /</t>
  </si>
  <si>
    <t>Jespersen, Otto,</t>
  </si>
  <si>
    <t>mdp.39015008624333</t>
  </si>
  <si>
    <t>001181315</t>
  </si>
  <si>
    <t>The pronunciation of Greek and Latin,</t>
  </si>
  <si>
    <t>Sturtevant, Edgar Howard,</t>
  </si>
  <si>
    <t>uc1.32106001524138</t>
  </si>
  <si>
    <t>mdp.39015005562528</t>
  </si>
  <si>
    <t>001181670</t>
  </si>
  <si>
    <t>Dionysius of Halicarnassus On literary composition, being the Greek text of the De compositione verborvm, edited with introduction, translation, notes, glossary, and appendices, by W. Rhys Roberts</t>
  </si>
  <si>
    <t>Dionysius,</t>
  </si>
  <si>
    <t>mdp.39015010828906</t>
  </si>
  <si>
    <t>001182037</t>
  </si>
  <si>
    <t>Seneca and Elizabethan tragedy /</t>
  </si>
  <si>
    <t>Lucas, F. L.</t>
  </si>
  <si>
    <t>uc2.ark:/13960/t0tq62h28</t>
  </si>
  <si>
    <t>mdp.39015014622149</t>
  </si>
  <si>
    <t>001182702</t>
  </si>
  <si>
    <t>Concerning French verse;</t>
  </si>
  <si>
    <t>Clarke, Charles Cameron,</t>
  </si>
  <si>
    <t>mdp.39015065772827</t>
  </si>
  <si>
    <t>nyp.33433082285903</t>
  </si>
  <si>
    <t>uc2.ark:/13960/t9s17xx4m</t>
  </si>
  <si>
    <t>mdp.39015031030250</t>
  </si>
  <si>
    <t>001182936</t>
  </si>
  <si>
    <t>A history of modern colloquial English,</t>
  </si>
  <si>
    <t>mdp.39015078153643</t>
  </si>
  <si>
    <t>uc1.b40593</t>
  </si>
  <si>
    <t>uc2.ark:/13960/t5fb4zr8g</t>
  </si>
  <si>
    <t>nyp.33433081988747</t>
  </si>
  <si>
    <t>001182969</t>
  </si>
  <si>
    <t>An improved grammar of the English language.</t>
  </si>
  <si>
    <t>Webster, Noah,</t>
  </si>
  <si>
    <t>uc1.b3540920</t>
  </si>
  <si>
    <t>001183022</t>
  </si>
  <si>
    <t>hvd.hxg8jz</t>
  </si>
  <si>
    <t>001169066</t>
  </si>
  <si>
    <t>Restituta : or, Titles, extracts, and characters of old books in English literature revived /</t>
  </si>
  <si>
    <t>hvd.hxg8k1</t>
  </si>
  <si>
    <t>hvd.hxg8k2</t>
  </si>
  <si>
    <t>mdp.39015074634117</t>
  </si>
  <si>
    <t>mdp.39015074634125</t>
  </si>
  <si>
    <t>mdp.39015074634133</t>
  </si>
  <si>
    <t>mdp.39015074634299</t>
  </si>
  <si>
    <t>uc2.ark:/13960/t0pr7qx8w</t>
  </si>
  <si>
    <t>uc2.ark:/13960/t3513z787</t>
  </si>
  <si>
    <t>v.0001</t>
  </si>
  <si>
    <t>uc2.ark:/13960/t3kw5bt0n</t>
  </si>
  <si>
    <t>v.0004</t>
  </si>
  <si>
    <t>uc2.ark:/13960/t3ws8mw6n</t>
  </si>
  <si>
    <t>v.0003</t>
  </si>
  <si>
    <t>mdp.39015033689814</t>
  </si>
  <si>
    <t>001169068</t>
  </si>
  <si>
    <t>A survey of the bibliography of English literature, 1475-1640, with especial reference to the work of the Bibliographical society of London,</t>
  </si>
  <si>
    <t>Cole, George Watson,</t>
  </si>
  <si>
    <t>uc1.b72328</t>
  </si>
  <si>
    <t>uc2.ark:/13960/t7tm73x3t</t>
  </si>
  <si>
    <t>001169070</t>
  </si>
  <si>
    <t>Bibliographical memoranda; in illustration of early English literature ...</t>
  </si>
  <si>
    <t>Fry, John,</t>
  </si>
  <si>
    <t>nyp.33433074796644</t>
  </si>
  <si>
    <t>001169071</t>
  </si>
  <si>
    <t>Catalogve of original and early editions of some of the poetical and prose works of English writers from Langland to Wither; with collations &amp; notes, &amp; eighty-seven facsimiles of title-pages and frontispieces; being a contribution to the bibliography of English literature.</t>
  </si>
  <si>
    <t>uc2.ark:/13960/t3pv6hp3b</t>
  </si>
  <si>
    <t>nyp.33433074796578</t>
  </si>
  <si>
    <t>001169072</t>
  </si>
  <si>
    <t>Catalogue of original and early editions of some of the poetical and prose works of English writers from Wither to Prior.</t>
  </si>
  <si>
    <t>nyp.33433074796586</t>
  </si>
  <si>
    <t>nyp.33433074796594</t>
  </si>
  <si>
    <t>uc1.b3537729</t>
  </si>
  <si>
    <t>uc1.b3537730</t>
  </si>
  <si>
    <t>uc1.b3537731</t>
  </si>
  <si>
    <t>uc2.ark:/13960/t55d90s7z</t>
  </si>
  <si>
    <t>uc2.ark:/13960/t80k2jx48</t>
  </si>
  <si>
    <t>uc2.ark:/13960/t9668n60s</t>
  </si>
  <si>
    <t>mdp.39015033689780</t>
  </si>
  <si>
    <t>001169074</t>
  </si>
  <si>
    <t>Collections and notes, 1867-1876;</t>
  </si>
  <si>
    <t>Hazlitt, William Carew,</t>
  </si>
  <si>
    <t>nyp.33433074796792</t>
  </si>
  <si>
    <t>copy 1</t>
  </si>
  <si>
    <t>uc1.b4229680</t>
  </si>
  <si>
    <t>uc1.b4229637</t>
  </si>
  <si>
    <t>001169080</t>
  </si>
  <si>
    <t>English books &amp; books printed in England before 1641, in the Newberry library; a supplement to the record in the Short title catalogue,</t>
  </si>
  <si>
    <t>uc1.$b658901</t>
  </si>
  <si>
    <t>001169085</t>
  </si>
  <si>
    <t>Catalogue of early English books : chiefly of the Elizabethan period /</t>
  </si>
  <si>
    <t>White, William Augustus,</t>
  </si>
  <si>
    <t>uc1.b4229679</t>
  </si>
  <si>
    <t>Catalogue of books in the John Rylands library, Manchester, printed in England, Scotland and Ireland, and of books in English printed abroad to the end of the year 1640.</t>
  </si>
  <si>
    <t>uc2.ark:/13960/t5x63rp19</t>
  </si>
  <si>
    <t>uc2.ark:/13960/t9b56mk1x</t>
  </si>
  <si>
    <t>001168968</t>
  </si>
  <si>
    <t>A short catalogue of English books in Archbishop Marsh's library, Dublin, printed before MDCXLI /</t>
  </si>
  <si>
    <t>mdp.39015023945788</t>
  </si>
  <si>
    <t>001168977</t>
  </si>
  <si>
    <t>Early English books in the Georgetown University Library; a checklist of the 1540-1640 period.</t>
  </si>
  <si>
    <t>mdp.39015078263145</t>
  </si>
  <si>
    <t>001168979</t>
  </si>
  <si>
    <t>Short-title catalogue of books printed in England, Scotland, Ireland, Wales, and British America and of English books printed in other countries, 1641-1700 /</t>
  </si>
  <si>
    <t>Wing, Donald Goddard,</t>
  </si>
  <si>
    <t>mdp.39015078263152</t>
  </si>
  <si>
    <t>mdp.39015078263160</t>
  </si>
  <si>
    <t>index</t>
  </si>
  <si>
    <t>mdp.39015033678478</t>
  </si>
  <si>
    <t>001168983</t>
  </si>
  <si>
    <t>Check list of English books,</t>
  </si>
  <si>
    <t>mdp.39015078263210</t>
  </si>
  <si>
    <t>001168985</t>
  </si>
  <si>
    <t>A transcript of the registers of the Company of Stationers of London, 1554-1640, A.D. Edited by Edward Arber.</t>
  </si>
  <si>
    <t>mdp.39015078263228</t>
  </si>
  <si>
    <t>mdp.39015033678437</t>
  </si>
  <si>
    <t>001168987</t>
  </si>
  <si>
    <t>A transcript of the registers of the worshipful Company of stationers : from 1640-1708 A. D. ...</t>
  </si>
  <si>
    <t>mdp.39015033678445</t>
  </si>
  <si>
    <t>mdp.39015033678452</t>
  </si>
  <si>
    <t>mdp.39015033678395</t>
  </si>
  <si>
    <t>001168991</t>
  </si>
  <si>
    <t>The term catalogues, 1668-1709 A.D. ; with a number for Easter term, 1711 A.D. : a contemporary bibliography of English literature in the reigns of Charles II, James II, William and Mary, and Anne /</t>
  </si>
  <si>
    <t>mdp.39015033678403</t>
  </si>
  <si>
    <t>mdp.39015033678411</t>
  </si>
  <si>
    <t>nyp.33433031039997</t>
  </si>
  <si>
    <t>mdp.39015033689855</t>
  </si>
  <si>
    <t>001169059</t>
  </si>
  <si>
    <t>Bibliographical sketch of Anglo-Saxon literature.</t>
  </si>
  <si>
    <t>hvd.hxg8ju</t>
  </si>
  <si>
    <t>001169065</t>
  </si>
  <si>
    <t>The British bibliographer.</t>
  </si>
  <si>
    <t>Brydges, Egerton,</t>
  </si>
  <si>
    <t>hvd.hxg8jv</t>
  </si>
  <si>
    <t>hvd.hxg8jw</t>
  </si>
  <si>
    <t>hvd.hxg8jx</t>
  </si>
  <si>
    <t>nyp.33433074792247</t>
  </si>
  <si>
    <t>nyp.33433074792254</t>
  </si>
  <si>
    <t>v. 2 (1812)</t>
  </si>
  <si>
    <t>nyp.33433074792262</t>
  </si>
  <si>
    <t>v. 1 (1810)</t>
  </si>
  <si>
    <t>nyp.33433074792502</t>
  </si>
  <si>
    <t>uc2.ark:/13960/t3dz06f85</t>
  </si>
  <si>
    <t>uc2.ark:/13960/t3jw89w1f</t>
  </si>
  <si>
    <t>uc2.ark:/13960/t41r6rc3j</t>
  </si>
  <si>
    <t>001113006</t>
  </si>
  <si>
    <t>Tendencies in modern American poetry /</t>
  </si>
  <si>
    <t>uc1.b3515378</t>
  </si>
  <si>
    <t>copy 3</t>
  </si>
  <si>
    <t>mdp.39015067035959</t>
  </si>
  <si>
    <t>001125436</t>
  </si>
  <si>
    <t>Report writing,</t>
  </si>
  <si>
    <t>Gaum, Carl G.</t>
  </si>
  <si>
    <t>uc1.b14795</t>
  </si>
  <si>
    <t>mdp.39015010555665</t>
  </si>
  <si>
    <t>001159997</t>
  </si>
  <si>
    <t>Hand-lists of books printed by London printers, 1501-1556 /</t>
  </si>
  <si>
    <t>pt.1-3</t>
  </si>
  <si>
    <t>mdp.39015047473981</t>
  </si>
  <si>
    <t>mdp.39015033595805</t>
  </si>
  <si>
    <t>001161327</t>
  </si>
  <si>
    <t>Author's &amp; printer's dictionary; a guide for authors,</t>
  </si>
  <si>
    <t>Collins, F. Howard</t>
  </si>
  <si>
    <t>mdp.39015033595789</t>
  </si>
  <si>
    <t>001161328</t>
  </si>
  <si>
    <t>Author &amp; printer. A guide for authors,</t>
  </si>
  <si>
    <t>uc1.b242042</t>
  </si>
  <si>
    <t>uc2.ark:/13960/t53f4pc47</t>
  </si>
  <si>
    <t>uva.x004506955</t>
  </si>
  <si>
    <t>mdp.39015033646061</t>
  </si>
  <si>
    <t>001166243</t>
  </si>
  <si>
    <t>A catalogue of the curious and extensive library of the late James Bindley, esq., F.S.A. ...</t>
  </si>
  <si>
    <t>Bindley, James,</t>
  </si>
  <si>
    <t>mdp.39015079885912</t>
  </si>
  <si>
    <t>001166440</t>
  </si>
  <si>
    <t>Auction prices of books;</t>
  </si>
  <si>
    <t>Livingston, Luther Samuel,</t>
  </si>
  <si>
    <t>mdp.39015079885920</t>
  </si>
  <si>
    <t>mdp.39015079885938</t>
  </si>
  <si>
    <t>mdp.39015079885946</t>
  </si>
  <si>
    <t>nyp.33433082019146</t>
  </si>
  <si>
    <t>nyp.33433082019153</t>
  </si>
  <si>
    <t>nyp.33433082019161</t>
  </si>
  <si>
    <t>nyp.33433082019179</t>
  </si>
  <si>
    <t>uc1.b4230430</t>
  </si>
  <si>
    <t>uc1.b4230431</t>
  </si>
  <si>
    <t>uc1.b4230432</t>
  </si>
  <si>
    <t>uc1.b4230433</t>
  </si>
  <si>
    <t>uc2.ark:/13960/t0xp78j06</t>
  </si>
  <si>
    <t>uc2.ark:/13960/t22b9908d</t>
  </si>
  <si>
    <t>uc2.ark:/13960/t3xs6045d</t>
  </si>
  <si>
    <t>uc2.ark:/13960/t6ww7nt8m</t>
  </si>
  <si>
    <t>mdp.39015067190218</t>
  </si>
  <si>
    <t>001167267</t>
  </si>
  <si>
    <t>The poetry of our own times,</t>
  </si>
  <si>
    <t>uc1.b316549</t>
  </si>
  <si>
    <t>uc1.b4229632</t>
  </si>
  <si>
    <t>001168961</t>
  </si>
  <si>
    <t>Catalogue of books in the library of the British Museum, printed in England, Scotland, and Ireland and of books in English printed abroad to the year 1640.</t>
  </si>
  <si>
    <t>uc1.b4229633</t>
  </si>
  <si>
    <t>uc1.b4229634</t>
  </si>
  <si>
    <t>mdp.39015033678510</t>
  </si>
  <si>
    <t>001168963</t>
  </si>
  <si>
    <t>A list of the early printed books : and an index of the English books printed before the year MDC. in the library of Gonville and Caius College, Cambridge.</t>
  </si>
  <si>
    <t>njp.32101041573716</t>
  </si>
  <si>
    <t>001168964</t>
  </si>
  <si>
    <t>Early English printed books in the University Library, Cambridge (1475-1640).</t>
  </si>
  <si>
    <t>njp.32101041573724</t>
  </si>
  <si>
    <t>njp.32101041573732</t>
  </si>
  <si>
    <t>njp.32101041573740</t>
  </si>
  <si>
    <t>njp.32101073226209</t>
  </si>
  <si>
    <t>001168967</t>
  </si>
  <si>
    <t>Italian popular comedy: a study in the Commedia dell'arte, 1560-1620, with special reference to the English stage.</t>
  </si>
  <si>
    <t>Lea, Kathleen Marguerite.</t>
  </si>
  <si>
    <t>mdp.39015005865848</t>
  </si>
  <si>
    <t>mdp.39015008539481</t>
  </si>
  <si>
    <t>mdp.39015066582688</t>
  </si>
  <si>
    <t>mdp.39015066582696</t>
  </si>
  <si>
    <t>mdp.39015066578900</t>
  </si>
  <si>
    <t>001111855</t>
  </si>
  <si>
    <t>English epic and heroic poetry /</t>
  </si>
  <si>
    <t>mdp.39015063820859</t>
  </si>
  <si>
    <t>001111859</t>
  </si>
  <si>
    <t>The Jacobean poets.</t>
  </si>
  <si>
    <t>uc1.b4095480</t>
  </si>
  <si>
    <t>uc2.ark:/13960/t2j67mf28</t>
  </si>
  <si>
    <t>mdp.39015067092893</t>
  </si>
  <si>
    <t>001111860</t>
  </si>
  <si>
    <t>From Shakespeare to Pope; an inquiry into the causes and phenomena of the rise of classical poetry in England,</t>
  </si>
  <si>
    <t>uc1.b158048</t>
  </si>
  <si>
    <t>uc2.ark:/13960/t6f19559w</t>
  </si>
  <si>
    <t>mdp.39015016457122</t>
  </si>
  <si>
    <t>001111862</t>
  </si>
  <si>
    <t>The English romantic poets : a review of research /</t>
  </si>
  <si>
    <t>mdp.39015053668698</t>
  </si>
  <si>
    <t>mdp.39015065526280</t>
  </si>
  <si>
    <t>mdp.39015065526298</t>
  </si>
  <si>
    <t>uc1.b63539</t>
  </si>
  <si>
    <t>001111872</t>
  </si>
  <si>
    <t>The Shakespeare symphony : an introduction to the ethics of the Elizabethan drama;</t>
  </si>
  <si>
    <t>Bayley, Harold.</t>
  </si>
  <si>
    <t>uc2.ark:/13960/t78s4p20t</t>
  </si>
  <si>
    <t>mdp.39015002263955</t>
  </si>
  <si>
    <t>001111873</t>
  </si>
  <si>
    <t>Elizabethan plays and players /</t>
  </si>
  <si>
    <t>Harrison, G. B.</t>
  </si>
  <si>
    <t>mdp.39015005640340</t>
  </si>
  <si>
    <t>inu.32000011323815</t>
  </si>
  <si>
    <t>001111881</t>
  </si>
  <si>
    <t>Induction to tragedy; a study in a development of form in Gorboduc, The Spanish tragedy and Titus Andronicus</t>
  </si>
  <si>
    <t>Baker, Howard,</t>
  </si>
  <si>
    <t>uc1.b3528474</t>
  </si>
  <si>
    <t>loc.ark:/13960/t3029c281</t>
  </si>
  <si>
    <t>001112298</t>
  </si>
  <si>
    <t>The metre of Macbeth : its relation to Shakespeare's earlier and later work /</t>
  </si>
  <si>
    <t>Chambers, David Laurance,</t>
  </si>
  <si>
    <t>mdp.39015008841028</t>
  </si>
  <si>
    <t>uc1.b27290</t>
  </si>
  <si>
    <t>uc2.ark:/13960/t3416vz7r</t>
  </si>
  <si>
    <t>mdp.39015032053921</t>
  </si>
  <si>
    <t>001112320</t>
  </si>
  <si>
    <t>John Webster and the Elizabethan drama /</t>
  </si>
  <si>
    <t>Brooke, Rupert,</t>
  </si>
  <si>
    <t>uc1.b4109089</t>
  </si>
  <si>
    <t>uc2.ark:/13960/t3bz6c34g</t>
  </si>
  <si>
    <t>uc2.ark:/13960/t2j67dk51</t>
  </si>
  <si>
    <t>001112402</t>
  </si>
  <si>
    <t>mdp.39015077952151</t>
  </si>
  <si>
    <t>001112841</t>
  </si>
  <si>
    <t>John Keats : his life and poetry, his friends, critics and afterfame /</t>
  </si>
  <si>
    <t>Colvin, Sidney,</t>
  </si>
  <si>
    <t>mdp.39015035436149</t>
  </si>
  <si>
    <t>001113002</t>
  </si>
  <si>
    <t>American prosody,</t>
  </si>
  <si>
    <t>Allen, Gay Wilson,</t>
  </si>
  <si>
    <t>mdp.39015012063627</t>
  </si>
  <si>
    <r>
      <t>The VishD</t>
    </r>
    <r>
      <rPr>
        <sz val="10"/>
        <rFont val="ヒラギノ角ゴ ProN W6"/>
        <charset val="128"/>
      </rPr>
      <t>_x0001_</t>
    </r>
    <r>
      <rPr>
        <sz val="10"/>
        <rFont val="Verdana"/>
      </rPr>
      <t>u PuráD</t>
    </r>
    <r>
      <rPr>
        <sz val="10"/>
        <rFont val="ヒラギノ角ゴ ProN W6"/>
        <charset val="128"/>
      </rPr>
      <t>_x0001_</t>
    </r>
    <r>
      <rPr>
        <sz val="10"/>
        <rFont val="Verdana"/>
      </rPr>
      <t>a : a system of Hindu mythology and tradition /</t>
    </r>
  </si>
  <si>
    <t>mdp.39015005857324</t>
  </si>
  <si>
    <t>mdp.39015005857332</t>
  </si>
  <si>
    <t>v.5 pt.1</t>
  </si>
  <si>
    <t>mdp.39015034346539</t>
  </si>
  <si>
    <t>mdp.39015034346547</t>
  </si>
  <si>
    <t>mdp.39015066289839</t>
  </si>
  <si>
    <t>v.5 pt.2</t>
  </si>
  <si>
    <t>uc1.b4023192</t>
  </si>
  <si>
    <t>uc1.b4023193</t>
  </si>
  <si>
    <t>uc1.b4023194</t>
  </si>
  <si>
    <t>uc1.b4023195</t>
  </si>
  <si>
    <t>v.5:2</t>
  </si>
  <si>
    <t>mdp.39015051109711</t>
  </si>
  <si>
    <t>001059090</t>
  </si>
  <si>
    <t>An elementary guide to Russian pronunciation /</t>
  </si>
  <si>
    <t>Noyes, George Rapall,</t>
  </si>
  <si>
    <t>uc1.$b430274</t>
  </si>
  <si>
    <t>mdp.39015010303009</t>
  </si>
  <si>
    <t>001059173</t>
  </si>
  <si>
    <t>Russian alphabet and phonetics.</t>
  </si>
  <si>
    <t>Stillman, Leon.</t>
  </si>
  <si>
    <t>mdp.39015066972491</t>
  </si>
  <si>
    <t>mdp.39015008865647</t>
  </si>
  <si>
    <t>001066739</t>
  </si>
  <si>
    <t>A cyclopedia of education /</t>
  </si>
  <si>
    <t>Monroe, Paul,</t>
  </si>
  <si>
    <t>mdp.39015008865654</t>
  </si>
  <si>
    <t>mdp.39015008868211</t>
  </si>
  <si>
    <t>umn.31951d001568391</t>
  </si>
  <si>
    <t>uva.x000677620</t>
  </si>
  <si>
    <t>mdp.39015028770694</t>
  </si>
  <si>
    <t>001071857</t>
  </si>
  <si>
    <t>The phonology of the Spanish dialect of Mexico City ... /</t>
  </si>
  <si>
    <t>Marden, C. Carroll</t>
  </si>
  <si>
    <t>uc1.$b778699</t>
  </si>
  <si>
    <t>yale.39002085767987</t>
  </si>
  <si>
    <t>mdp.39015066650626</t>
  </si>
  <si>
    <t>001076011</t>
  </si>
  <si>
    <t>On English and French versification /</t>
  </si>
  <si>
    <t>Bobé, D.</t>
  </si>
  <si>
    <t>mdp.39015063986502</t>
  </si>
  <si>
    <t>001076017</t>
  </si>
  <si>
    <t>A history of French versification,</t>
  </si>
  <si>
    <t>Kastner, Leon Emile.</t>
  </si>
  <si>
    <t>nyp.33433082132725</t>
  </si>
  <si>
    <t>uc1.32106001558714</t>
  </si>
  <si>
    <t>uc2.ark:/13960/t82j6n224</t>
  </si>
  <si>
    <t>mdp.39015070460061</t>
  </si>
  <si>
    <t>001086480</t>
  </si>
  <si>
    <t>English in America.</t>
  </si>
  <si>
    <t>mdp.39015070471613</t>
  </si>
  <si>
    <t>001086766</t>
  </si>
  <si>
    <t>The utility of Anglo-Saxon literature : with King Alfred's Geography of Europe.</t>
  </si>
  <si>
    <t>Ingram, James.</t>
  </si>
  <si>
    <t>mdp.39015001991457</t>
  </si>
  <si>
    <t>001110942</t>
  </si>
  <si>
    <t>On editing Shakespeare and the Elizabethan dramatists.</t>
  </si>
  <si>
    <t>Bowers, Fredson.</t>
  </si>
  <si>
    <t>mdp.39015001991556</t>
  </si>
  <si>
    <t>mdp.39015003892877</t>
  </si>
  <si>
    <t>001111073</t>
  </si>
  <si>
    <t>The philosophy of rhetoric /</t>
  </si>
  <si>
    <t>Campbell, George,</t>
  </si>
  <si>
    <t>mdp.39015021557908</t>
  </si>
  <si>
    <t>mdp.39015021557916</t>
  </si>
  <si>
    <t>mdp.39015005272771</t>
  </si>
  <si>
    <t>001111283</t>
  </si>
  <si>
    <t>Pre-restoration stage studies,</t>
  </si>
  <si>
    <t>Lawrence, William J.</t>
  </si>
  <si>
    <t>mdp.39015005321313</t>
  </si>
  <si>
    <t>uc1.b3528466</t>
  </si>
  <si>
    <t>mdp.39015001578593</t>
  </si>
  <si>
    <t>001111527</t>
  </si>
  <si>
    <t>Dear sir (or dear madam) : who happen to glance at this title-page printed you'll see to enhance its aesthetic attraction, pray buy, if you're able, this excellent bargain, A critical fable : the book may be read in the light of a sequel to the "Fable for critics" a volume unequal (or hitherto so) for its quips and digressions on the poets of the day, without undue professions, I would say that this treatise is fully as light as the former, its judgments as certainly right as need be ; a hodge-podge delivered primarily in the hope of instilling instruction so airily that readers may see, in the persons on view, a peripatetic, poetic Who's who ; an account of the times /</t>
  </si>
  <si>
    <t>Lowell, Amy,</t>
  </si>
  <si>
    <t>uc2.ark:/13960/t81j9807x</t>
  </si>
  <si>
    <t>umn.319510016320851</t>
  </si>
  <si>
    <t>mdp.39015034652472</t>
  </si>
  <si>
    <t>001054215</t>
  </si>
  <si>
    <t>From Latin to Portuguese;</t>
  </si>
  <si>
    <t>Williams, Edwin Bucher,</t>
  </si>
  <si>
    <t>mdp.39015009325427</t>
  </si>
  <si>
    <t>001054684</t>
  </si>
  <si>
    <t>The sounds of Latin, a descriptive and historical phonology.</t>
  </si>
  <si>
    <t>Kent, Roland G.</t>
  </si>
  <si>
    <t>mdp.39015062742583</t>
  </si>
  <si>
    <t>001055805</t>
  </si>
  <si>
    <t>Chrestomathia;</t>
  </si>
  <si>
    <t>Bentham, Jeremy,</t>
  </si>
  <si>
    <t>mdp.39015002651621</t>
  </si>
  <si>
    <t>001056787</t>
  </si>
  <si>
    <t>From Latin to Portuguese:</t>
  </si>
  <si>
    <t>uc1.b3828410</t>
  </si>
  <si>
    <t>mdp.39015005636777</t>
  </si>
  <si>
    <t>001057778</t>
  </si>
  <si>
    <t>The phonology of Italian, Spanish, and French / by Harry A. Deferrari.</t>
  </si>
  <si>
    <t>Deferrari, Harry Austin.</t>
  </si>
  <si>
    <t>mdp.39015002165812</t>
  </si>
  <si>
    <t>001057993</t>
  </si>
  <si>
    <t>Practical hints on the quantitative pronunciation of Latin. For the use of classical teachers and linguists.</t>
  </si>
  <si>
    <t>uc1.b253201</t>
  </si>
  <si>
    <t>uc2.ark:/13960/t9d50k11p</t>
  </si>
  <si>
    <t>mdp.39015016881354</t>
  </si>
  <si>
    <t>001057996</t>
  </si>
  <si>
    <t>The three pronunciations of Latin: the claims of each presented, and reasons given for the use of the English mode.</t>
  </si>
  <si>
    <t>Fisher, Michael Montgomery,</t>
  </si>
  <si>
    <t>mdp.39015012848761</t>
  </si>
  <si>
    <t>001058017</t>
  </si>
  <si>
    <t>The sounds of Latin; a descriptive and historical phonology.</t>
  </si>
  <si>
    <t>mdp.39015062931699</t>
  </si>
  <si>
    <t>001058032</t>
  </si>
  <si>
    <t>The Roman pronunciation of Latin; why we use it and how to use it,</t>
  </si>
  <si>
    <t>Lord, Frances Ellen,</t>
  </si>
  <si>
    <t>mdp.39015002983800</t>
  </si>
  <si>
    <t>001058598</t>
  </si>
  <si>
    <t>001023353</t>
  </si>
  <si>
    <t>nyp.33433074950712</t>
  </si>
  <si>
    <t>nyp.33433074950720</t>
  </si>
  <si>
    <t>nyp.33433074950738</t>
  </si>
  <si>
    <t>hvd.hx3v4d</t>
  </si>
  <si>
    <t>001023384</t>
  </si>
  <si>
    <t>Shooting Niagara : and after? /</t>
  </si>
  <si>
    <t>hvd.32044019003797</t>
  </si>
  <si>
    <t>001023471</t>
  </si>
  <si>
    <t>The literary remains of Samuel Taylor Coleridge /</t>
  </si>
  <si>
    <t>hvd.32044019360155</t>
  </si>
  <si>
    <t>hvd.32044050957653</t>
  </si>
  <si>
    <t>nyp.33433076071004</t>
  </si>
  <si>
    <t>mdp.39015065930136</t>
  </si>
  <si>
    <t>001023487</t>
  </si>
  <si>
    <t>Specimens of the Table talk.</t>
  </si>
  <si>
    <t>nyp.33433076055809</t>
  </si>
  <si>
    <t>001024083</t>
  </si>
  <si>
    <t>The last fruit off an old tree.</t>
  </si>
  <si>
    <t>Landor, Walter Savage,</t>
  </si>
  <si>
    <t>wu.89099799116</t>
  </si>
  <si>
    <t>001024747</t>
  </si>
  <si>
    <t>Minor poets /</t>
  </si>
  <si>
    <t>Thompson, Francis,</t>
  </si>
  <si>
    <t>uc2.ark:/13960/t7sn05446</t>
  </si>
  <si>
    <t>001025242</t>
  </si>
  <si>
    <t>Prose papers /</t>
  </si>
  <si>
    <t>Drinkwater, John,</t>
  </si>
  <si>
    <t>mdp.39015053669472</t>
  </si>
  <si>
    <t>001026174</t>
  </si>
  <si>
    <t>The Dublin book of Irish verse, 1728-1909,</t>
  </si>
  <si>
    <t>uc1.b3547096</t>
  </si>
  <si>
    <t>mdp.39015011009035</t>
  </si>
  <si>
    <t>001026570</t>
  </si>
  <si>
    <t>American poetry in the eighteen nineties; a study of American verse, 1890-1899, based upon the volumes from that period contained in the Harris collection of American poetry and plays in the Brown University Library.</t>
  </si>
  <si>
    <t>Kindilien, Carlin T.</t>
  </si>
  <si>
    <t>mdp.39015008999461</t>
  </si>
  <si>
    <t>001026587</t>
  </si>
  <si>
    <t>Primitivism and decadence : a study of American experimental poetry.</t>
  </si>
  <si>
    <t>Winters, Yvor,</t>
  </si>
  <si>
    <t>uc1.b3514828</t>
  </si>
  <si>
    <t>mdp.39015031909578</t>
  </si>
  <si>
    <t>001027604</t>
  </si>
  <si>
    <t>Henry Wadsworth Longfellow,</t>
  </si>
  <si>
    <t>Carpenter, George Rice,</t>
  </si>
  <si>
    <t>uc2.ark:/13960/t1pg1jc4z</t>
  </si>
  <si>
    <t>001028800</t>
  </si>
  <si>
    <t>The succession of Shakspere's works and the use of metrical tests in settling it, &amp;c. : being the introduction to Professor Gervinus's 'Commentaries on Shakspere,' /</t>
  </si>
  <si>
    <t>Furnivall, Frederick James,</t>
  </si>
  <si>
    <t>uc2.ark:/13960/t59c72d4j</t>
  </si>
  <si>
    <t>mdp.39015024389333</t>
  </si>
  <si>
    <t>001019172</t>
  </si>
  <si>
    <t>A Shakespearian grammar; an attempt to illustrate some of the differences between Elizabethan and modern English.</t>
  </si>
  <si>
    <t>Abbott, Edwin Abbott,</t>
  </si>
  <si>
    <t>loc.ark:/13960/t6b28f794</t>
  </si>
  <si>
    <t>001019191</t>
  </si>
  <si>
    <t>Shakespeare's pronunciation [II] A Shakespeare reader in the old spelling and with a phonetic transcription,</t>
  </si>
  <si>
    <t>uc1.b272574</t>
  </si>
  <si>
    <t>uc2.ark:/13960/t14m98698</t>
  </si>
  <si>
    <t>loc.ark:/13960/t4vh62670</t>
  </si>
  <si>
    <t>001019194</t>
  </si>
  <si>
    <t>Notes on Shakespeare's versification. With appendix on the verse tests, and a short descriptiv bibliografy.</t>
  </si>
  <si>
    <t>Browne, George H.</t>
  </si>
  <si>
    <t>hvd.32044088287545</t>
  </si>
  <si>
    <t>001019230</t>
  </si>
  <si>
    <t>Notices illustrative of the drama, : and other popular amusements, chiefly in the sixteenth and seventeenth centuries, incidentally illustrating Shakespeare and his contemporaries; extracted from the chamberlains'accounts and other manuscripts of the borough of Leicester. /</t>
  </si>
  <si>
    <t>Kelly, William,</t>
  </si>
  <si>
    <t>uc1.b252726</t>
  </si>
  <si>
    <t>hvd.hwe55u</t>
  </si>
  <si>
    <t>001019919</t>
  </si>
  <si>
    <t>Critical and miscellaneous essays: collected and republished.</t>
  </si>
  <si>
    <t>hvd.hwe55v</t>
  </si>
  <si>
    <t>hvd.hwe55w</t>
  </si>
  <si>
    <t>hvd.hwe55x</t>
  </si>
  <si>
    <t>mdp.39015030713765</t>
  </si>
  <si>
    <t>001020141</t>
  </si>
  <si>
    <t>Contemporaries of Shakespeare,</t>
  </si>
  <si>
    <t>Swinburne, Algernon Charles,</t>
  </si>
  <si>
    <t>uc1.b4110075</t>
  </si>
  <si>
    <t>uc2.ark:/13960/t6251kq6h</t>
  </si>
  <si>
    <t>uc1.b3515157</t>
  </si>
  <si>
    <t>001020623</t>
  </si>
  <si>
    <t>The first century of New England verse,</t>
  </si>
  <si>
    <t>Jantz, Harold Stein,</t>
  </si>
  <si>
    <t>mdp.39015008733860</t>
  </si>
  <si>
    <t>001022139</t>
  </si>
  <si>
    <t>The poetry of John Dryden / by Mark Van Doren. -</t>
  </si>
  <si>
    <t>Van Doren, Mark,</t>
  </si>
  <si>
    <t>dul1.ark:/13960/t6640f496</t>
  </si>
  <si>
    <t>001022883</t>
  </si>
  <si>
    <t>Voyage to Locuta; a fragment: with etchings and notes of illustration.</t>
  </si>
  <si>
    <t>Graham, Elizabeth Susanna Davenport,</t>
  </si>
  <si>
    <t>mdp.39015078568634</t>
  </si>
  <si>
    <t>mdp.39015062917508</t>
  </si>
  <si>
    <t>001023060</t>
  </si>
  <si>
    <t>Essays in criticism. Second series,</t>
  </si>
  <si>
    <t>nyp.33433074950704</t>
  </si>
  <si>
    <t>nyp.33433076043524</t>
  </si>
  <si>
    <t>nyp.33433076043532</t>
  </si>
  <si>
    <t>nyp.33433076043540</t>
  </si>
  <si>
    <t>v. 5</t>
  </si>
  <si>
    <t>nyp.33433076043557</t>
  </si>
  <si>
    <t>v. 6</t>
  </si>
  <si>
    <t>nyp.33433076043565</t>
  </si>
  <si>
    <t>v. 7</t>
  </si>
  <si>
    <t>nyp.33433076043573</t>
  </si>
  <si>
    <t>v. 8</t>
  </si>
  <si>
    <t>nyp.33433076043581</t>
  </si>
  <si>
    <t>v. 9</t>
  </si>
  <si>
    <t>nyp.33433076043599</t>
  </si>
  <si>
    <t>v. 10</t>
  </si>
  <si>
    <t>nyp.33433076043607</t>
  </si>
  <si>
    <t>v. 11</t>
  </si>
  <si>
    <t>nyp.33433076043615</t>
  </si>
  <si>
    <t>v. 12</t>
  </si>
  <si>
    <t>nyp.33433076043623</t>
  </si>
  <si>
    <t>v. 13</t>
  </si>
  <si>
    <t>nyp.33433076043631</t>
  </si>
  <si>
    <t>v. 14</t>
  </si>
  <si>
    <t>nyp.33433076043649</t>
  </si>
  <si>
    <t>v. 15</t>
  </si>
  <si>
    <t>nyp.33433076043656</t>
  </si>
  <si>
    <t>v. 16</t>
  </si>
  <si>
    <t>nyp.33433074834551</t>
  </si>
  <si>
    <t>001016962</t>
  </si>
  <si>
    <t>Specimens of the later English poets, with preliminary notices.</t>
  </si>
  <si>
    <t>Southey, Robert,</t>
  </si>
  <si>
    <t>nyp.33433074834569</t>
  </si>
  <si>
    <t>nyp.33433074834577</t>
  </si>
  <si>
    <t>nyp.33433074860689</t>
  </si>
  <si>
    <t>001017276</t>
  </si>
  <si>
    <t>Mirror for magistrates, in five parts ... collated with various editions, and historical notes, &amp;c.,</t>
  </si>
  <si>
    <t>nyp.33433074860697</t>
  </si>
  <si>
    <t>nyp.33433074860705</t>
  </si>
  <si>
    <t>loc.ark:/13960/t2x35994b</t>
  </si>
  <si>
    <t>001017959</t>
  </si>
  <si>
    <t>The construction and types of Shakespeare's verse as seen in the Othello,</t>
  </si>
  <si>
    <t>Price, Thomas R.</t>
  </si>
  <si>
    <t>mdp.39015024475777</t>
  </si>
  <si>
    <t>hvd.hnle2j</t>
  </si>
  <si>
    <t>001018314</t>
  </si>
  <si>
    <t>Memoirs of the life of William Shakespeare, with an essay toward the expression of his genius, and an account of the rise and progress of the English drama.</t>
  </si>
  <si>
    <t>White, Richard Grant,</t>
  </si>
  <si>
    <t>hvd.hwpa95</t>
  </si>
  <si>
    <t>loc.ark:/13960/t8ff4g35k</t>
  </si>
  <si>
    <t>uc1.b272530</t>
  </si>
  <si>
    <t>mdp.39015059674351</t>
  </si>
  <si>
    <t>001018325</t>
  </si>
  <si>
    <t>Shakespeare manual /</t>
  </si>
  <si>
    <t>uc1.b272654</t>
  </si>
  <si>
    <t>uc2.ark:/13960/t86h4h08m</t>
  </si>
  <si>
    <t>mdp.39015008376900</t>
  </si>
  <si>
    <t>001018403</t>
  </si>
  <si>
    <t>Shakespeare and his day : a study of the topical element in Shakespeare and in the Elizabethan drama : being the Harness Prize essay, 1901.</t>
  </si>
  <si>
    <t>De Rothschild, J. A.</t>
  </si>
  <si>
    <t>mdp.39015015371894</t>
  </si>
  <si>
    <t>uc1.b272591</t>
  </si>
  <si>
    <t>uc2.ark:/13960/t0ft8h81d</t>
  </si>
  <si>
    <t>uc1.b121134</t>
  </si>
  <si>
    <t>001018601</t>
  </si>
  <si>
    <t>Sir Francis Bacon; poet, philosopher, statesman, lawyer, wit.</t>
  </si>
  <si>
    <t>uc2.ark:/13960/t6nz8bt6t</t>
  </si>
  <si>
    <t>uc1.b3564893</t>
  </si>
  <si>
    <t>001018698</t>
  </si>
  <si>
    <t>Poetry in our time /</t>
  </si>
  <si>
    <t>Deutsch, Babette,</t>
  </si>
  <si>
    <t>uc1.b3622870</t>
  </si>
  <si>
    <t>mdp.39015030759255</t>
  </si>
  <si>
    <t>001016560</t>
  </si>
  <si>
    <t>The realistic revolt in modern poetry,</t>
  </si>
  <si>
    <t>Clark, Arthur Melville.</t>
  </si>
  <si>
    <t>mdp.39015062406288</t>
  </si>
  <si>
    <t>uc1.b63430</t>
  </si>
  <si>
    <t>mdp.39015030766243</t>
  </si>
  <si>
    <t>001016603</t>
  </si>
  <si>
    <t>University drama in the Tudor age,</t>
  </si>
  <si>
    <t>Boas, Frederick S.</t>
  </si>
  <si>
    <t>mdp.39015015387064</t>
  </si>
  <si>
    <t>001016604</t>
  </si>
  <si>
    <t>Dramatic publication in England, 1580-1640 : a study of conditions affecting content and form of drama /</t>
  </si>
  <si>
    <t>Albright, Evelyn May,</t>
  </si>
  <si>
    <t>mdp.39015039657989</t>
  </si>
  <si>
    <t>loc.ark:/13960/t0qr5d85r</t>
  </si>
  <si>
    <t>001016606</t>
  </si>
  <si>
    <t>Tudor drama; a history of English national drama to the retirement of Shakespeare.</t>
  </si>
  <si>
    <t>Brooke, Tucker,</t>
  </si>
  <si>
    <t>mdp.39015008903612</t>
  </si>
  <si>
    <t>mdp.39015030766433</t>
  </si>
  <si>
    <t>mdp.39015078721555</t>
  </si>
  <si>
    <t>uc2.ark:/13960/t8kd1tr12</t>
  </si>
  <si>
    <t>mdp.39015002331075</t>
  </si>
  <si>
    <t>001016630</t>
  </si>
  <si>
    <t>The Elizabethan malady; a study of melancholia in English literature from 1580 to 1642.</t>
  </si>
  <si>
    <t>Babb, Lawrence,</t>
  </si>
  <si>
    <t>mdp.39015014512175</t>
  </si>
  <si>
    <t>001016637</t>
  </si>
  <si>
    <t>The villain as hero in Elizabethan tragedy,</t>
  </si>
  <si>
    <t>Boyer, Clarence Valentine,</t>
  </si>
  <si>
    <t>mdp.39015030766177</t>
  </si>
  <si>
    <t>mdp.39015005329126</t>
  </si>
  <si>
    <t>001016752</t>
  </si>
  <si>
    <t>Elizabethan critical essays /</t>
  </si>
  <si>
    <t>Smith, G. Gregory</t>
  </si>
  <si>
    <t>mdp.39015012981141</t>
  </si>
  <si>
    <t>mdp.39015018638976</t>
  </si>
  <si>
    <t>mdp.39015065731344</t>
  </si>
  <si>
    <t>mdp.39015065731351</t>
  </si>
  <si>
    <t>mdp.39015066079594</t>
  </si>
  <si>
    <t>mdp.39015066080972</t>
  </si>
  <si>
    <t>mdp.39015066081491</t>
  </si>
  <si>
    <t>mdp.39015066083570</t>
  </si>
  <si>
    <t>miun.aeh6153.0001.001</t>
  </si>
  <si>
    <t>miun.aeh6153.0002.001</t>
  </si>
  <si>
    <t>uc1.31158001207272</t>
  </si>
  <si>
    <t>uc1.31158001242733</t>
  </si>
  <si>
    <t>uc1.31158008264904</t>
  </si>
  <si>
    <t>uc1.31158010812328</t>
  </si>
  <si>
    <t>mdp.39015030759891</t>
  </si>
  <si>
    <t>001016783</t>
  </si>
  <si>
    <t>A Literary Middle English reader.</t>
  </si>
  <si>
    <t>mdp.39015066588289</t>
  </si>
  <si>
    <t>uc1.b3547175</t>
  </si>
  <si>
    <t>hvd.hn6dil</t>
  </si>
  <si>
    <t>001016838</t>
  </si>
  <si>
    <t>The Works of the English poets, from Chaucer to Cowper; including the series edited with prefaces, biographical and critical,</t>
  </si>
  <si>
    <t>v.17</t>
  </si>
  <si>
    <t>hvd.hn6dim</t>
  </si>
  <si>
    <t>v.18</t>
  </si>
  <si>
    <t>hvd.hwjrvt</t>
  </si>
  <si>
    <t>v.20</t>
  </si>
  <si>
    <t>hvd.hwjrwi</t>
  </si>
  <si>
    <t>v.21</t>
  </si>
  <si>
    <t>mdp.39015018054372</t>
  </si>
  <si>
    <t>v.19</t>
  </si>
  <si>
    <t>nyp.33433076036866</t>
  </si>
  <si>
    <t>nyp.33433076043516</t>
  </si>
  <si>
    <t>mdp.39015009059117</t>
  </si>
  <si>
    <t>001016436</t>
  </si>
  <si>
    <t>A history of English prosody from the twelfth century to the present day.</t>
  </si>
  <si>
    <t>uc1.b3515127</t>
  </si>
  <si>
    <t>uc1.b3515128</t>
  </si>
  <si>
    <t>uc1.b3515213</t>
  </si>
  <si>
    <t>uc2.ark:/13960/t2n58gk69</t>
  </si>
  <si>
    <t>uc2.ark:/13960/t4sj1n37h</t>
  </si>
  <si>
    <t>uc2.ark:/13960/t6vx0999m</t>
  </si>
  <si>
    <t>mdp.39015063742186</t>
  </si>
  <si>
    <t>001016440</t>
  </si>
  <si>
    <t>The English poetic mind.</t>
  </si>
  <si>
    <t>Williams, Charles,</t>
  </si>
  <si>
    <t>uc1.b4278866</t>
  </si>
  <si>
    <t>mdp.39015030929189</t>
  </si>
  <si>
    <t>001016443</t>
  </si>
  <si>
    <t>English poets and the national ideal : four lectures /</t>
  </si>
  <si>
    <t>De Selincourt, Ernest,</t>
  </si>
  <si>
    <t>mdp.39015063862828</t>
  </si>
  <si>
    <t>mdp.39015013413300</t>
  </si>
  <si>
    <t>001016445</t>
  </si>
  <si>
    <t>The springs of Helicon; a study in the progress of English poetry from Chaucer to Milton.</t>
  </si>
  <si>
    <t>Mackail, J. W.</t>
  </si>
  <si>
    <t>mdp.39015031007985</t>
  </si>
  <si>
    <t>mdp.39015065731641</t>
  </si>
  <si>
    <t>uc1.b158089</t>
  </si>
  <si>
    <t>uc2.ark:/13960/t0xp6xp9t</t>
  </si>
  <si>
    <t>mdp.39015031009270</t>
  </si>
  <si>
    <t>001016472</t>
  </si>
  <si>
    <t>The English lyric.</t>
  </si>
  <si>
    <t>Schelling, Felix Emmanuel,</t>
  </si>
  <si>
    <t>mdp.39015065731443</t>
  </si>
  <si>
    <t>nyp.33433074840038</t>
  </si>
  <si>
    <t>uc2.ark:/13960/t6vx0dp89</t>
  </si>
  <si>
    <t>mdp.39015067092877</t>
  </si>
  <si>
    <t>001016488</t>
  </si>
  <si>
    <t>Seventeenth century studies, a contribution to the history of English poetry,</t>
  </si>
  <si>
    <t>Gosse, Edmund,</t>
  </si>
  <si>
    <t>uc1.b3861028</t>
  </si>
  <si>
    <t>uc2.ark:/13960/t29886g6k</t>
  </si>
  <si>
    <t>mdp.39015000956667</t>
  </si>
  <si>
    <t>001016504</t>
  </si>
  <si>
    <t>Poetry &amp; dogma: the transfiguration of eucharistic symbols in seventeenth century English poetry.</t>
  </si>
  <si>
    <t>Ross, Malcolm Mackenzie.</t>
  </si>
  <si>
    <t>nyp.33433082540240</t>
  </si>
  <si>
    <t>001016510</t>
  </si>
  <si>
    <t>nyp.33433082540257</t>
  </si>
  <si>
    <t>mdp.39015065526249</t>
  </si>
  <si>
    <t>001016517</t>
  </si>
  <si>
    <t>First follow nature;</t>
  </si>
  <si>
    <t>FitzGerald, Margaret Mary,</t>
  </si>
  <si>
    <t>uc1.b4095573</t>
  </si>
  <si>
    <t>uc1.b4095470</t>
  </si>
  <si>
    <t>001016520</t>
  </si>
  <si>
    <t>The romantic assertion : a study in the language of nineteenth century poetry /</t>
  </si>
  <si>
    <t>Foakes, R. A.</t>
  </si>
  <si>
    <t>mdp.39015009237119</t>
  </si>
  <si>
    <t>001016533</t>
  </si>
  <si>
    <t>The true voice of feeling : studies in English romantic poetry /</t>
  </si>
  <si>
    <t>Read, Herbert,</t>
  </si>
  <si>
    <t>uc1.b4109180</t>
  </si>
  <si>
    <t>mdp.39015081328455</t>
  </si>
  <si>
    <t>001016536</t>
  </si>
  <si>
    <t>Appreciations of poetry.</t>
  </si>
  <si>
    <t>Hearn, Lafcadio,</t>
  </si>
  <si>
    <t>uc1.b3514921</t>
  </si>
  <si>
    <t>c.2</t>
  </si>
  <si>
    <t>uc2.ark:/13960/t38056m8d</t>
  </si>
  <si>
    <t>mdp.39015000340854</t>
  </si>
  <si>
    <t>001016546</t>
  </si>
  <si>
    <t>mdp.39015010910100</t>
  </si>
  <si>
    <t>001011028</t>
  </si>
  <si>
    <t>Castelvetro's theory of poetry /</t>
  </si>
  <si>
    <t>Charlton, H. B.</t>
  </si>
  <si>
    <t>uc1.b4097998</t>
  </si>
  <si>
    <t>uc2.ark:/13960/t02z14v47</t>
  </si>
  <si>
    <t>mdp.39015032130596</t>
  </si>
  <si>
    <t>001011073</t>
  </si>
  <si>
    <t>Methods and materials of literary criticism; lyric, epic and allied forms of poetry,</t>
  </si>
  <si>
    <t>Gayley, Charles Mills,</t>
  </si>
  <si>
    <t>mdp.39015049421012</t>
  </si>
  <si>
    <t>uc1.b3571886</t>
  </si>
  <si>
    <t>mdp.39015059791056</t>
  </si>
  <si>
    <t>001012779</t>
  </si>
  <si>
    <t>Speech construction,</t>
  </si>
  <si>
    <t>Bond, Frederick Weldon.</t>
  </si>
  <si>
    <t>mdp.39015065840020</t>
  </si>
  <si>
    <t>001012805</t>
  </si>
  <si>
    <t>How to write a speech.</t>
  </si>
  <si>
    <t>Hegarty, Edward J.</t>
  </si>
  <si>
    <t>mdp.39015063768256</t>
  </si>
  <si>
    <t>001012824</t>
  </si>
  <si>
    <t>A guide to effective public speaking /</t>
  </si>
  <si>
    <t>Mouat, Lawrence Henry,</t>
  </si>
  <si>
    <t>mdp.39015062336691</t>
  </si>
  <si>
    <t>001012859</t>
  </si>
  <si>
    <t>Public speaking, principles and practice,</t>
  </si>
  <si>
    <t>Winans, James Albert,</t>
  </si>
  <si>
    <t>uc1.$b617725</t>
  </si>
  <si>
    <t>cop.2</t>
  </si>
  <si>
    <t>uc1.b4093333</t>
  </si>
  <si>
    <t>uc2.ark:/13960/t2d79gv6s</t>
  </si>
  <si>
    <t>mdp.39015048995263</t>
  </si>
  <si>
    <t>001016183</t>
  </si>
  <si>
    <t>A dictionary of English literature : authors, anonymous works, literary terms, versification, chronology /</t>
  </si>
  <si>
    <t>Watt, Homer Andrew,</t>
  </si>
  <si>
    <t>mdp.39076006147743</t>
  </si>
  <si>
    <t>001016290</t>
  </si>
  <si>
    <t>Doctrine and poetry : Augustine's influence on old English poetry /</t>
  </si>
  <si>
    <t>Huppé, Bernard Felix,</t>
  </si>
  <si>
    <t>mdp.39015039367704</t>
  </si>
  <si>
    <t>001016307</t>
  </si>
  <si>
    <t>The secular lyric in Middle English.</t>
  </si>
  <si>
    <t>Moore, Arthur Keister,</t>
  </si>
  <si>
    <t>mdp.39015053667955</t>
  </si>
  <si>
    <t>mdp.39015020241942</t>
  </si>
  <si>
    <t>001016319</t>
  </si>
  <si>
    <t>English literature from Dryden to Burns.</t>
  </si>
  <si>
    <t>McKillop, Alan Dugald,</t>
  </si>
  <si>
    <t>mdp.39015030936697</t>
  </si>
  <si>
    <t>uc1.b3543277</t>
  </si>
  <si>
    <t>mdp.39015013284339</t>
  </si>
  <si>
    <t>001016330</t>
  </si>
  <si>
    <t>On the meaning and function of allegory in the English Renaissance.</t>
  </si>
  <si>
    <t>McClennen, Joshua,</t>
  </si>
  <si>
    <t>mdp.39015022660065</t>
  </si>
  <si>
    <t>mdp.39015067308869</t>
  </si>
  <si>
    <t>mdp.39015008281209</t>
  </si>
  <si>
    <t>001016333</t>
  </si>
  <si>
    <t>Christian mysticism in the Elizabethan age,</t>
  </si>
  <si>
    <t>Collins, Joseph Burns,</t>
  </si>
  <si>
    <t>uc1.b3539798</t>
  </si>
  <si>
    <t>mdp.39015063863701</t>
  </si>
  <si>
    <t>001016429</t>
  </si>
  <si>
    <t>A History of English poetry.</t>
  </si>
  <si>
    <t>Courthope, William John,</t>
  </si>
  <si>
    <t>mdp.39015063863719</t>
  </si>
  <si>
    <t>mdp.39015063863826</t>
  </si>
  <si>
    <t>mdp.39015063863834</t>
  </si>
  <si>
    <t>mdp.39015063863842</t>
  </si>
  <si>
    <t>Poetry and national character;</t>
  </si>
  <si>
    <t>mdp.39015063041266</t>
  </si>
  <si>
    <t>uc1.b3130527</t>
  </si>
  <si>
    <t>uc2.ark:/13960/t5bc4201w</t>
  </si>
  <si>
    <t>loc.ark:/13960/t56d6fn0b</t>
  </si>
  <si>
    <t>001004164</t>
  </si>
  <si>
    <t>On English poetry: being an irregular approach to the psychology of this art, from evidence mainly subjective,</t>
  </si>
  <si>
    <t>Graves, Robert,</t>
  </si>
  <si>
    <t>mdp.39015063793619</t>
  </si>
  <si>
    <t>mdp.39015004035120</t>
  </si>
  <si>
    <t>001004193</t>
  </si>
  <si>
    <t>Some ethical aspects of later Elizabethan tragedy:</t>
  </si>
  <si>
    <t>Colby, June Rose,</t>
  </si>
  <si>
    <t>mdp.39015024527148</t>
  </si>
  <si>
    <t>uc1.b272555</t>
  </si>
  <si>
    <t>001004491</t>
  </si>
  <si>
    <t>Bacon's nova resuscitatio; or, The unveiling of his concealed works and travels,</t>
  </si>
  <si>
    <t>Begley, Walter.</t>
  </si>
  <si>
    <t>uc1.b272556</t>
  </si>
  <si>
    <t>uc1.b272557</t>
  </si>
  <si>
    <t>uc1.b3310680</t>
  </si>
  <si>
    <t>uc1.b3310681</t>
  </si>
  <si>
    <t>uc1.b3310682</t>
  </si>
  <si>
    <t>uc2.ark:/13960/t6639r64g</t>
  </si>
  <si>
    <t>uc2.ark:/13960/t9n29v92m</t>
  </si>
  <si>
    <t>dul1.ark:/13960/t42r4p345</t>
  </si>
  <si>
    <t>001010541</t>
  </si>
  <si>
    <t>Lectures on rhetoric and oratory, delivered to the classes of senior and junior sophisters in Harvard university,</t>
  </si>
  <si>
    <t>Adams, John Quincy,</t>
  </si>
  <si>
    <t>dul1.ark:/13960/t6vx16b2t</t>
  </si>
  <si>
    <t>hvd.32044020255246</t>
  </si>
  <si>
    <t>hvd.32044020255253</t>
  </si>
  <si>
    <t>hvd.hn3a9q</t>
  </si>
  <si>
    <t>hvd.hn3aab</t>
  </si>
  <si>
    <t>hvd.hwhtv2</t>
  </si>
  <si>
    <t>hvd.hwhtv3</t>
  </si>
  <si>
    <t>uc2.ark:/13960/t18k77z0h</t>
  </si>
  <si>
    <t>v.0002</t>
  </si>
  <si>
    <t>mdp.39015005372506</t>
  </si>
  <si>
    <t>001010773</t>
  </si>
  <si>
    <t>The allegory of love : a study in medieval tradition.</t>
  </si>
  <si>
    <t>Lewis, C. S.</t>
  </si>
  <si>
    <t>mdp.39015005359313</t>
  </si>
  <si>
    <t>001010802</t>
  </si>
  <si>
    <t>Renaissance literary theory and practice : classicism in the rhetoric and poetic of Italy, France, and England, 1400-1600 /</t>
  </si>
  <si>
    <t>mdp.39015010440025</t>
  </si>
  <si>
    <t>mdp.39015012426105</t>
  </si>
  <si>
    <t>mdp.39015065773668</t>
  </si>
  <si>
    <t>mdp.39015030869450</t>
  </si>
  <si>
    <t>001010981</t>
  </si>
  <si>
    <t>A study of poetry /</t>
  </si>
  <si>
    <t>Perry, Bliss,</t>
  </si>
  <si>
    <t>mdp.39015005077428</t>
  </si>
  <si>
    <t>001011001</t>
  </si>
  <si>
    <t>Rhetoric and poetry in the renaissance; : a study of rhetorical terms in English renaissance literary criticism,.</t>
  </si>
  <si>
    <t>Clark, Donald Lemen,</t>
  </si>
  <si>
    <t>mdp.39015025899595</t>
  </si>
  <si>
    <t>mdp.39015066092837</t>
  </si>
  <si>
    <t>mdp.39015001988479</t>
  </si>
  <si>
    <t>001011004</t>
  </si>
  <si>
    <t>Aristotle on the art of poetry : an amplified version with supplementary illustrations /</t>
  </si>
  <si>
    <t>Aristotle.</t>
  </si>
  <si>
    <t>mdp.39015002981143</t>
  </si>
  <si>
    <t>mdp.39015031011003</t>
  </si>
  <si>
    <t>000946582</t>
  </si>
  <si>
    <t>Studies in early English literature /</t>
  </si>
  <si>
    <t>Washburn, Emelyn W.</t>
  </si>
  <si>
    <t>miun.aea5401.0001.001</t>
  </si>
  <si>
    <t>000947331</t>
  </si>
  <si>
    <t>Lectures on the British poets.</t>
  </si>
  <si>
    <t>Reed, Henry,</t>
  </si>
  <si>
    <t>miun.aea5401.0002.001</t>
  </si>
  <si>
    <t>mdp.39015070462430</t>
  </si>
  <si>
    <t>000947342</t>
  </si>
  <si>
    <t>West country poets : their lives and works, being an account of about four hundred verse writers of Devon and Cornwall, with poems and extracts ... /</t>
  </si>
  <si>
    <t>Wright, W. H. K.</t>
  </si>
  <si>
    <t>uc2.ark:/13960/t8z896c08</t>
  </si>
  <si>
    <t>mdp.39015005581551</t>
  </si>
  <si>
    <t>000947383</t>
  </si>
  <si>
    <t>Specimens of the early English poets : to which is prefixed, an Historical sketch of the rise and progress of the English poetry and language, /</t>
  </si>
  <si>
    <t>mdp.39015005581973</t>
  </si>
  <si>
    <t>mdp.39015005581981</t>
  </si>
  <si>
    <t>nyp.33433076037146</t>
  </si>
  <si>
    <t>nyp.33433076037153</t>
  </si>
  <si>
    <t>nyp.33433076037179</t>
  </si>
  <si>
    <t>uc2.ark:/13960/t55d8rr2t</t>
  </si>
  <si>
    <t>uc2.ark:/13960/t9q23vh8j</t>
  </si>
  <si>
    <t>mdp.39015063522836</t>
  </si>
  <si>
    <t>000949391</t>
  </si>
  <si>
    <t>Philip van Artevelde : a dramatic romance, in two parts.</t>
  </si>
  <si>
    <t>Taylor, Henry,</t>
  </si>
  <si>
    <t>miun.aeb0151.0001.001</t>
  </si>
  <si>
    <t>000952028</t>
  </si>
  <si>
    <t>Pope's Essay on criticism /</t>
  </si>
  <si>
    <t>Pope, Alexander,</t>
  </si>
  <si>
    <t>mdp.39015046455385</t>
  </si>
  <si>
    <t>000983673</t>
  </si>
  <si>
    <t>Voices of a people : Yiddish folk song /</t>
  </si>
  <si>
    <t>Rubin, Ruth.</t>
  </si>
  <si>
    <t>mdp.39015009034086</t>
  </si>
  <si>
    <t>000987410</t>
  </si>
  <si>
    <t>A manual of Sanskrit phonetics : in comparison with the Indogermanic mother-language, for the students of Germanic and classical philology / by Dr. C. C. Uhlenbeck.</t>
  </si>
  <si>
    <t>Uhlenbeck, C. C.</t>
  </si>
  <si>
    <t>mdp.39015008390398</t>
  </si>
  <si>
    <t>001002236</t>
  </si>
  <si>
    <t>Sanskrit poetics as a study of aesthetic.</t>
  </si>
  <si>
    <t>De, Sushil Kumar.</t>
  </si>
  <si>
    <t>njp.32101002995379</t>
  </si>
  <si>
    <t>001003185</t>
  </si>
  <si>
    <t>Poetry and drama.</t>
  </si>
  <si>
    <t>v.2, no.1 (Mar.1914)</t>
  </si>
  <si>
    <t>uc1.b3537733</t>
  </si>
  <si>
    <t>uc1.b3537734</t>
  </si>
  <si>
    <t>mdp.39015009329643</t>
  </si>
  <si>
    <t>001003324</t>
  </si>
  <si>
    <t>Shores of darkness,</t>
  </si>
  <si>
    <t>Hungerford, Edward Buell,</t>
  </si>
  <si>
    <t>mdp.39015030912391</t>
  </si>
  <si>
    <t>001003547</t>
  </si>
  <si>
    <t>Public speaking,</t>
  </si>
  <si>
    <t>Stratton, Clarence.</t>
  </si>
  <si>
    <t>mdp.39015062913457</t>
  </si>
  <si>
    <t>mdp.39015062402568</t>
  </si>
  <si>
    <t>001004133</t>
  </si>
  <si>
    <t>A literary history of the English people ...</t>
  </si>
  <si>
    <t>mdp.39015030930245</t>
  </si>
  <si>
    <t>001004150</t>
  </si>
  <si>
    <t>A common school grammar of the English language.</t>
  </si>
  <si>
    <t>Kerl, Simon.</t>
  </si>
  <si>
    <t>mdp.39015011426379</t>
  </si>
  <si>
    <t>000945560</t>
  </si>
  <si>
    <t>Handbook of the English language : for the use of students of the universities and higher classes of schools.</t>
  </si>
  <si>
    <t>Latham, R. G.</t>
  </si>
  <si>
    <t>mdp.39015058690721</t>
  </si>
  <si>
    <t>000945667</t>
  </si>
  <si>
    <t>New grammar of the English tongue.</t>
  </si>
  <si>
    <t>mdp.39015030926128</t>
  </si>
  <si>
    <t>000945703</t>
  </si>
  <si>
    <t>Summary of English grammar : compiled for the use of the Notting Hill high school.</t>
  </si>
  <si>
    <t>mdp.39015023260626</t>
  </si>
  <si>
    <t>000945711</t>
  </si>
  <si>
    <t>Viëtor, Wilhelm,</t>
  </si>
  <si>
    <t>mdp.39015030925369</t>
  </si>
  <si>
    <t>mdp.39015030925286</t>
  </si>
  <si>
    <t>000945712</t>
  </si>
  <si>
    <t>Practical ortheopy and critique.</t>
  </si>
  <si>
    <t>Warman, Edward Barrett,</t>
  </si>
  <si>
    <t>mdp.39015030933512</t>
  </si>
  <si>
    <t>000945717</t>
  </si>
  <si>
    <t>The functional elements of an English sentence.</t>
  </si>
  <si>
    <t>Wrightson, W.G.</t>
  </si>
  <si>
    <t>mdp.39015030934817</t>
  </si>
  <si>
    <t>000946275</t>
  </si>
  <si>
    <t>Rhythmical index to the English language : an index to all the perfect rhymes of a different orthography, and allowable rhymes of a different sound, throughout the language; with authorities for the usage of them from our best poets /</t>
  </si>
  <si>
    <t>Longmuir, John,</t>
  </si>
  <si>
    <t>mdp.39015010528654</t>
  </si>
  <si>
    <t>000946281</t>
  </si>
  <si>
    <t>Father Van's progressive dictionary for versification.</t>
  </si>
  <si>
    <t>Vandendriessche, Amandus.</t>
  </si>
  <si>
    <t>mdp.39015030934650</t>
  </si>
  <si>
    <t>000946286</t>
  </si>
  <si>
    <t>Beginnings of the classical heroic couplet in England.</t>
  </si>
  <si>
    <t>Wood, Henry,</t>
  </si>
  <si>
    <t>mdp.39015059373533</t>
  </si>
  <si>
    <t>000946300</t>
  </si>
  <si>
    <t>English language and literary criticism : a practical guide to systematic reading and study; comprising ... selections ... criticisms and ... analyses of the best ... works in the English language.</t>
  </si>
  <si>
    <t>v.1 Prose</t>
  </si>
  <si>
    <t>Baldwin, James,</t>
  </si>
  <si>
    <t>mdp.39015068057887</t>
  </si>
  <si>
    <t>v.2 Poetry</t>
  </si>
  <si>
    <t>mdp.39015058412845</t>
  </si>
  <si>
    <t>000946303</t>
  </si>
  <si>
    <t>Questions for examination in English literature : chiefly selected from college papers set in Cambridge, with an introduction on the study of English.</t>
  </si>
  <si>
    <t>Skeat, Walter W.</t>
  </si>
  <si>
    <t>mdp.39015023260469</t>
  </si>
  <si>
    <t>000946556</t>
  </si>
  <si>
    <t>Anglo-Saxon and Norman periods : f. his "Manual of English literature."</t>
  </si>
  <si>
    <t>Arnold, Thomas,</t>
  </si>
  <si>
    <t>Corson, Hiram,</t>
  </si>
  <si>
    <t>mdp.39015003935072</t>
  </si>
  <si>
    <t>000941767</t>
  </si>
  <si>
    <t>An essay on elocution : with elucidatory passages from various authors, to which are added remarks on reading prose and verse, with suggestions to instructors of the art.</t>
  </si>
  <si>
    <t>Dwyer, John Hanbury.</t>
  </si>
  <si>
    <t>mdp.39015003937342</t>
  </si>
  <si>
    <t>000941790</t>
  </si>
  <si>
    <t>Harmony of the Rush : and Delsarte philosophies and "Voice production" by Thos. C. Trueblood.</t>
  </si>
  <si>
    <t>Fulton, Robert I.</t>
  </si>
  <si>
    <t>mdp.39015003937375</t>
  </si>
  <si>
    <t>mdp.39015013733616</t>
  </si>
  <si>
    <t>000941796</t>
  </si>
  <si>
    <t>New elocution and voice culture /</t>
  </si>
  <si>
    <t>Kidd, Robert.</t>
  </si>
  <si>
    <t>mdp.39015030883923</t>
  </si>
  <si>
    <t>mdp.39015019134686</t>
  </si>
  <si>
    <t>000941799</t>
  </si>
  <si>
    <t>The art of breathing as the basis of tone-production ("the old Italian school of singing") indisensable to singers, elocutionists, educators ... and to all others desirous of having a pleasant voice and good health,</t>
  </si>
  <si>
    <t>Kofler, Leo,</t>
  </si>
  <si>
    <t>mdp.39015003956565</t>
  </si>
  <si>
    <t>000941805</t>
  </si>
  <si>
    <t>The American elocutionist : comprising 'Lessons in enunciation', 'Exercises in elocution', and 'Rudiments of gesture /</t>
  </si>
  <si>
    <t>Russell, William,</t>
  </si>
  <si>
    <t>mdp.39015003956201</t>
  </si>
  <si>
    <t>000941809</t>
  </si>
  <si>
    <t>Lessons on elocution : accompanied by instructions and criticisms on the reading of the church service /</t>
  </si>
  <si>
    <t>Sheridan, Thomas,</t>
  </si>
  <si>
    <t>mdp.39015030866472</t>
  </si>
  <si>
    <t>000941814</t>
  </si>
  <si>
    <t>Acting and the art of speech : at the Paris Conservatoire. Hints on reading, reciting, acting, and the cure of stammering /</t>
  </si>
  <si>
    <t>Solly, James Raymond,</t>
  </si>
  <si>
    <t>uc1.b616441</t>
  </si>
  <si>
    <t>000943246</t>
  </si>
  <si>
    <t>mdp.39015005770816</t>
  </si>
  <si>
    <t>000945500</t>
  </si>
  <si>
    <t>Studies in Old English.</t>
  </si>
  <si>
    <t>Chadwick, H. Munro</t>
  </si>
  <si>
    <t>mdp.39015030999653</t>
  </si>
  <si>
    <t>000945512</t>
  </si>
  <si>
    <t>The logical English grammar /</t>
  </si>
  <si>
    <t>Fleay, Frederick Gard,</t>
  </si>
  <si>
    <t>mdp.39015058690101</t>
  </si>
  <si>
    <t>000945527</t>
  </si>
  <si>
    <t>"Shall" and "Will" : or, Two chapters on future auxiliary verbs: to which are added, 1. An essay on certain affirmative and negative particles in the English language. 2. An essay on the provincial word "songle". /</t>
  </si>
  <si>
    <t>Head, Edmund Walker,</t>
  </si>
  <si>
    <t>miun.aea3585.0001.001</t>
  </si>
  <si>
    <t>000945551</t>
  </si>
  <si>
    <t>Homeric memory rhymes and the principles of melody in poetry.</t>
  </si>
  <si>
    <t>Byars, William Vincent,</t>
  </si>
  <si>
    <t>mdp.39015059895667</t>
  </si>
  <si>
    <t>000937333</t>
  </si>
  <si>
    <t>A treatise on versification.</t>
  </si>
  <si>
    <t>Evans, R.W.</t>
  </si>
  <si>
    <t>hvd.32044019567858</t>
  </si>
  <si>
    <t>000937342</t>
  </si>
  <si>
    <t>The laws of verse : or, principles of versification exemplified in metrical translations: together with an annotated reprint of the inaugural presidential address to the mathematic and physical section of the British Association at Exeter /</t>
  </si>
  <si>
    <t>Sylvester, James Joseph,</t>
  </si>
  <si>
    <t>uc2.ark:/13960/t5m904d3b</t>
  </si>
  <si>
    <t>mdp.39015031012456</t>
  </si>
  <si>
    <t>000940210</t>
  </si>
  <si>
    <t>Mistakes in writing English, and how to avoid them : for the use of all who teach, write, or speak the language.</t>
  </si>
  <si>
    <t>Bigelow, Marshall Train,</t>
  </si>
  <si>
    <t>mdp.39015030868882</t>
  </si>
  <si>
    <t>000940693</t>
  </si>
  <si>
    <t>The English essay : its development, and some of its perfected types /</t>
  </si>
  <si>
    <t>Bradley, Cornelius Beach,</t>
  </si>
  <si>
    <t>mdp.39015030868841</t>
  </si>
  <si>
    <t>000940789</t>
  </si>
  <si>
    <t>A guide to English composition.</t>
  </si>
  <si>
    <t>Brewer, Ebenezer Cobham,</t>
  </si>
  <si>
    <t>mdp.39015030868155</t>
  </si>
  <si>
    <t>000941680</t>
  </si>
  <si>
    <t>An introduction to the study of rhetoric : lessons in phraseology, punctuation, and sentence structure /</t>
  </si>
  <si>
    <t>Robins, Helen Josephine,</t>
  </si>
  <si>
    <t>mdp.39015008880067</t>
  </si>
  <si>
    <t>000941739</t>
  </si>
  <si>
    <t>Two lecture introductory to the study of poetry /</t>
  </si>
  <si>
    <t>Beeching, H. C.</t>
  </si>
  <si>
    <t>uc2.ark:/13960/t8pc2x17r</t>
  </si>
  <si>
    <t>mdp.39015028688730</t>
  </si>
  <si>
    <t>000941740</t>
  </si>
  <si>
    <t>The definition of poetry : an essay.</t>
  </si>
  <si>
    <t>Biddle, Horace P.</t>
  </si>
  <si>
    <t>mdp.39015031040135</t>
  </si>
  <si>
    <t>000941742</t>
  </si>
  <si>
    <t>An introduction to the study of poetry /</t>
  </si>
  <si>
    <t>Cotterill, H. B.</t>
  </si>
  <si>
    <t>mdp.39015031040606</t>
  </si>
  <si>
    <t>000941745</t>
  </si>
  <si>
    <t>An introduction to poetry : poetic expression, poetic truth, the progress of poetry.</t>
  </si>
  <si>
    <t>Magnus, Laurie,</t>
  </si>
  <si>
    <t>mdp.39015030870011</t>
  </si>
  <si>
    <t>000941746</t>
  </si>
  <si>
    <t>Poets : the interpreters of their age /</t>
  </si>
  <si>
    <t>Swanwick, Anna,</t>
  </si>
  <si>
    <t>uc1.b252803</t>
  </si>
  <si>
    <t>uc2.ark:/13960/t90866887</t>
  </si>
  <si>
    <t>miun.adz9762.0001.001</t>
  </si>
  <si>
    <t>000941764</t>
  </si>
  <si>
    <t>An essay on the study of literature : and on vocal culture as indispensable to an aesthetic appreciation of poetry /</t>
  </si>
  <si>
    <t>Errors in the use of English /</t>
  </si>
  <si>
    <t>Hodgson, William B.,</t>
  </si>
  <si>
    <t>mdp.39015025033146</t>
  </si>
  <si>
    <t>000916315</t>
  </si>
  <si>
    <t>Use and abuse of English; a handbook of composition.</t>
  </si>
  <si>
    <t>Masson, Rosaline.</t>
  </si>
  <si>
    <t>mdp.39015041846364</t>
  </si>
  <si>
    <t>000916318</t>
  </si>
  <si>
    <t>The art of writing English : a manual for students, with chapters on paraphrasing, essay-writing, précis-writing, punctuation, and other matters /</t>
  </si>
  <si>
    <t>Meiklejohn, J. M. D.</t>
  </si>
  <si>
    <t>mdp.39015031106449</t>
  </si>
  <si>
    <t>000916527</t>
  </si>
  <si>
    <t>Verner's law in Italy, an essay in the history of the Indo-European sibilants \</t>
  </si>
  <si>
    <t>Conway, Robert Seymour</t>
  </si>
  <si>
    <t>mdp.39015076737249</t>
  </si>
  <si>
    <t>000916631</t>
  </si>
  <si>
    <t>Modern philology; its discoveries, history, and influence.</t>
  </si>
  <si>
    <t>ser.1 1864</t>
  </si>
  <si>
    <t>Dwight, Benjamin Woodbridge,</t>
  </si>
  <si>
    <t>mdp.39015076737256</t>
  </si>
  <si>
    <t>ser.2 1864</t>
  </si>
  <si>
    <t>miun.adx4210.0001.001</t>
  </si>
  <si>
    <t>mdp.39015013501989</t>
  </si>
  <si>
    <t>000916719</t>
  </si>
  <si>
    <t>History of English; a sketch of the origin and development of the English language with examples, down to the present day,</t>
  </si>
  <si>
    <t>Champneys, Arthur Charles.</t>
  </si>
  <si>
    <t>uc1.32106001661948</t>
  </si>
  <si>
    <t>000916748</t>
  </si>
  <si>
    <t>A handbook of poetics for students of English verse,</t>
  </si>
  <si>
    <t>hvd.32044086765393</t>
  </si>
  <si>
    <t>000916764</t>
  </si>
  <si>
    <t>Poetry and poets: a collection of the choicest anecdotes relative to the poets of every age and nation.</t>
  </si>
  <si>
    <t>Ryan, Richard,</t>
  </si>
  <si>
    <t>hvd.32044090301441</t>
  </si>
  <si>
    <t>hvd.32044090301458</t>
  </si>
  <si>
    <t>mdp.39015059646052</t>
  </si>
  <si>
    <t>mdp.39015059902224</t>
  </si>
  <si>
    <t>mdp.39015059902232</t>
  </si>
  <si>
    <t>nyp.33433082518451</t>
  </si>
  <si>
    <t>nyp.33433082518469</t>
  </si>
  <si>
    <t>nyp.33433082518477</t>
  </si>
  <si>
    <t>uc1.32106005863581</t>
  </si>
  <si>
    <t>uc1.32106005863698</t>
  </si>
  <si>
    <t>uc1.32106005863706</t>
  </si>
  <si>
    <t>uc1.b266635</t>
  </si>
  <si>
    <t>uc1.b266636</t>
  </si>
  <si>
    <t>uc1.b266637</t>
  </si>
  <si>
    <t>uc2.ark:/13960/t1vd6vp2h</t>
  </si>
  <si>
    <t>uc2.ark:/13960/t85h7jw71</t>
  </si>
  <si>
    <t>mdp.39015076749129</t>
  </si>
  <si>
    <t>000917633</t>
  </si>
  <si>
    <t>A treatise on vocal physiology and hygiene : with especial reference to the cultivation and preservation of the voice.</t>
  </si>
  <si>
    <t>Holmes, William Gordon,</t>
  </si>
  <si>
    <t>mdp.39015011492389</t>
  </si>
  <si>
    <t>000918302</t>
  </si>
  <si>
    <t>A philological introduction to Greek and Latin for students.</t>
  </si>
  <si>
    <t>Baur, Ferdinand.</t>
  </si>
  <si>
    <t>mdp.39015059895865</t>
  </si>
  <si>
    <t>000937330</t>
  </si>
  <si>
    <t>mdp.39015016456942</t>
  </si>
  <si>
    <t>000915770</t>
  </si>
  <si>
    <t>The permanent power of English poetry /</t>
  </si>
  <si>
    <t>Herford, C.H.</t>
  </si>
  <si>
    <t>mdp.39015039627461</t>
  </si>
  <si>
    <t>000915808</t>
  </si>
  <si>
    <t>Religious thought in old English verse.</t>
  </si>
  <si>
    <t>Abbey, Charles John,</t>
  </si>
  <si>
    <t>mdp.39015059409428</t>
  </si>
  <si>
    <t>000915810</t>
  </si>
  <si>
    <t>An essay on English poetry; with notices of the British poets.</t>
  </si>
  <si>
    <t>Campbell, Thomas,</t>
  </si>
  <si>
    <t>uc2.ark:/13960/t4rj4c70f</t>
  </si>
  <si>
    <t>mdp.39015014580313</t>
  </si>
  <si>
    <t>000915821</t>
  </si>
  <si>
    <t>The literature of the age of Elizabeth.</t>
  </si>
  <si>
    <t>Whipple, Edwin Percy,</t>
  </si>
  <si>
    <t>mdp.39015056056453</t>
  </si>
  <si>
    <t>000915857</t>
  </si>
  <si>
    <t>Faith and doubt in the century's poets.</t>
  </si>
  <si>
    <t>Armstrong, Richard A.</t>
  </si>
  <si>
    <t>hvd.hnmt5g</t>
  </si>
  <si>
    <t>000915859</t>
  </si>
  <si>
    <t>The poetical Decameron, or, Ten conversations on English poets and poetry, particularly of the reigns of Elizabeth and James I.,</t>
  </si>
  <si>
    <t>Collier, John Payne,</t>
  </si>
  <si>
    <t>hvd.hnmt5h</t>
  </si>
  <si>
    <t>mdp.39015016456769</t>
  </si>
  <si>
    <t>mdp.39015016456777</t>
  </si>
  <si>
    <t>nyp.33433074834932</t>
  </si>
  <si>
    <t>nyp.33433074834940</t>
  </si>
  <si>
    <t>uc1.b4097409</t>
  </si>
  <si>
    <t>uc1.b4097410</t>
  </si>
  <si>
    <t>uc2.ark:/13960/t0gt5jh6j</t>
  </si>
  <si>
    <t>mdp.39015059900483</t>
  </si>
  <si>
    <t>000915954</t>
  </si>
  <si>
    <t>The beginnings of English literature,</t>
  </si>
  <si>
    <t>mdp.39015058693840</t>
  </si>
  <si>
    <t>000915973</t>
  </si>
  <si>
    <t>Specimens of English prose style from Malory to Macaulay.</t>
  </si>
  <si>
    <t>Saintsbury, George,</t>
  </si>
  <si>
    <t>nyp.33433082515523</t>
  </si>
  <si>
    <t>000916081</t>
  </si>
  <si>
    <t>Lectures on rhetoric and belles lettres /</t>
  </si>
  <si>
    <t>Blair, Hugh,</t>
  </si>
  <si>
    <t>nyp.33433082515531</t>
  </si>
  <si>
    <t>mdp.39015032990619</t>
  </si>
  <si>
    <t>000916237</t>
  </si>
  <si>
    <t>Modern English literature; its blemishes and defects.</t>
  </si>
  <si>
    <t>Breen, Henry H.</t>
  </si>
  <si>
    <t>nyp.33433074791785</t>
  </si>
  <si>
    <t>uc2.ark:/13960/t4qj7m16c</t>
  </si>
  <si>
    <t>nyp.33433082502497</t>
  </si>
  <si>
    <t>000916242</t>
  </si>
  <si>
    <t>Elements of prose.</t>
  </si>
  <si>
    <t>Brockington, W. A.</t>
  </si>
  <si>
    <t>uc2.ark:/13960/t03x8dr78</t>
  </si>
  <si>
    <t>uc1.b258298</t>
  </si>
  <si>
    <t>000916247</t>
  </si>
  <si>
    <t>English composition; compilation of standard rules and usage.</t>
  </si>
  <si>
    <t>Carson, Luella Clay.</t>
  </si>
  <si>
    <t>uc2.ark:/13960/t6tx3836w</t>
  </si>
  <si>
    <t>mdp.39015032383260</t>
  </si>
  <si>
    <t>000916309</t>
  </si>
  <si>
    <t>English style or a course of instruction for the attainment of a good style of writing...</t>
  </si>
  <si>
    <t>Graham, George Frederick.</t>
  </si>
  <si>
    <t>mdp.39015031014643</t>
  </si>
  <si>
    <t>000916311</t>
  </si>
  <si>
    <t>Wyld, Henry Cecil Kennedy,</t>
  </si>
  <si>
    <t>uc1.b55938</t>
  </si>
  <si>
    <t>000915528</t>
  </si>
  <si>
    <t>Elements of English prosody for use in St. George's schools : explanatory of the various terms used in Rock honeycomb /</t>
  </si>
  <si>
    <t>Ruskin, John,</t>
  </si>
  <si>
    <t>uc2.ark:/13960/t8pc2wp8b</t>
  </si>
  <si>
    <t>nyp.33433076027386</t>
  </si>
  <si>
    <t>000915532</t>
  </si>
  <si>
    <t>English verse; specimens illustrating its principles and history,</t>
  </si>
  <si>
    <t>Alden, Raymond Macdonald,</t>
  </si>
  <si>
    <t>uc1.b252798</t>
  </si>
  <si>
    <t>loc.ark:/13960/t17m15p2t</t>
  </si>
  <si>
    <t>000915535</t>
  </si>
  <si>
    <t>Syllabification and accent in the Paradise lost.</t>
  </si>
  <si>
    <t>Brown, George Dobbin,</t>
  </si>
  <si>
    <t>mdp.39015070460152</t>
  </si>
  <si>
    <t>uc1.b29462</t>
  </si>
  <si>
    <t>uc2.ark:/13960/t2n58fg71</t>
  </si>
  <si>
    <t>mdp.39015013504066</t>
  </si>
  <si>
    <t>000915541</t>
  </si>
  <si>
    <t>Chapters on alliterative verse.</t>
  </si>
  <si>
    <t>Lawrence, John.</t>
  </si>
  <si>
    <t>uc1.b31639</t>
  </si>
  <si>
    <t>uc2.ark:/13960/t6639nc4g</t>
  </si>
  <si>
    <t>mdp.39015050669111</t>
  </si>
  <si>
    <t>000915545</t>
  </si>
  <si>
    <t>The foreign sources of modern English versification : with especial reference to the so-called iambic lines of 8 and 10 syllables /</t>
  </si>
  <si>
    <t>Lewis, Charlton Miner,</t>
  </si>
  <si>
    <t>mdp.39015008900436</t>
  </si>
  <si>
    <t>000915547</t>
  </si>
  <si>
    <t>An introduction to the scientific study of English poetry; being prolegomena to a science of English prosody,</t>
  </si>
  <si>
    <t>Liddell, Mark Harvey.</t>
  </si>
  <si>
    <t>mdp.39015030934825</t>
  </si>
  <si>
    <t>nyp.33433074834858</t>
  </si>
  <si>
    <t>uc1.b252794</t>
  </si>
  <si>
    <t>mdp.39015030934783</t>
  </si>
  <si>
    <t>000915557</t>
  </si>
  <si>
    <t>A handbook of modern English metre,</t>
  </si>
  <si>
    <t>Mayor, Joseph B.,</t>
  </si>
  <si>
    <t>uc1.b312182</t>
  </si>
  <si>
    <t>uc2.ark:/13960/t7gq6w45j</t>
  </si>
  <si>
    <t>loc.ark:/13960/t7zk67k02</t>
  </si>
  <si>
    <t>000915570</t>
  </si>
  <si>
    <t>Repetition and parallelism in English verse; a study in the technique of poetry,</t>
  </si>
  <si>
    <t>Smith, C. Alphonso</t>
  </si>
  <si>
    <t>mdp.39015053593789</t>
  </si>
  <si>
    <t>uva.x004967941</t>
  </si>
  <si>
    <t>mdp.39015005786929</t>
  </si>
  <si>
    <t>000915627</t>
  </si>
  <si>
    <t>The life of the spirit in the modern English poets;</t>
  </si>
  <si>
    <t>Scudder, Vida Dutton,</t>
  </si>
  <si>
    <t>mdp.39015074634208</t>
  </si>
  <si>
    <t>000915630</t>
  </si>
  <si>
    <t>Lectures on English poetry; from the reign of Edward the Third, to the time of Burns and Cowper, delivered at the Russell institution, in 1827; with miscellaneous tales and poems; being the literary remains of the late Henry Neele.</t>
  </si>
  <si>
    <t>uc1.b276143</t>
  </si>
  <si>
    <t>uc2.ark:/13960/t7br8qr1g</t>
  </si>
  <si>
    <t>mdp.39015003751750</t>
  </si>
  <si>
    <t>mdp.39015058690150</t>
  </si>
  <si>
    <t>000906301</t>
  </si>
  <si>
    <t>English words; an elementary study of derivations,</t>
  </si>
  <si>
    <t>Johnson, Charles Frederick,</t>
  </si>
  <si>
    <t>uc2.ark:/13960/t6f18wx35</t>
  </si>
  <si>
    <t>mdp.39015053252923</t>
  </si>
  <si>
    <t>000906390</t>
  </si>
  <si>
    <t>The age of Dryden /</t>
  </si>
  <si>
    <t>Garnett, Richard,</t>
  </si>
  <si>
    <t>uc1.b249309</t>
  </si>
  <si>
    <t>uc2.ark:/13960/t9s17wt0x</t>
  </si>
  <si>
    <t>mdp.39015065574843</t>
  </si>
  <si>
    <t>000907497</t>
  </si>
  <si>
    <t>Landscape in poetry from Homer to Tennyson,</t>
  </si>
  <si>
    <t>Palgrave, Francis Turner,</t>
  </si>
  <si>
    <t>uc1.b3514838</t>
  </si>
  <si>
    <t>uc2.ark:/13960/t00z78s35</t>
  </si>
  <si>
    <t>uc2.ark:/13960/t78s4xp8n</t>
  </si>
  <si>
    <t>mdp.39015000544042</t>
  </si>
  <si>
    <t>000907533</t>
  </si>
  <si>
    <t>Principle in art, etc.</t>
  </si>
  <si>
    <t>Patmore, Coventry,</t>
  </si>
  <si>
    <t>mdp.39015056480562</t>
  </si>
  <si>
    <t>000913965</t>
  </si>
  <si>
    <t>The philology of the English tongue.</t>
  </si>
  <si>
    <t>Earle, John,</t>
  </si>
  <si>
    <t>mdp.39015020207083</t>
  </si>
  <si>
    <t>000913973</t>
  </si>
  <si>
    <t>Northern English : phonetics, grammar, texts /</t>
  </si>
  <si>
    <t>Lloyd, Richard John.</t>
  </si>
  <si>
    <t>uc1.$b624795</t>
  </si>
  <si>
    <t>uc2.ark:/13960/t2s46n831</t>
  </si>
  <si>
    <t>uc2.ark:/13960/t6k073f7t</t>
  </si>
  <si>
    <t>loc.ark:/13960/t95728s51</t>
  </si>
  <si>
    <t>000913986</t>
  </si>
  <si>
    <t>History of American verse (1610-1897)</t>
  </si>
  <si>
    <t>Onderdonk, James Lawrence,</t>
  </si>
  <si>
    <t>mdp.39015035468407</t>
  </si>
  <si>
    <t>uc1.b3515375</t>
  </si>
  <si>
    <t>mdp.39015048890977</t>
  </si>
  <si>
    <t>000914389</t>
  </si>
  <si>
    <t>Miscellaneous essays, and The lays of ancient Rome.</t>
  </si>
  <si>
    <t>coo.31924013180942</t>
  </si>
  <si>
    <t>000914420</t>
  </si>
  <si>
    <t>Essays of John Dryden.</t>
  </si>
  <si>
    <t>v.1-2</t>
  </si>
  <si>
    <t>Dryden, John,</t>
  </si>
  <si>
    <t>mdp.39015066053938</t>
  </si>
  <si>
    <t>uc1.b4109047</t>
  </si>
  <si>
    <t>mdp.39015004734748</t>
  </si>
  <si>
    <t>000914646</t>
  </si>
  <si>
    <t>A higher English grammar,</t>
  </si>
  <si>
    <t>Bain, Alexander,</t>
  </si>
  <si>
    <t>njp.32101064786419</t>
  </si>
  <si>
    <t>mdp.39015026585847</t>
  </si>
  <si>
    <t>000915132</t>
  </si>
  <si>
    <t>Helen Potter's impersonations,</t>
  </si>
  <si>
    <t>Potter, Helen.</t>
  </si>
  <si>
    <t>miun.adx2930.0001.001</t>
  </si>
  <si>
    <t>000915370</t>
  </si>
  <si>
    <t>Exposition of the grammatical structure of the English language : being an attempt to furnish an improved method of teaching grammar. For the use of schools and colleges /</t>
  </si>
  <si>
    <t>Mulligan, John,</t>
  </si>
  <si>
    <t>mdp.39015012850452</t>
  </si>
  <si>
    <t>000915371</t>
  </si>
  <si>
    <t>Historical English and derivation.</t>
  </si>
  <si>
    <t>Nesfield, John Collinson.</t>
  </si>
  <si>
    <t>mdp.39015059898216</t>
  </si>
  <si>
    <t>000915527</t>
  </si>
  <si>
    <t>Contributions to the history of the English gutturals sounds.</t>
  </si>
  <si>
    <t>Table talk of Samuel Taylor Coleridge, &amp; The rime of the ancient mariner, Christabel, etc.</t>
  </si>
  <si>
    <t>mdp.39015001550394</t>
  </si>
  <si>
    <t>000667630</t>
  </si>
  <si>
    <t>Critical and miscellaneous essays: collected and republished (First time, 1839; final, 1869).</t>
  </si>
  <si>
    <t>mdp.39015066051346</t>
  </si>
  <si>
    <t>000668453</t>
  </si>
  <si>
    <t>Biographia literaria; or, Biographical sketches of my literary life and opinions, and two lay sermons, I. The statesman's manual, II. Blessed are ye that sow beside all waters.</t>
  </si>
  <si>
    <t>mdp.39015009035653</t>
  </si>
  <si>
    <t>000670136</t>
  </si>
  <si>
    <t>Milton's theory of poetry and fine art : an essay /</t>
  </si>
  <si>
    <t>Langdon, Ida.</t>
  </si>
  <si>
    <t>mdp.39015019100364</t>
  </si>
  <si>
    <t>mdp.39015031297743</t>
  </si>
  <si>
    <t>hvd.hw2g3d</t>
  </si>
  <si>
    <t>000779675</t>
  </si>
  <si>
    <t>The poetical works of Oliver Goldsmith, M. B. With an account of his life and writings.</t>
  </si>
  <si>
    <t>Goldsmith, Oliver,</t>
  </si>
  <si>
    <t>mdp.39015067293749</t>
  </si>
  <si>
    <t>000780042</t>
  </si>
  <si>
    <t>Poems on several occasions: and two critical essyas; viz., the first, on the harmony, variety, and power of numbers, whether in prose or verse, the second, on the numbers of Paradise lost.</t>
  </si>
  <si>
    <t>Say, Samuel,</t>
  </si>
  <si>
    <t>mdp.39015063920634</t>
  </si>
  <si>
    <t>000781641</t>
  </si>
  <si>
    <t>Johnson's Lives of the the English poets, abridged: with notes and illustrations</t>
  </si>
  <si>
    <t>hvd.hwkfee</t>
  </si>
  <si>
    <t>000781647</t>
  </si>
  <si>
    <t>Lives of the most eminent English poets, with critical observation on their works.</t>
  </si>
  <si>
    <t>hvd.hwkff4</t>
  </si>
  <si>
    <t>hvd.hwkfgj</t>
  </si>
  <si>
    <t>mdp.39015067177728</t>
  </si>
  <si>
    <t>mdp.39015067177736</t>
  </si>
  <si>
    <t>mdp.39015067177744</t>
  </si>
  <si>
    <t>nyp.33433082196993</t>
  </si>
  <si>
    <t>nyp.33433082197009</t>
  </si>
  <si>
    <t>uc1.b275524</t>
  </si>
  <si>
    <t>000785067</t>
  </si>
  <si>
    <t>Petrarch and his influence on English literature /</t>
  </si>
  <si>
    <t>Borghesi, Pietro.</t>
  </si>
  <si>
    <t>uc2.ark:/13960/t7zk58t1q</t>
  </si>
  <si>
    <t>mdp.39015009035984</t>
  </si>
  <si>
    <t>000882330</t>
  </si>
  <si>
    <t>An introduction to the phonetic alphabet; analysis of the spoken word.</t>
  </si>
  <si>
    <t>Barrows, Sarah T.</t>
  </si>
  <si>
    <t>mdp.39015025887921</t>
  </si>
  <si>
    <t>hvd.32044013678503</t>
  </si>
  <si>
    <t>000905302</t>
  </si>
  <si>
    <t>Dante's Divine comedy,</t>
  </si>
  <si>
    <t>Dante Alighieri,</t>
  </si>
  <si>
    <t>loc.ark:/13960/t5v709c4x</t>
  </si>
  <si>
    <t>000906272</t>
  </si>
  <si>
    <t>The New England poets; a study of Emerson, Hawthorne, Longfellow, Whittier, Lowell, Holmes</t>
  </si>
  <si>
    <t>Lawton, William Cranston,</t>
  </si>
  <si>
    <t>Werner's magazine; a magazine of expression.</t>
  </si>
  <si>
    <t>v.23 1899 Mar-Aug</t>
  </si>
  <si>
    <t>mdp.39015023346615</t>
  </si>
  <si>
    <t>v.24 1899-1900 Sep-Feb</t>
  </si>
  <si>
    <t>mdp.39015023346623</t>
  </si>
  <si>
    <t>v.25 1900 Mar-Aug</t>
  </si>
  <si>
    <t>mdp.39015023346631</t>
  </si>
  <si>
    <t>v.26 1900-01 Sep-Feb</t>
  </si>
  <si>
    <t>mdp.39015025422430</t>
  </si>
  <si>
    <t>v.7-8 1885-1886</t>
  </si>
  <si>
    <t>mdp.39015025422448</t>
  </si>
  <si>
    <t>v.9-10 1887-1888</t>
  </si>
  <si>
    <t>mdp.39015025422489</t>
  </si>
  <si>
    <t>v.16 1894</t>
  </si>
  <si>
    <t>mdp.39015025422497</t>
  </si>
  <si>
    <t>v.17 1895</t>
  </si>
  <si>
    <t>mdp.39015025423750</t>
  </si>
  <si>
    <t>v.18 1896</t>
  </si>
  <si>
    <t>mdp.39015025423768</t>
  </si>
  <si>
    <t>v.19 1897 Jan-Aug</t>
  </si>
  <si>
    <t>mdp.39015025423776</t>
  </si>
  <si>
    <t>v.20 1897-98 Sep-Feb</t>
  </si>
  <si>
    <t>mdp.39015025423784</t>
  </si>
  <si>
    <t>v.21 1898 Mar-Aug</t>
  </si>
  <si>
    <t>mdp.39015025423792</t>
  </si>
  <si>
    <t>v.22 1898-99 Sep-Feb</t>
  </si>
  <si>
    <t>mdp.39015025423800</t>
  </si>
  <si>
    <t>v.27 1901 Mar-Aug</t>
  </si>
  <si>
    <t>mdp.39015025423818</t>
  </si>
  <si>
    <t>v.28 1901-02 Sep-Feb</t>
  </si>
  <si>
    <t>mdp.39015025423826</t>
  </si>
  <si>
    <t>v.29 1902 Mar-Aug</t>
  </si>
  <si>
    <t>mdp.39015025423834</t>
  </si>
  <si>
    <t>v.30 1902 Sep-Dec</t>
  </si>
  <si>
    <t>uva.x004061221</t>
  </si>
  <si>
    <t>V.24 1899-1900</t>
  </si>
  <si>
    <t>uva.x004061222</t>
  </si>
  <si>
    <t>V.23 1899</t>
  </si>
  <si>
    <t>uva.x004061223</t>
  </si>
  <si>
    <t>V.22 1898-99</t>
  </si>
  <si>
    <t>uva.x004061224</t>
  </si>
  <si>
    <t>V.21 1898</t>
  </si>
  <si>
    <t>uva.x004061228</t>
  </si>
  <si>
    <t>V.25 1900</t>
  </si>
  <si>
    <t>uva.x006136371</t>
  </si>
  <si>
    <t>V.4 1902</t>
  </si>
  <si>
    <t>mdp.39015041811822</t>
  </si>
  <si>
    <t>000665068</t>
  </si>
  <si>
    <t>Studies in poetry and criticism;</t>
  </si>
  <si>
    <t>Collins, John Churton,</t>
  </si>
  <si>
    <t>uc1.b14843</t>
  </si>
  <si>
    <t>uc2.ark:/13960/t9h41np10</t>
  </si>
  <si>
    <t>mdp.39015004056944</t>
  </si>
  <si>
    <t>000666099</t>
  </si>
  <si>
    <t>Coleridge's miscellaneous criticism,</t>
  </si>
  <si>
    <t>mdp.39015004729847</t>
  </si>
  <si>
    <t>000666103</t>
  </si>
  <si>
    <t>Biographia literaria; or, Biographical sketches of my literary life and opinions.</t>
  </si>
  <si>
    <t>mdp.39015004994771</t>
  </si>
  <si>
    <t>000666109</t>
  </si>
  <si>
    <t>Biographia literaria; or, Biographical sketches of my literary life and opinions ...</t>
  </si>
  <si>
    <t>mdp.39015008494562</t>
  </si>
  <si>
    <t>000666457</t>
  </si>
  <si>
    <t>Coleridge on imagination,</t>
  </si>
  <si>
    <t>Richards, I. A.</t>
  </si>
  <si>
    <t>mdp.39015001518557</t>
  </si>
  <si>
    <t>000666510</t>
  </si>
  <si>
    <t>Biographia literaria,</t>
  </si>
  <si>
    <t>mdp.39015008272901</t>
  </si>
  <si>
    <t>mdp.39015008393632</t>
  </si>
  <si>
    <t>000666837</t>
  </si>
  <si>
    <t>Coleridge on imagination.</t>
  </si>
  <si>
    <t>mdp.39015030723681</t>
  </si>
  <si>
    <t>000667035</t>
  </si>
  <si>
    <t>Specimens of the table talk of the late Samuel Taylor Coleridge.</t>
  </si>
  <si>
    <t>mdp.39015030723673</t>
  </si>
  <si>
    <t>000667037</t>
  </si>
  <si>
    <t>mdp.39015004963214</t>
  </si>
  <si>
    <t>000590328</t>
  </si>
  <si>
    <t>Lives of the most eminent English poets, with critical observations on their works.</t>
  </si>
  <si>
    <t>mdp.39015066053763</t>
  </si>
  <si>
    <t>mdp.39015008189253</t>
  </si>
  <si>
    <t>000590372</t>
  </si>
  <si>
    <t>The six chief lives from Johnson's "Lives of the poets", with Macaulay's "Life of Johnson".</t>
  </si>
  <si>
    <t>mdp.39015004223437</t>
  </si>
  <si>
    <t>000590376</t>
  </si>
  <si>
    <t>Lives of the English poets,</t>
  </si>
  <si>
    <t>mdp.39015004706779</t>
  </si>
  <si>
    <t>mdp.39015035316853</t>
  </si>
  <si>
    <t>mdp.39015049840203</t>
  </si>
  <si>
    <t>mdp.39015049840211</t>
  </si>
  <si>
    <t>mdp.39015066058457</t>
  </si>
  <si>
    <t>uc1.b4278860</t>
  </si>
  <si>
    <t>mdp.39015024215355</t>
  </si>
  <si>
    <t>000601020</t>
  </si>
  <si>
    <t>America's coming-of-age,</t>
  </si>
  <si>
    <t>Brooks, Van Wyck,</t>
  </si>
  <si>
    <t>mdp.39015039638369</t>
  </si>
  <si>
    <t>000622781</t>
  </si>
  <si>
    <t>Works.</t>
  </si>
  <si>
    <t>Calverley, Charles Stuart,</t>
  </si>
  <si>
    <t>mdp.39015005008514</t>
  </si>
  <si>
    <t>000623369</t>
  </si>
  <si>
    <t>Thomas Campion and the art of English poetry,</t>
  </si>
  <si>
    <t>MacDonagh, Thomas,</t>
  </si>
  <si>
    <t>uc1.b4110154</t>
  </si>
  <si>
    <t>uc2.ark:/13960/t47p95b4v</t>
  </si>
  <si>
    <t>mdp.39015013094217</t>
  </si>
  <si>
    <t>000625050</t>
  </si>
  <si>
    <t>The portrait of a scholar and other essays written in Macedonia, 1916-1918,</t>
  </si>
  <si>
    <t>Chapman, R. W.</t>
  </si>
  <si>
    <t>mdp.39015005147767</t>
  </si>
  <si>
    <t>000626066</t>
  </si>
  <si>
    <t>Chaucer's verse.</t>
  </si>
  <si>
    <t>Baum, Paull F.</t>
  </si>
  <si>
    <t>mdp.39015008182100</t>
  </si>
  <si>
    <t>mdp.39015030724804</t>
  </si>
  <si>
    <t>000627700</t>
  </si>
  <si>
    <t>The alliteration of Chaucer.</t>
  </si>
  <si>
    <t>McClumpha, Charles Flint,</t>
  </si>
  <si>
    <t>mdp.39015005199404</t>
  </si>
  <si>
    <t>000627889</t>
  </si>
  <si>
    <t>The language and metre of Chaucer</t>
  </si>
  <si>
    <t>Brink, Bernhard ten,</t>
  </si>
  <si>
    <t>uva.x000105488</t>
  </si>
  <si>
    <t>mdp.39015035787616</t>
  </si>
  <si>
    <t>000629327</t>
  </si>
  <si>
    <t>mdp.39015030756251</t>
  </si>
  <si>
    <t>000630492</t>
  </si>
  <si>
    <t>The old English dramatists,</t>
  </si>
  <si>
    <t>Lowell, James Russell,</t>
  </si>
  <si>
    <t>mdp.39015023178554</t>
  </si>
  <si>
    <t>000631064</t>
  </si>
  <si>
    <t>mdp.39015081198726</t>
  </si>
  <si>
    <t>000634490</t>
  </si>
  <si>
    <t>The influence of Milton on English poetry,</t>
  </si>
  <si>
    <t>Havens, Raymond Dexter,</t>
  </si>
  <si>
    <t>mdp.39015011578096</t>
  </si>
  <si>
    <t>000634495</t>
  </si>
  <si>
    <t>The influence of Milton on English poetry.</t>
  </si>
  <si>
    <t>mdp.39015012428259</t>
  </si>
  <si>
    <t>mdp.39015031298626</t>
  </si>
  <si>
    <t>000634633</t>
  </si>
  <si>
    <t>Milton's prosody; an examination of the rules of the blank verse in Milton's later poems, with an account of the versification of Samson Agonistes, and general notes</t>
  </si>
  <si>
    <t>mdp.39015023346607</t>
  </si>
  <si>
    <t>000636192</t>
  </si>
  <si>
    <t>English grammar, adapted to the different classes of learners. With an appendix, containing rules and observations, for assisting the more advanced students to write with perspicuity and accuracy ...</t>
  </si>
  <si>
    <t>Murray, Lindley,</t>
  </si>
  <si>
    <t>mdp.39015053659366</t>
  </si>
  <si>
    <t>000559006</t>
  </si>
  <si>
    <t>Letter-writer's vade-mecum and dictionary supplment; a complete handbook to the epistolary art,</t>
  </si>
  <si>
    <t>Blackman, Robert D.</t>
  </si>
  <si>
    <t>mdp.39015030315637</t>
  </si>
  <si>
    <t>000559899</t>
  </si>
  <si>
    <t>Poets of the younger generation,</t>
  </si>
  <si>
    <t>Archer, William,</t>
  </si>
  <si>
    <t>uc1.b3514886</t>
  </si>
  <si>
    <t>uc2.ark:/13960/t17m0cx60</t>
  </si>
  <si>
    <t>mdp.39015065726914</t>
  </si>
  <si>
    <t>000560674</t>
  </si>
  <si>
    <t>A short comparative grammar of English and German, as traced back to their common origin and contrasted with the classical languages /</t>
  </si>
  <si>
    <t>Henry, Victor,</t>
  </si>
  <si>
    <t>mdp.39015030850765</t>
  </si>
  <si>
    <t>000582429</t>
  </si>
  <si>
    <t>Robert Bridges: a critical study,</t>
  </si>
  <si>
    <t>Young, Francis Brett,</t>
  </si>
  <si>
    <t>hvd.hwilqm</t>
  </si>
  <si>
    <t>000585858</t>
  </si>
  <si>
    <t>Essays on the Greek Christian poets and the English poets /</t>
  </si>
  <si>
    <t>Browning, Elizabeth Barrett,</t>
  </si>
  <si>
    <t>mdp.39015031213260</t>
  </si>
  <si>
    <t>000585940</t>
  </si>
  <si>
    <t>The versification of Robert Browning,</t>
  </si>
  <si>
    <t>Hatcher, Harlan,</t>
  </si>
  <si>
    <t>miun.acm7365.0001.001</t>
  </si>
  <si>
    <t>000585944</t>
  </si>
  <si>
    <t>mdp.39015054069425</t>
  </si>
  <si>
    <t>000586467</t>
  </si>
  <si>
    <t>Scottish &amp; other miscellanies,</t>
  </si>
  <si>
    <t>mdp.39015001151714</t>
  </si>
  <si>
    <t>000586611</t>
  </si>
  <si>
    <t>Counterpoint: Kenneth Burke and Aristotle's theories of rhetoric.</t>
  </si>
  <si>
    <t>Holland, Laura Virginia,</t>
  </si>
  <si>
    <t>uc1.b4381446</t>
  </si>
  <si>
    <t>mdp.39015066076467</t>
  </si>
  <si>
    <t>000586745</t>
  </si>
  <si>
    <t>Critical and miscellaneous essays,</t>
  </si>
  <si>
    <t>mdp.39015059791775</t>
  </si>
  <si>
    <t>000590040</t>
  </si>
  <si>
    <t>The lives of the most eminent English poets; with critical observations on their works.</t>
  </si>
  <si>
    <t>Johnson, Samuel,</t>
  </si>
  <si>
    <t>mdp.39015065250923</t>
  </si>
  <si>
    <t>mdp.39015070482701</t>
  </si>
  <si>
    <t>mdp.39015063554409</t>
  </si>
  <si>
    <t>000590042</t>
  </si>
  <si>
    <t>mdp.39015063554557</t>
  </si>
  <si>
    <t>mdp.39015063554706</t>
  </si>
  <si>
    <t>mdp.39076006597962</t>
  </si>
  <si>
    <t>mdp.39076006597970</t>
  </si>
  <si>
    <t>mdp.39076006597988</t>
  </si>
  <si>
    <t>mdp.39076006597996</t>
  </si>
  <si>
    <t>mdp.39015030754181</t>
  </si>
  <si>
    <t>000590315</t>
  </si>
  <si>
    <t>Johnson's Lives of the poets. : Ed., with notes, by Mrs. Alexander Napier. And an introduction by J. W. Hales.</t>
  </si>
  <si>
    <t>000521158</t>
  </si>
  <si>
    <t>The Public speaking review.</t>
  </si>
  <si>
    <t>v.1-2 1911-1913</t>
  </si>
  <si>
    <t>mdp.39015070200095</t>
  </si>
  <si>
    <t>v.3-4 1913-1914</t>
  </si>
  <si>
    <t>njp.32101067483352</t>
  </si>
  <si>
    <t>njp.32101067483360</t>
  </si>
  <si>
    <t>njp.32101067483378</t>
  </si>
  <si>
    <t>v.3-4</t>
  </si>
  <si>
    <t>hvd.ah6mxx</t>
  </si>
  <si>
    <t>000531479</t>
  </si>
  <si>
    <t>The Congregational review.</t>
  </si>
  <si>
    <t>v.11 (1871)</t>
  </si>
  <si>
    <t>hvd.ah6mxy</t>
  </si>
  <si>
    <t>v.10 (1870)</t>
  </si>
  <si>
    <t>hvd.ah6mxz</t>
  </si>
  <si>
    <t>v.9 (1869)</t>
  </si>
  <si>
    <t>hvd.ah6my1</t>
  </si>
  <si>
    <t>v.8 (1868)</t>
  </si>
  <si>
    <t>hvd.ah6my2</t>
  </si>
  <si>
    <t>v.7 (1867)</t>
  </si>
  <si>
    <t>hvd.hnssji</t>
  </si>
  <si>
    <t>hvd.hnssjq</t>
  </si>
  <si>
    <t>mdp.39015006951084</t>
  </si>
  <si>
    <t>v.1 1861</t>
  </si>
  <si>
    <t>mdp.39015006951092</t>
  </si>
  <si>
    <t>v.7 1867</t>
  </si>
  <si>
    <t>mdp.39015006993615</t>
  </si>
  <si>
    <t>v.4 1864</t>
  </si>
  <si>
    <t>mdp.39015008270319</t>
  </si>
  <si>
    <t>v.3 1863</t>
  </si>
  <si>
    <t>mdp.39015009236038</t>
  </si>
  <si>
    <t>v.8 1868</t>
  </si>
  <si>
    <t>mdp.39015030530821</t>
  </si>
  <si>
    <t>v.2 1862</t>
  </si>
  <si>
    <t>mdp.39015039303873</t>
  </si>
  <si>
    <t>v.11 1871</t>
  </si>
  <si>
    <t>mdp.39015039785772</t>
  </si>
  <si>
    <t>v.5 1865</t>
  </si>
  <si>
    <t>mdp.39015039785780</t>
  </si>
  <si>
    <t>v.9 1869</t>
  </si>
  <si>
    <t>mdp.39015067955503</t>
  </si>
  <si>
    <t>v.6 1866</t>
  </si>
  <si>
    <t>mdp.39015067955511</t>
  </si>
  <si>
    <t>v.10 1870</t>
  </si>
  <si>
    <t>nyp.33433069134041</t>
  </si>
  <si>
    <t>v. 7 (Jan.-Oct. 1867)</t>
  </si>
  <si>
    <t>nyp.33433069134058</t>
  </si>
  <si>
    <t>v. 8 (1868)</t>
  </si>
  <si>
    <t>nyp.33433069134066</t>
  </si>
  <si>
    <t>v. 9 (1869)</t>
  </si>
  <si>
    <t>nyp.33433069134074</t>
  </si>
  <si>
    <t>v. 10 (1870)</t>
  </si>
  <si>
    <t>nyp.33433069134082</t>
  </si>
  <si>
    <t>v. 11 (1871)</t>
  </si>
  <si>
    <t>mdp.39015066594048</t>
  </si>
  <si>
    <t>000534532</t>
  </si>
  <si>
    <t>Annual bibliography of English language and literature.</t>
  </si>
  <si>
    <t>v.1-3 1920-1922</t>
  </si>
  <si>
    <t>uc1.$b419247</t>
  </si>
  <si>
    <t>uc1.$b419248</t>
  </si>
  <si>
    <t>mdp.39015070461820</t>
  </si>
  <si>
    <t>000535541</t>
  </si>
  <si>
    <t>Fonetic techer.</t>
  </si>
  <si>
    <t>mdp.39015070461838</t>
  </si>
  <si>
    <t>mdp.39015000631187</t>
  </si>
  <si>
    <t>000537573</t>
  </si>
  <si>
    <t>The poets and poetry of America; a satire (by "Lavante", published in Philadelphia, 1847). With an introductory argument to prove that "Lavante" was Edgar Allan Poe, and an appendix of notes by Geoffrey Quarles.</t>
  </si>
  <si>
    <t>Lavante.</t>
  </si>
  <si>
    <t>uc1.b261609</t>
  </si>
  <si>
    <t>uc2.ark:/13960/t0dv1g66w</t>
  </si>
  <si>
    <t>mdp.39015003348201</t>
  </si>
  <si>
    <t>000557743</t>
  </si>
  <si>
    <t>Essays ...</t>
  </si>
  <si>
    <t>miun.acj8800.0001.001</t>
  </si>
  <si>
    <t>000557772</t>
  </si>
  <si>
    <t>Essays. /</t>
  </si>
  <si>
    <t>mdp.39015058690267</t>
  </si>
  <si>
    <t>000558584</t>
  </si>
  <si>
    <t>000439075</t>
  </si>
  <si>
    <t>Poems and a defence of ryme,</t>
  </si>
  <si>
    <t>Daniel, Samuel,</t>
  </si>
  <si>
    <t>uc1.b3049094</t>
  </si>
  <si>
    <t>(copy 1)</t>
  </si>
  <si>
    <t>mdp.39015022407756</t>
  </si>
  <si>
    <t>000440099</t>
  </si>
  <si>
    <t>For remembrance: soldier poets who have fallen in the war,</t>
  </si>
  <si>
    <t>Adcock, Arthur St. John,</t>
  </si>
  <si>
    <t>uc1.b31602</t>
  </si>
  <si>
    <t>uc2.ark:/13960/t38052b85</t>
  </si>
  <si>
    <t>mdp.39015040120563</t>
  </si>
  <si>
    <t>000440795</t>
  </si>
  <si>
    <t>Ancient rhetoric and poetic, interpreted from representative works,</t>
  </si>
  <si>
    <t>Baldwin, Charles Sears,</t>
  </si>
  <si>
    <t>miun.abx8285.0001.001</t>
  </si>
  <si>
    <t>000449212</t>
  </si>
  <si>
    <t>Literature and art. /</t>
  </si>
  <si>
    <t>Fuller, Margaret,</t>
  </si>
  <si>
    <t>loc.ark:/13960/t9h42b25h</t>
  </si>
  <si>
    <t>000449821</t>
  </si>
  <si>
    <t>The usurer in Elizabethan drama,</t>
  </si>
  <si>
    <t>Stonex, Arthur Bivins,</t>
  </si>
  <si>
    <t>mdp.39015063739570</t>
  </si>
  <si>
    <t>uc2.ark:/13960/t8kd1t26h</t>
  </si>
  <si>
    <t>mdp.39015004849694</t>
  </si>
  <si>
    <t>000472633</t>
  </si>
  <si>
    <t>The oldest English epic: Beowulf, Finnsburg, Waldere, Deor, Widsith, and the German Hildebrand;</t>
  </si>
  <si>
    <t>mdp.39015027522609</t>
  </si>
  <si>
    <t>000476644</t>
  </si>
  <si>
    <t>Ibant obscvri; an experiment in the classical hexameter,</t>
  </si>
  <si>
    <t>mdp.39015040355219</t>
  </si>
  <si>
    <t>000481114</t>
  </si>
  <si>
    <t>The question of our speech; The lesson of Balzac; two lectures,</t>
  </si>
  <si>
    <t>James, Henry,</t>
  </si>
  <si>
    <t>mdp.39015030675683</t>
  </si>
  <si>
    <t>000489782</t>
  </si>
  <si>
    <t>War words; recommended pronunciations</t>
  </si>
  <si>
    <t>Greet, William Cabell,</t>
  </si>
  <si>
    <t>uc1.b4091671</t>
  </si>
  <si>
    <t>uc1.b276186</t>
  </si>
  <si>
    <t>000490420</t>
  </si>
  <si>
    <t>The elements of English versification,</t>
  </si>
  <si>
    <t>Bright, James Wilson,</t>
  </si>
  <si>
    <t>uc1.b31655</t>
  </si>
  <si>
    <t>000490424</t>
  </si>
  <si>
    <t>The basis of English rhythm.</t>
  </si>
  <si>
    <t>Thomson, William,</t>
  </si>
  <si>
    <t>uc2.ark:/13960/t46q1vk29</t>
  </si>
  <si>
    <t>mdp.39015059397904</t>
  </si>
  <si>
    <t>000502291</t>
  </si>
  <si>
    <t>The Quarterly journal of speech education.</t>
  </si>
  <si>
    <t>v.6 1920</t>
  </si>
  <si>
    <t>mdp.39015059397912</t>
  </si>
  <si>
    <t>v.7 1921</t>
  </si>
  <si>
    <t>mdp.39015059397920</t>
  </si>
  <si>
    <t>v.8 1922</t>
  </si>
  <si>
    <t>mdp.39015059398332</t>
  </si>
  <si>
    <t>v.4 1918</t>
  </si>
  <si>
    <t>mdp.39015059398340</t>
  </si>
  <si>
    <t>v.5 1919</t>
  </si>
  <si>
    <t>uc1.b2960380</t>
  </si>
  <si>
    <t>v.4 (1918)</t>
  </si>
  <si>
    <t>uc1.b2960383</t>
  </si>
  <si>
    <t>v.6 (1920)</t>
  </si>
  <si>
    <t>uc1.b3437505</t>
  </si>
  <si>
    <t>v.7 (1921)</t>
  </si>
  <si>
    <t>mdp.39015059398308</t>
  </si>
  <si>
    <t>000502292</t>
  </si>
  <si>
    <t>The Quarterly journal of public speaking.</t>
  </si>
  <si>
    <t>v.1 1915</t>
  </si>
  <si>
    <t>mdp.39015059398316</t>
  </si>
  <si>
    <t>v.2 1916</t>
  </si>
  <si>
    <t>mdp.39015059398324</t>
  </si>
  <si>
    <t>v.3 1917</t>
  </si>
  <si>
    <t>mdp.39015070199933</t>
  </si>
  <si>
    <t>Biographia literaria; or, Biographical sketches of my literary life &amp; opinions,</t>
  </si>
  <si>
    <t>Coleridge, Samuel Taylor,</t>
  </si>
  <si>
    <t>nyp.33433082502943</t>
  </si>
  <si>
    <t>mdp.39015047664308</t>
  </si>
  <si>
    <t>000394758</t>
  </si>
  <si>
    <t>Menaphon. Camila's alarm to slumbering Euphues in his melancholy cell at Silexedra, &amp;c.</t>
  </si>
  <si>
    <t>Greene, Robert,</t>
  </si>
  <si>
    <t>mdp.39015014145380</t>
  </si>
  <si>
    <t>000426592</t>
  </si>
  <si>
    <t>uc1.b4593676</t>
  </si>
  <si>
    <t>000426776</t>
  </si>
  <si>
    <t>Tudor problems : being essays on the historical and literary claims ciphered and otherwise indicated by Francis Bacon, William Rawley, Sir William Dugdale, and others, in certain printed books during the sixteenth and seventeenth centuries /</t>
  </si>
  <si>
    <t>Woodward, Parker.</t>
  </si>
  <si>
    <t>uc2.ark:/13960/t9571nm9w</t>
  </si>
  <si>
    <t>mdp.39015030947314</t>
  </si>
  <si>
    <t>000427243</t>
  </si>
  <si>
    <t>A guide to English literature and Essay on Gray,</t>
  </si>
  <si>
    <t>njp.32101067567584</t>
  </si>
  <si>
    <t>000428826</t>
  </si>
  <si>
    <t>Essays: on poetry and music, as they affect the mind; on laughter, and ludicrous composition; on the usefulness of classical learning.</t>
  </si>
  <si>
    <t>Beattie, James,</t>
  </si>
  <si>
    <t>mdp.39015026437072</t>
  </si>
  <si>
    <t>000430520</t>
  </si>
  <si>
    <t>The elements of experimental phonetics,</t>
  </si>
  <si>
    <t>Scripture, E. W.</t>
  </si>
  <si>
    <t>mdp.39015055310430</t>
  </si>
  <si>
    <t>mdp.39015011051516</t>
  </si>
  <si>
    <t>000433496</t>
  </si>
  <si>
    <t>The language of the Middle English Bestiary. I. Phonology., II. Inflection,</t>
  </si>
  <si>
    <t>Hallbeck, Einar S.,</t>
  </si>
  <si>
    <t>mdp.39015003633594</t>
  </si>
  <si>
    <t>000433501</t>
  </si>
  <si>
    <t>1. Certayne notes of instruction in English verse. 1575. 2. The steele glas... 1576. 3. The complaynt of Philomene... 1576. Preceded by George Whetstone's A remembrance of the well imployed life, and godly end of George Gascoigne, esquire...</t>
  </si>
  <si>
    <t>Gascoigne, George,</t>
  </si>
  <si>
    <t>uc2.ark:/13960/t6m04184g</t>
  </si>
  <si>
    <t>mdp.39015031239877</t>
  </si>
  <si>
    <t>000433802</t>
  </si>
  <si>
    <t>Moments of vision and miscellaneous verses,</t>
  </si>
  <si>
    <t>Hardy, Thomas,</t>
  </si>
  <si>
    <t>mdp.39015019373771</t>
  </si>
  <si>
    <t>000435586</t>
  </si>
  <si>
    <t>Lectures on the English poets,</t>
  </si>
  <si>
    <t>Hazlitt, William,</t>
  </si>
  <si>
    <t>mdp.39015011051094</t>
  </si>
  <si>
    <t>000439004</t>
  </si>
  <si>
    <t>The rime-vowels of Cursor mundi, a phonological and etymological investigation ...</t>
  </si>
  <si>
    <t>Strandberg, Otto.</t>
  </si>
  <si>
    <t>uc2.ark:/13960/t4fn13567</t>
  </si>
  <si>
    <t>miun.abw8036.0001.001</t>
  </si>
  <si>
    <t>A list of some of the early printed books in the Archiepiscopal Library at Lambeth /</t>
  </si>
  <si>
    <t>mdp.39015008570205</t>
  </si>
  <si>
    <t>000347735</t>
  </si>
  <si>
    <t>Miscellanies,</t>
  </si>
  <si>
    <t>Webb, Daniel,</t>
  </si>
  <si>
    <t>mdp.39015063930591</t>
  </si>
  <si>
    <t>000382581</t>
  </si>
  <si>
    <t>Memoria technica: or, A new method of artificial memory, applied to and exemplified in chronology, history, geography, astronomy. Also Jewish, Grecian and Roman coins, weights and measures, etc., with tables proper to the respective sciences, and memorial lines adapted to each table,</t>
  </si>
  <si>
    <t>Grey, Richard,</t>
  </si>
  <si>
    <t>mdp.39015048503513</t>
  </si>
  <si>
    <t>000382588</t>
  </si>
  <si>
    <t>Dr. R. Grey's Memoria technica; or, Method of artificial memory, applied to and exemplified in chronology, history, geography, astronomy. Also, Jewish, Grecian, and Roman coins, weights, measures, &amp;c. To which are subjoined, Lowe's Mnemonics deliniated, in various branches of literature and science.</t>
  </si>
  <si>
    <t>hvd.32044024331902</t>
  </si>
  <si>
    <t>000382847</t>
  </si>
  <si>
    <t>Phreno-mnemotechny; or, The art of memory: the series of lectures, explanatory of the principles of the system, delivered in New York and Philadelphia, in the beginning of 1844,</t>
  </si>
  <si>
    <t>Fauvel-Gouraud, François.</t>
  </si>
  <si>
    <t>mdp.39015070189181</t>
  </si>
  <si>
    <t>000385858</t>
  </si>
  <si>
    <t>The psychology of reading and spelling with special reference to disability,</t>
  </si>
  <si>
    <t>Gates, Arthur I.</t>
  </si>
  <si>
    <t>mdp.39015000591852</t>
  </si>
  <si>
    <t>000386127</t>
  </si>
  <si>
    <t>Silent reading, with special reference to methods for developing speed; a study in the psychology and pedagogy of reading,</t>
  </si>
  <si>
    <t>O'Brien, John A.</t>
  </si>
  <si>
    <t>miun.abr5348.0001.001</t>
  </si>
  <si>
    <t>000387262</t>
  </si>
  <si>
    <t>Culture &amp; anarchy, an essay in political and social criticism; : and Friendship's garland, being the conversations, letters, and opinions of the late Arminius, baron von Thunder-ten-Tronckh. /</t>
  </si>
  <si>
    <t>Arnold, Matthew,</t>
  </si>
  <si>
    <t>mdp.39015004036532</t>
  </si>
  <si>
    <t>000391579</t>
  </si>
  <si>
    <t>Culture &amp; anarchy, an essay in political and social criticism; and Friendship's garland, being the conversations, letters, and opinions of the late Arminius, baron von Thunderten-Tronckh.</t>
  </si>
  <si>
    <t>nyp.33433066585724</t>
  </si>
  <si>
    <t>000394083</t>
  </si>
  <si>
    <t>000320482</t>
  </si>
  <si>
    <t>The complete poetical works of Edgar Allan Poe; with three essays on poetry. Ed. from the original editions, with memoir, textural notes, and bibliography</t>
  </si>
  <si>
    <t>Poe, Edgar Allan,</t>
  </si>
  <si>
    <t>uc2.ark:/13960/t3fx7465c</t>
  </si>
  <si>
    <t>mdp.39015063515400</t>
  </si>
  <si>
    <t>000322430</t>
  </si>
  <si>
    <t>Satire in the early English drama,</t>
  </si>
  <si>
    <t>Campbell, Eva Marie.</t>
  </si>
  <si>
    <t>uc1.b3512883</t>
  </si>
  <si>
    <t>uc2.ark:/13960/t5v69jh2q</t>
  </si>
  <si>
    <t>mdp.39015063943602</t>
  </si>
  <si>
    <t>000322513</t>
  </si>
  <si>
    <t>Critical reflections on the old English dramatick writers; intended as a preface to the works of Massinger.</t>
  </si>
  <si>
    <t>Colman, George,</t>
  </si>
  <si>
    <t>mdp.39015016699970</t>
  </si>
  <si>
    <t>000322593</t>
  </si>
  <si>
    <t>The English drama in the age of Shakespeare,</t>
  </si>
  <si>
    <t>Creizenach, Wilhelm Michael Anton,</t>
  </si>
  <si>
    <t>loc.ark:/13960/t11n8m68z</t>
  </si>
  <si>
    <t>000322775</t>
  </si>
  <si>
    <t>The early romantic drama at the English court ...</t>
  </si>
  <si>
    <t>Ellison, Lee Monroe.</t>
  </si>
  <si>
    <t>mdp.39015073308416</t>
  </si>
  <si>
    <t>uc1.b3528491</t>
  </si>
  <si>
    <t>uc2.ark:/13960/t26977z4b</t>
  </si>
  <si>
    <t>mdp.39015063754660</t>
  </si>
  <si>
    <t>000322838</t>
  </si>
  <si>
    <t>A study of a feature of sixteenth century conventionalism as it reveals itself in Holinshed's Chronicle.</t>
  </si>
  <si>
    <t>Fiske, Christabel Forsyth.</t>
  </si>
  <si>
    <t>mdp.39015073174263</t>
  </si>
  <si>
    <t>000323156</t>
  </si>
  <si>
    <t>The debate element in the Elizabethan drama</t>
  </si>
  <si>
    <t>Hanford, James Holly,</t>
  </si>
  <si>
    <t>mdp.39015010964388</t>
  </si>
  <si>
    <t>000324543</t>
  </si>
  <si>
    <t>Poems on several occasions.</t>
  </si>
  <si>
    <t>Wesley, Samuel,</t>
  </si>
  <si>
    <t>mdp.39015063532504</t>
  </si>
  <si>
    <t>000326744</t>
  </si>
  <si>
    <t>The melting mood; a study of the function of pathos in English tragedy through Shakespear.</t>
  </si>
  <si>
    <t>Powell, Arnold Francis.</t>
  </si>
  <si>
    <t>uc1.b116080</t>
  </si>
  <si>
    <t>mdp.39015048400892</t>
  </si>
  <si>
    <t>000327819</t>
  </si>
  <si>
    <t>New voices; an introduction to contemporary poetry,</t>
  </si>
  <si>
    <t>Wilkinson, Marguerite Ogden Bigelow,</t>
  </si>
  <si>
    <t>mdp.39015063022233</t>
  </si>
  <si>
    <t>mdp.39015063976578</t>
  </si>
  <si>
    <t>000330313</t>
  </si>
  <si>
    <t>Essays:</t>
  </si>
  <si>
    <t>Emerson, Ralph Waldo,</t>
  </si>
  <si>
    <t>miun.abl1562.0001.001</t>
  </si>
  <si>
    <t>000334206</t>
  </si>
  <si>
    <t>Pronouncing vocabulary of geographical &amp; personal names ... : To which is added a complete list of scriptural names ... /</t>
  </si>
  <si>
    <t>Longley, Elias,</t>
  </si>
  <si>
    <t>mdp.39015010555657</t>
  </si>
  <si>
    <t>000337680</t>
  </si>
  <si>
    <t>Essays on the poets : and other English writers /</t>
  </si>
  <si>
    <t>De Quincey, Thomas,</t>
  </si>
  <si>
    <t>mdp.39015059906704</t>
  </si>
  <si>
    <t>000285617</t>
  </si>
  <si>
    <t>Voice production with the aid of phonetics,</t>
  </si>
  <si>
    <t>Rice, Charles Macan.</t>
  </si>
  <si>
    <t>mdp.39015058690911</t>
  </si>
  <si>
    <t>000285620</t>
  </si>
  <si>
    <t>A key to the classical pronunciation of Greek, Latin, and Scripture proper names; in which the words are accented and divided into syllables ... To which are added terminational vocabularies of Hebrew, Greek and Latin proper names ... concluding with observations on the Greek and Latin accents and quantity ...</t>
  </si>
  <si>
    <t>miun.abf2054.0001.001</t>
  </si>
  <si>
    <t>000285631</t>
  </si>
  <si>
    <t>Manual of English pronunciation and spelling : containing a full alphabetical vocabulary of the language with a preliminary exposition of English orthoëpy and orthography ... /</t>
  </si>
  <si>
    <t>miun.abf2055.0001.001</t>
  </si>
  <si>
    <t>000285632</t>
  </si>
  <si>
    <t>mdp.39015019352742</t>
  </si>
  <si>
    <t>000285633</t>
  </si>
  <si>
    <t>Manual of English pronunciation and spelling: containing a full alphabetical vocabulary of the language with a preliminary exposition of English orthoëpy and orthography ...</t>
  </si>
  <si>
    <t>mdp.39015030925963</t>
  </si>
  <si>
    <t>000285635</t>
  </si>
  <si>
    <t>mdp.39015059391907</t>
  </si>
  <si>
    <t>000285691</t>
  </si>
  <si>
    <t>Old English ballads,</t>
  </si>
  <si>
    <t>Gummere, Francis Barton,</t>
  </si>
  <si>
    <t>mdp.39015055288719</t>
  </si>
  <si>
    <t>000285692</t>
  </si>
  <si>
    <t>mdp.39015048721800</t>
  </si>
  <si>
    <t>000285703</t>
  </si>
  <si>
    <t>Modern British poetry,</t>
  </si>
  <si>
    <t>Untermeyer, Louis,</t>
  </si>
  <si>
    <t>mdp.39015048721818</t>
  </si>
  <si>
    <t>000285706</t>
  </si>
  <si>
    <t>mdp.39015007011193</t>
  </si>
  <si>
    <t>000291700</t>
  </si>
  <si>
    <t>The founding of English metre.</t>
  </si>
  <si>
    <t>Thompson, John,</t>
  </si>
  <si>
    <t>mdp.39015009011589</t>
  </si>
  <si>
    <t>000294490</t>
  </si>
  <si>
    <t>French phonology : programmed introduction /</t>
  </si>
  <si>
    <t>mdp.39015004868587</t>
  </si>
  <si>
    <t>000313629</t>
  </si>
  <si>
    <t>Middle-class culture in Elizabethan England,</t>
  </si>
  <si>
    <t>Wright, Louis B.</t>
  </si>
  <si>
    <t>mdp.39015046335553</t>
  </si>
  <si>
    <t>mdp.39015050635500</t>
  </si>
  <si>
    <t>uc1.b3829868</t>
  </si>
  <si>
    <t>copy 2</t>
  </si>
  <si>
    <t>uc1.b3546521</t>
  </si>
  <si>
    <t>000314120</t>
  </si>
  <si>
    <t>Religious trends in English poetry,</t>
  </si>
  <si>
    <t>Fairchild, Hoxie Neale,</t>
  </si>
  <si>
    <t>uc1.b3546522</t>
  </si>
  <si>
    <t>mdp.39015031469169</t>
  </si>
  <si>
    <t>000315651</t>
  </si>
  <si>
    <t>The study of rhetoric in the college course.</t>
  </si>
  <si>
    <t>Genung, John Franklin,</t>
  </si>
  <si>
    <t>mdp.39015013164259</t>
  </si>
  <si>
    <t>uc2.ark:/13960/t9765gx47</t>
  </si>
  <si>
    <t>hvd.32044038404414</t>
  </si>
  <si>
    <t>000273490</t>
  </si>
  <si>
    <t>A grammar of elocution; containing the principles of the arts of reading and speaking; illustrated by appropriate exercises and examples ...</t>
  </si>
  <si>
    <t>Barber, Jonathan,</t>
  </si>
  <si>
    <t>hvd.hwhilt</t>
  </si>
  <si>
    <t>hvd.hwhiq9</t>
  </si>
  <si>
    <t>mdp.39015055032927</t>
  </si>
  <si>
    <t>uc1.b258042</t>
  </si>
  <si>
    <t>uc2.ark:/13960/t7sn0422x</t>
  </si>
  <si>
    <t>mdp.39015050988180</t>
  </si>
  <si>
    <t>000279156</t>
  </si>
  <si>
    <t>Language work below the high school. Printed as manuscript, for the use of the students of the Illinois state normal university.</t>
  </si>
  <si>
    <t>De Garmo, Charles,</t>
  </si>
  <si>
    <t>miun.abe7084.0001.001</t>
  </si>
  <si>
    <t>000280700</t>
  </si>
  <si>
    <t>Evangeline : a tale of Acadie /</t>
  </si>
  <si>
    <t>Longfellow, Henry Wadsworth,</t>
  </si>
  <si>
    <t>miun.abe7086.0001.001</t>
  </si>
  <si>
    <t>000280702</t>
  </si>
  <si>
    <t>Evangeline : a tale of Acadie.</t>
  </si>
  <si>
    <t>mdp.39015063940483</t>
  </si>
  <si>
    <t>000280704</t>
  </si>
  <si>
    <t>Evangeline.</t>
  </si>
  <si>
    <t>mdp.39015063940475</t>
  </si>
  <si>
    <t>000280787</t>
  </si>
  <si>
    <t>Evangeline; a tale of Acadie,</t>
  </si>
  <si>
    <t>mdp.39015063940327</t>
  </si>
  <si>
    <t>000280793</t>
  </si>
  <si>
    <t>Evangeline,</t>
  </si>
  <si>
    <t>mdp.39015063940319</t>
  </si>
  <si>
    <t>000280798</t>
  </si>
  <si>
    <t>mdp.39015011428698</t>
  </si>
  <si>
    <t>000283013</t>
  </si>
  <si>
    <t>Critical and miscellaneous essays collected and republished,</t>
  </si>
  <si>
    <t>Carlyle, Thomas,</t>
  </si>
  <si>
    <t>mdp.39015011428706</t>
  </si>
  <si>
    <t>miun.abe9415.0001.001</t>
  </si>
  <si>
    <t>000283016</t>
  </si>
  <si>
    <t>Critical and miscellaneous essays /</t>
  </si>
  <si>
    <t>miun.abe9420.0001.001</t>
  </si>
  <si>
    <t>000283021</t>
  </si>
  <si>
    <t>miun.abe9454.0001.001</t>
  </si>
  <si>
    <t>000283055</t>
  </si>
  <si>
    <t>mdp.39015059409386</t>
  </si>
  <si>
    <t>000284332</t>
  </si>
  <si>
    <t>A treatise of English particles, shewing much of the variety of their significations and uses in English: and how to render them into Latine according to the propriety and elegancy of that language. With a praxis upon the same.</t>
  </si>
  <si>
    <t>Walker, William,</t>
  </si>
  <si>
    <t>mdp.39015059391964</t>
  </si>
  <si>
    <t>000284455</t>
  </si>
  <si>
    <t>English poetry from Blake to Browning,</t>
  </si>
  <si>
    <t>Dixon, W. Macneile</t>
  </si>
  <si>
    <t>mdp.39015063803970</t>
  </si>
  <si>
    <t>uc2.ark:/13960/t9m32wt7j</t>
  </si>
  <si>
    <t>mdp.39015068351132</t>
  </si>
  <si>
    <t>000285005</t>
  </si>
  <si>
    <t>Quest and vision; essays in life and literature,</t>
  </si>
  <si>
    <t>Dawson, W. J.</t>
  </si>
  <si>
    <t>mdp.39015063917911</t>
  </si>
  <si>
    <t>000285125</t>
  </si>
  <si>
    <t>uc2.ark:/13960/t9474bz7h</t>
  </si>
  <si>
    <t>miun.abf1574.0001.001</t>
  </si>
  <si>
    <t>000285155</t>
  </si>
  <si>
    <t>High school English; a brief analysis of conditions attending the study of literature &amp; composition in secondary schools, with suggestions for their improvement ...</t>
  </si>
  <si>
    <t>Brumm, John Lewis,</t>
  </si>
  <si>
    <t>mdp.39015070461994</t>
  </si>
  <si>
    <t>000246946</t>
  </si>
  <si>
    <t>On words admitting of being grouped around the root flap or flak.</t>
  </si>
  <si>
    <t>Wedgwood, Hensleigh,</t>
  </si>
  <si>
    <t>mdp.39015058409163</t>
  </si>
  <si>
    <t>000247784</t>
  </si>
  <si>
    <t>The pronunciation of English words derived from the Latin,</t>
  </si>
  <si>
    <t>Sargeaunt, John,</t>
  </si>
  <si>
    <t>mdp.39015058690531</t>
  </si>
  <si>
    <t>000247789</t>
  </si>
  <si>
    <t>Pronouncing handbook of words often mispronounced and of words as to which a choice of pronunciation is allowed,</t>
  </si>
  <si>
    <t>Soule, Richard,</t>
  </si>
  <si>
    <t>miun.abb3410.0001.001</t>
  </si>
  <si>
    <t>nyp.33433069242588</t>
  </si>
  <si>
    <t>mdp.39015011445379</t>
  </si>
  <si>
    <t>000248025</t>
  </si>
  <si>
    <t>Miscellanea nova ... E. A. White, containing, amidst a variety of other matters curious and interesting, remarks on Boswell's Johnson; with considerable additions, and some new anecdotes of that extraordinary character; a critique on Bürger's Leonora; in which she is clearly proved of English extraction; and an introductory essasy on the art of reading and speaking in public, in two parts.</t>
  </si>
  <si>
    <t>Whyte, Samuel,</t>
  </si>
  <si>
    <t>mdp.39015059898414</t>
  </si>
  <si>
    <t>000248241</t>
  </si>
  <si>
    <t>The writer's desk book, being a reference volume upon questions of punctuation, capitalization, spelling, division of words, indention, spacing, italics, abbreviations, accents, numerals, faulty diction, letter writing, postal regulations, etc., etc.</t>
  </si>
  <si>
    <t>Orcutt, William Dana,</t>
  </si>
  <si>
    <t>mdp.39015063008034</t>
  </si>
  <si>
    <t>nyp.33433075548432</t>
  </si>
  <si>
    <t>uc1.$b380717</t>
  </si>
  <si>
    <t>uc2.ark:/13960/t1ng4kt3j</t>
  </si>
  <si>
    <t>mdp.39015059372337</t>
  </si>
  <si>
    <t>000248248</t>
  </si>
  <si>
    <t>The influence of Horace on the chief English poets of the nineteenth century ...</t>
  </si>
  <si>
    <t>Thayer, Mary Rebecca,</t>
  </si>
  <si>
    <t>mdp.39015063035672</t>
  </si>
  <si>
    <t>hvd.32044090310178</t>
  </si>
  <si>
    <t>000248521</t>
  </si>
  <si>
    <t>The literary remains of the late Henry Neele ... consisting of lectures on English poetry, tales, and other miscellaneous pieces, in prose and verse.</t>
  </si>
  <si>
    <t>Neele, Henry,</t>
  </si>
  <si>
    <t>hvd.hwkzyj</t>
  </si>
  <si>
    <t>mdp.39015067183494</t>
  </si>
  <si>
    <t>The ethnical alphabet; or, Alphabet of nations. Being an extension of Messrs. Pitman and Ellis's English phonetic alphabet.</t>
  </si>
  <si>
    <t>Ellis, Alexander John,</t>
  </si>
  <si>
    <t>mdp.39015059895451</t>
  </si>
  <si>
    <t>000201014</t>
  </si>
  <si>
    <t>Spoken English. : Everyday talk, with phonetic transcription, /</t>
  </si>
  <si>
    <t>Franke, Felix,</t>
  </si>
  <si>
    <t>mdp.39015059895600</t>
  </si>
  <si>
    <t>000201016</t>
  </si>
  <si>
    <t>mdp.39015059909237</t>
  </si>
  <si>
    <t>000201061</t>
  </si>
  <si>
    <t>Englische sichtbare Sprache in zwölf Lektionen ...</t>
  </si>
  <si>
    <t>nyp.33433075940308</t>
  </si>
  <si>
    <t>uc1.b13567</t>
  </si>
  <si>
    <t>mdp.39015039305654</t>
  </si>
  <si>
    <t>000201399</t>
  </si>
  <si>
    <t>Of harmony and numbers, in Latin and English prose, and in English poetry. ...</t>
  </si>
  <si>
    <t>Manwaring, Edward.</t>
  </si>
  <si>
    <t>mdp.39015058694707</t>
  </si>
  <si>
    <t>000201582</t>
  </si>
  <si>
    <t>A new primer of English literature</t>
  </si>
  <si>
    <t>Tucker, T. G.</t>
  </si>
  <si>
    <t>mdp.39015013141364</t>
  </si>
  <si>
    <t>000203629</t>
  </si>
  <si>
    <t>Aureate terms; a study in the literary diction of the fifteenth century,</t>
  </si>
  <si>
    <t>Mendenhall, John Cooper,</t>
  </si>
  <si>
    <t>mdp.39015070191823</t>
  </si>
  <si>
    <t>uc1.b3538336</t>
  </si>
  <si>
    <t>mdp.39015023137071</t>
  </si>
  <si>
    <t>000203775</t>
  </si>
  <si>
    <t>A literary history of the English people from the renaissance to the civil war ...</t>
  </si>
  <si>
    <t>Jusserand, J. J.</t>
  </si>
  <si>
    <t>mdp.39015070191914</t>
  </si>
  <si>
    <t>mdp.39015070191922</t>
  </si>
  <si>
    <t>uc2.ark:/13960/t4th8fx8w</t>
  </si>
  <si>
    <t>000206333</t>
  </si>
  <si>
    <t>Critical reflections on poetry, painting and music. With an inquiry into the rise and progress of the theatrical entertainments of the ancients.</t>
  </si>
  <si>
    <t>Dubos,</t>
  </si>
  <si>
    <t>mdp.39015030088655</t>
  </si>
  <si>
    <t>000217523</t>
  </si>
  <si>
    <t>French phonology : programmed introduction : instructor's manual /</t>
  </si>
  <si>
    <t>Salazar, Robert J.</t>
  </si>
  <si>
    <t>mdp.39015065433412</t>
  </si>
  <si>
    <t>000244005</t>
  </si>
  <si>
    <t>The works of Joseph Addison; including the whole contents of Bp. Hurd's edition, with letters and other pieces not found in any previous collection; and Macaulay's essay on his life and works,</t>
  </si>
  <si>
    <t>Addison, Joseph,</t>
  </si>
  <si>
    <t>mdp.39015065433420</t>
  </si>
  <si>
    <t>mdp.39015065433438</t>
  </si>
  <si>
    <t>mdp.39015065433446</t>
  </si>
  <si>
    <t>mdp.39015065433453</t>
  </si>
  <si>
    <t>miun.aba9591.0001.001</t>
  </si>
  <si>
    <t>mdp.39015070460202</t>
  </si>
  <si>
    <t>000244182</t>
  </si>
  <si>
    <t>Orthometry; a treatise on the art of versification and the technicalities of poetry, with a new and complete rhyming dictionary;</t>
  </si>
  <si>
    <t>Brewer, R. F.</t>
  </si>
  <si>
    <t>uc1.b31625</t>
  </si>
  <si>
    <t>uc2.ark:/13960/t8v98215k</t>
  </si>
  <si>
    <t>mdp.39015076738015</t>
  </si>
  <si>
    <t>000200169</t>
  </si>
  <si>
    <t>Time in English verse rhythm; an empirical study of typical verses by the graphic method,</t>
  </si>
  <si>
    <t>Brown, Warner,</t>
  </si>
  <si>
    <t>mdp.39015010807975</t>
  </si>
  <si>
    <t>000200188</t>
  </si>
  <si>
    <t>English metrists,</t>
  </si>
  <si>
    <t>Omond, T. S.</t>
  </si>
  <si>
    <t>mdp.39015053245232</t>
  </si>
  <si>
    <t>uc1.b298090</t>
  </si>
  <si>
    <t>uc2.ark:/13960/t9n29sz1t</t>
  </si>
  <si>
    <t>uc1.b276184</t>
  </si>
  <si>
    <t>000200193</t>
  </si>
  <si>
    <t>English metrists in the eighteenth and nineteenth centuries; being a sketch of English prosodical criticism during the last two hundred years,</t>
  </si>
  <si>
    <t>uc2.ark:/13960/t4gm85z22</t>
  </si>
  <si>
    <t>mdp.39015031643748</t>
  </si>
  <si>
    <t>000200198</t>
  </si>
  <si>
    <t>English verse-structure (a prefatory study)</t>
  </si>
  <si>
    <t>mdp.39015024386446</t>
  </si>
  <si>
    <t>000200257</t>
  </si>
  <si>
    <t>The sounds of R.</t>
  </si>
  <si>
    <t>Bell, Alexander Melville,</t>
  </si>
  <si>
    <t>mdp.39015024384615</t>
  </si>
  <si>
    <t>000200260</t>
  </si>
  <si>
    <t>Phonetic syllabication the cure for oratorical and other defects of speech.</t>
  </si>
  <si>
    <t>mdp.39015006978525</t>
  </si>
  <si>
    <t>000200348</t>
  </si>
  <si>
    <t>Poetry and prose; being essays on modern English poetry.</t>
  </si>
  <si>
    <t>Jack, Adolphus Alfred,</t>
  </si>
  <si>
    <t>uc2.ark:/13960/t2v40m95c</t>
  </si>
  <si>
    <t>mdp.39015058690291</t>
  </si>
  <si>
    <t>000200392</t>
  </si>
  <si>
    <t>The orthoëpist: a pronouncing manual, containing about three thousand five hundred words, including a considerable number of the names of foreign authors, artists, etc., that are often mispronounced.</t>
  </si>
  <si>
    <t>[Osmun, Thomas Embley]</t>
  </si>
  <si>
    <t>nyp.33433069242521</t>
  </si>
  <si>
    <t>mdp.39015058691000</t>
  </si>
  <si>
    <t>000200605</t>
  </si>
  <si>
    <t>The new world: college readings in English;</t>
  </si>
  <si>
    <t>Bruce, Harold Lawton,</t>
  </si>
  <si>
    <t>mdp.39015058693683</t>
  </si>
  <si>
    <t>000200614</t>
  </si>
  <si>
    <t>The age of Milton,</t>
  </si>
  <si>
    <t>Masterman, John Howard Bertram,</t>
  </si>
  <si>
    <t>uc1.b298100</t>
  </si>
  <si>
    <t>mdp.39015070471597</t>
  </si>
  <si>
    <t>000200726</t>
  </si>
  <si>
    <t>A plea for the study of historical English,</t>
  </si>
  <si>
    <t>Snoddy, James Samuel.</t>
  </si>
  <si>
    <t>mdp.39015059447501</t>
  </si>
  <si>
    <t>000200777</t>
  </si>
  <si>
    <t>The history of Johnny Quæ Genus, the little foundling of the late Doctor Syntax;</t>
  </si>
  <si>
    <t>mdp.39015022651619</t>
  </si>
  <si>
    <t>000201002</t>
  </si>
  <si>
    <t>Evenings with a reviewer; or, Macaulay and Bacon,</t>
  </si>
  <si>
    <t>Spedding, James,</t>
  </si>
  <si>
    <t>mdp.39015063829736</t>
  </si>
  <si>
    <t>mdp.39015059410459</t>
  </si>
  <si>
    <t>000161792</t>
  </si>
  <si>
    <t>Reviews and discussions, literary, political, and historical, not relating to Bacon.</t>
  </si>
  <si>
    <t>loc.ark:/13960/t53f5mk2h</t>
  </si>
  <si>
    <t>000163070</t>
  </si>
  <si>
    <t>The torch, and other lectures and addresses,</t>
  </si>
  <si>
    <t>Woodberry, George Edward,</t>
  </si>
  <si>
    <t>mdp.39015059481344</t>
  </si>
  <si>
    <t>mdp.39015010796954</t>
  </si>
  <si>
    <t>000197924</t>
  </si>
  <si>
    <t>The history of England from the accession of James II,</t>
  </si>
  <si>
    <t>Macaulay, Thomas Babington Macaulay,</t>
  </si>
  <si>
    <t>mdp.39015010797036</t>
  </si>
  <si>
    <t>mdp.39015067321649</t>
  </si>
  <si>
    <t>mdp.39015067321656</t>
  </si>
  <si>
    <t>v.4</t>
  </si>
  <si>
    <t>mdp.39015067321664</t>
  </si>
  <si>
    <t>v.5</t>
  </si>
  <si>
    <t>mdp.39015059400575</t>
  </si>
  <si>
    <t>000199919</t>
  </si>
  <si>
    <t>Overheard in Arcady,</t>
  </si>
  <si>
    <t>mdp.39015058690812</t>
  </si>
  <si>
    <t>000200076</t>
  </si>
  <si>
    <t>On "here" and "there" in Chaucer.</t>
  </si>
  <si>
    <t>Weymouth, Richard Francis,</t>
  </si>
  <si>
    <t>hvd.32044014271712</t>
  </si>
  <si>
    <t>000200097</t>
  </si>
  <si>
    <t>A history of English rhythms.</t>
  </si>
  <si>
    <t>Guest, Edwin,</t>
  </si>
  <si>
    <t>hvd.32044014271795</t>
  </si>
  <si>
    <t>hvd.hwlcsm</t>
  </si>
  <si>
    <t>hvd.hwpmn6</t>
  </si>
  <si>
    <t>mdp.39015058412522</t>
  </si>
  <si>
    <t>mdp.39015070460194</t>
  </si>
  <si>
    <t>nyp.33433069243198</t>
  </si>
  <si>
    <t>nyp.33433069243206</t>
  </si>
  <si>
    <t>nyp.33433081990305</t>
  </si>
  <si>
    <t>v. 1-2</t>
  </si>
  <si>
    <t>uc2.ark:/13960/t21c1zn1d</t>
  </si>
  <si>
    <t>uc2.ark:/13960/t6f18xv1q</t>
  </si>
  <si>
    <t>mdp.39015049861282</t>
  </si>
  <si>
    <t>000200101</t>
  </si>
  <si>
    <t>The science of English verse,</t>
  </si>
  <si>
    <t>Lanier, Sidney,</t>
  </si>
  <si>
    <t>uc1.b3307701</t>
  </si>
  <si>
    <t>mdp.39015053593383</t>
  </si>
  <si>
    <t>000200106</t>
  </si>
  <si>
    <t>Chapters on the metric of the Chaucerian tradition ...</t>
  </si>
  <si>
    <t>Licklider, Albert Harp,</t>
  </si>
  <si>
    <t>mdp.39015059375686</t>
  </si>
  <si>
    <t>000200109</t>
  </si>
  <si>
    <t>An essay on the power and harmony of prosaic numbers;</t>
  </si>
  <si>
    <t>Mason, John,</t>
  </si>
  <si>
    <t>mdp.39015050669046</t>
  </si>
  <si>
    <t>000200115</t>
  </si>
  <si>
    <t>An essay on the power of numbers, and the principles of harmony in poetical compositions.</t>
  </si>
  <si>
    <t>mdp.39015053593771</t>
  </si>
  <si>
    <t>000200124</t>
  </si>
  <si>
    <t>Secondary accent in modern English verse, (Chaucer to Dryden).</t>
  </si>
  <si>
    <t>Miller, Raymond Durbin,</t>
  </si>
  <si>
    <t>uc1.b31643</t>
  </si>
  <si>
    <t>uc2.ark:/13960/t6n01200j</t>
  </si>
  <si>
    <t>mdp.39015059378581</t>
  </si>
  <si>
    <t>000200164</t>
  </si>
  <si>
    <t>Cursory remarks on some of the ancient English poets, particularly Milton ...</t>
  </si>
  <si>
    <t>Neve, Philip.</t>
  </si>
  <si>
    <t>mdp.39015059392020</t>
  </si>
  <si>
    <t>000157654</t>
  </si>
  <si>
    <t>Introductions to the poets,</t>
  </si>
  <si>
    <t>Rawnsley, Willingham Franklin.</t>
  </si>
  <si>
    <t>uc1.b261611</t>
  </si>
  <si>
    <t>uc2.ark:/13960/t5x63f023</t>
  </si>
  <si>
    <t>mdp.39015038674522</t>
  </si>
  <si>
    <t>000157658</t>
  </si>
  <si>
    <t>The treatment of nature in English poetry between Pope and Wordsworth,</t>
  </si>
  <si>
    <t>Reynolds, Myra.</t>
  </si>
  <si>
    <t>mdp.39015065731666</t>
  </si>
  <si>
    <t>mdp.39015059372329</t>
  </si>
  <si>
    <t>000157672</t>
  </si>
  <si>
    <t>The tenth muse,</t>
  </si>
  <si>
    <t>Thomas, Edward,</t>
  </si>
  <si>
    <t>hvd.32044086677093</t>
  </si>
  <si>
    <t>000157676</t>
  </si>
  <si>
    <t>Thoughts on the poets;</t>
  </si>
  <si>
    <t>Tuckerman, Henry T.</t>
  </si>
  <si>
    <t>mdp.39015059372501</t>
  </si>
  <si>
    <t>mdp.39015059901051</t>
  </si>
  <si>
    <t>000158275</t>
  </si>
  <si>
    <t>Specimens of early English metrical romances, chiefly written during the early part of the fourteenth century; to which is prefixed an historical introduction, intended to illustrate the rise and progress of romantic composition in France and England.</t>
  </si>
  <si>
    <t>Ellis, George,</t>
  </si>
  <si>
    <t>mdp.39015059901069</t>
  </si>
  <si>
    <t>v.2</t>
  </si>
  <si>
    <t>mdp.39015059901077</t>
  </si>
  <si>
    <t>mdp.39015053249614</t>
  </si>
  <si>
    <t>000158396</t>
  </si>
  <si>
    <t>The measures of the poets; a new system of English prosody,</t>
  </si>
  <si>
    <t>Bayfield, M. A.</t>
  </si>
  <si>
    <t>uc2.ark:/13960/t9765g25h</t>
  </si>
  <si>
    <t>mdp.39015059899321</t>
  </si>
  <si>
    <t>000159339</t>
  </si>
  <si>
    <t>Select readings for public and private entertainment ... accompanied by explanatory notes, together with appropriate elocutionary instructions ...</t>
  </si>
  <si>
    <t>[Palmer, Loomis T.]</t>
  </si>
  <si>
    <t>mdp.39015059899875</t>
  </si>
  <si>
    <t>000160433</t>
  </si>
  <si>
    <t>Wells of English.</t>
  </si>
  <si>
    <t>Choate, Isaac Bassett,</t>
  </si>
  <si>
    <t>mdp.39015059900061</t>
  </si>
  <si>
    <t>000160567</t>
  </si>
  <si>
    <t>A history of English literature in a series of biographical sketches ...</t>
  </si>
  <si>
    <t>Collier, William Francis.</t>
  </si>
  <si>
    <t>loc.ark:/13960/t1ng57d1f</t>
  </si>
  <si>
    <t>000160716</t>
  </si>
  <si>
    <t>The glory of English prose, letters to my grandson,</t>
  </si>
  <si>
    <t>Coleridge, Stephen,</t>
  </si>
  <si>
    <t>mdp.39015059899677</t>
  </si>
  <si>
    <t>uc2.ark:/13960/t4zg6jf3k</t>
  </si>
  <si>
    <t>mdp.39015059900251</t>
  </si>
  <si>
    <t>000161390</t>
  </si>
  <si>
    <t>English literature primers. Romance period.</t>
  </si>
  <si>
    <t>Lawrence, Eugene,</t>
  </si>
  <si>
    <t>mdp.39015063829728</t>
  </si>
  <si>
    <t>000161789</t>
  </si>
  <si>
    <t>Morrell, Charles.</t>
  </si>
  <si>
    <t>mdp.39015024386479</t>
  </si>
  <si>
    <t>000157412</t>
  </si>
  <si>
    <t>The fonetic primer, offering the universal alfabet and the science of spelling,</t>
  </si>
  <si>
    <t>Story, Charles Augustus,</t>
  </si>
  <si>
    <t>uc1.b13588</t>
  </si>
  <si>
    <t>uc2.ark:/13960/t54f1pk3m</t>
  </si>
  <si>
    <t>nyp.33433074923933</t>
  </si>
  <si>
    <t>000157445</t>
  </si>
  <si>
    <t>Chronicle of Scottish poetry; from the thirteenth century to the union of the crowns;</t>
  </si>
  <si>
    <t>v. 1</t>
  </si>
  <si>
    <t>Sibbald, James.</t>
  </si>
  <si>
    <t>nyp.33433074923941</t>
  </si>
  <si>
    <t>v. 2</t>
  </si>
  <si>
    <t>nyp.33433074923958</t>
  </si>
  <si>
    <t>v. 3</t>
  </si>
  <si>
    <t>nyp.33433074923966</t>
  </si>
  <si>
    <t>v. 4</t>
  </si>
  <si>
    <t>mdp.39015058690283</t>
  </si>
  <si>
    <t>000157543</t>
  </si>
  <si>
    <t>Elements of orthoepy: containing a distinct view of the whole analogy of the English language; so far as it relates to pronunciation, accent, and quantity.</t>
  </si>
  <si>
    <t>Nares, Robert,</t>
  </si>
  <si>
    <t>nyp.33433069242984</t>
  </si>
  <si>
    <t>mdp.39015059372576</t>
  </si>
  <si>
    <t>000157552</t>
  </si>
  <si>
    <t>The religious spirit in the poets,</t>
  </si>
  <si>
    <t>Carpenter, William Boyd,</t>
  </si>
  <si>
    <t>mdp.39015059372568</t>
  </si>
  <si>
    <t>000157555</t>
  </si>
  <si>
    <t>An evening in my library among the Enlish poets,</t>
  </si>
  <si>
    <t>Coleridge, STephen,</t>
  </si>
  <si>
    <t>uc2.ark:/13960/t6tx3cs9j</t>
  </si>
  <si>
    <t>mdp.39015056981395</t>
  </si>
  <si>
    <t>000157623</t>
  </si>
  <si>
    <t>Primitiae; essays in English literature</t>
  </si>
  <si>
    <t>uc1.b277491</t>
  </si>
  <si>
    <t>uc2.ark:/13960/t93779901</t>
  </si>
  <si>
    <t>mdp.39015059391873</t>
  </si>
  <si>
    <t>000157634</t>
  </si>
  <si>
    <t>Nature knowledge in modern poetry, being chapters on Tennyson, Wordsworth, Matthew Arnold, and Lowell as exponents of nature-study;</t>
  </si>
  <si>
    <t>Mackie, Alexander.</t>
  </si>
  <si>
    <t>uc2.ark:/13960/t4sj1jj16</t>
  </si>
  <si>
    <t>mdp.39015059391865</t>
  </si>
  <si>
    <t>000157638</t>
  </si>
  <si>
    <t>Characteristics of English poets from Chaucer to Shirley,</t>
  </si>
  <si>
    <t>Minto, William,</t>
  </si>
  <si>
    <t>mdp.39015059372360</t>
  </si>
  <si>
    <t>000157639</t>
  </si>
  <si>
    <t>Some contemporary poets (1920)</t>
  </si>
  <si>
    <t>Monro, Harold,</t>
  </si>
  <si>
    <t>uc1.b3515376</t>
  </si>
  <si>
    <t>uc2.ark:/13960/t84j0g26b</t>
  </si>
  <si>
    <t>mdp.39015053249598</t>
  </si>
  <si>
    <t>000157640</t>
  </si>
  <si>
    <t>Some soldier poets,</t>
  </si>
  <si>
    <t>Moore, T. Sturge</t>
  </si>
  <si>
    <t>mdp.39015055412376</t>
  </si>
  <si>
    <t>000157641</t>
  </si>
  <si>
    <t>Some evidences of mysticism in English poetry of the nineteenth century,</t>
  </si>
  <si>
    <t>Neenan, Mary Pius,</t>
  </si>
  <si>
    <t>uc1.b31584</t>
  </si>
  <si>
    <t>uc2.ark:/13960/t0qr4qg49</t>
  </si>
  <si>
    <t>mdp.39015070462208</t>
  </si>
  <si>
    <t>000157644</t>
  </si>
  <si>
    <t>Epeögraphy; or, Notations of orthoëpy: to which is prefixed, lektography, an improvement in alphabetical writing, for representing sounds of words, as described in Letters patent of the United States.</t>
  </si>
  <si>
    <t>Manning, Joseph Bolles.</t>
  </si>
  <si>
    <t>mdp.39015059378888</t>
  </si>
  <si>
    <t>000157139</t>
  </si>
  <si>
    <t>Our mother tongue,</t>
  </si>
  <si>
    <t>Mead, Theodore Hoe,</t>
  </si>
  <si>
    <t>mdp.39015033417901</t>
  </si>
  <si>
    <t>000157277</t>
  </si>
  <si>
    <t>A manual of orthography and elementary sounds,</t>
  </si>
  <si>
    <t>Pattengill, Henry Romaine,</t>
  </si>
  <si>
    <t>mdp.39015058690325</t>
  </si>
  <si>
    <t>000157282</t>
  </si>
  <si>
    <t>A system of notation; representing the sounds of alphabetical characters by a new application of the accentual marks in present use: with such additions as were necessary to supply deficiencies.</t>
  </si>
  <si>
    <t>Pelham, William.</t>
  </si>
  <si>
    <t>mdp.39015033417893</t>
  </si>
  <si>
    <t>000157285</t>
  </si>
  <si>
    <t>How should I pronounce? or, The principles of the art of correct pronunciation. A manual for schools, colleges, &amp; private use,</t>
  </si>
  <si>
    <t>Phyfe, William Henry Pinkney,</t>
  </si>
  <si>
    <t>mdp.39015058690507</t>
  </si>
  <si>
    <t>000157318</t>
  </si>
  <si>
    <t>The teacher's manual.</t>
  </si>
  <si>
    <t>part 1</t>
  </si>
  <si>
    <t>Soames, Laura,</t>
  </si>
  <si>
    <t>mdp.39015058690515</t>
  </si>
  <si>
    <t>part 2</t>
  </si>
  <si>
    <t>wu.89014931398</t>
  </si>
  <si>
    <t>wu.89014931406</t>
  </si>
  <si>
    <t>mdp.39015028092065</t>
  </si>
  <si>
    <t>000157319</t>
  </si>
  <si>
    <t>English grammar and composition, for higher grades.</t>
  </si>
  <si>
    <t>Southworth, Gordon A.</t>
  </si>
  <si>
    <t>miun.aas1427.0001.001</t>
  </si>
  <si>
    <t>000157320</t>
  </si>
  <si>
    <t>On the study of words /</t>
  </si>
  <si>
    <t>Trench, Richard Chenevix,</t>
  </si>
  <si>
    <t>mdp.39015058690796</t>
  </si>
  <si>
    <t>000157322</t>
  </si>
  <si>
    <t>On the study of words : lectures addressed (originally) to the pupils at the diocesan training-school, Winchester; /</t>
  </si>
  <si>
    <t>mdp.39015056030359</t>
  </si>
  <si>
    <t>000157324</t>
  </si>
  <si>
    <t>On the study of words, /</t>
  </si>
  <si>
    <t>mdp.39015059898430</t>
  </si>
  <si>
    <t>000157348</t>
  </si>
  <si>
    <t>A new spelling book, compiled with a view to render the arts of spelling and reading easy and pleasant to children,</t>
  </si>
  <si>
    <t>Comly, John,</t>
  </si>
  <si>
    <t>mdp.39015011447540</t>
  </si>
  <si>
    <t>000157351</t>
  </si>
  <si>
    <t>Propriety ascertained in her picture; or, Inglish speech and spelling rendered mutual guides.</t>
  </si>
  <si>
    <t>Elphinston, James,</t>
  </si>
  <si>
    <t>uc2.ark:/13960/t3hx1m56j</t>
  </si>
  <si>
    <t>mdp.39015059898422</t>
  </si>
  <si>
    <t>000157365</t>
  </si>
  <si>
    <t>A system of phonic writing.</t>
  </si>
  <si>
    <t>The tour of Doctor Syntax in search of the picturesque;</t>
  </si>
  <si>
    <t>Combe, William,</t>
  </si>
  <si>
    <t>mdp.39015063933546</t>
  </si>
  <si>
    <t>000123981</t>
  </si>
  <si>
    <t>St. John in the desert; an introduction and notes to Browning's 'A death in the desert',</t>
  </si>
  <si>
    <t>Browning, Robert,</t>
  </si>
  <si>
    <t>mdp.39015058690523</t>
  </si>
  <si>
    <t>000124288</t>
  </si>
  <si>
    <t>A new English grammar based on the recommendations of the Joint committee on grammatical terminology,</t>
  </si>
  <si>
    <t>Sonnenschein, Edward Adolf,</t>
  </si>
  <si>
    <t>njp.32101021189756</t>
  </si>
  <si>
    <t>pt. 1-3</t>
  </si>
  <si>
    <t>uc1.b4091100</t>
  </si>
  <si>
    <t>v.1</t>
  </si>
  <si>
    <t>uc1.b4091119</t>
  </si>
  <si>
    <t>V.2</t>
  </si>
  <si>
    <t>uc1.b4091120</t>
  </si>
  <si>
    <t>v.3</t>
  </si>
  <si>
    <t>uc2.ark:/13960/t9z03bb73</t>
  </si>
  <si>
    <t>njp.32101074756733</t>
  </si>
  <si>
    <t>000124482</t>
  </si>
  <si>
    <t>A tract on the present state of English pronunciation,</t>
  </si>
  <si>
    <t>Bridges, Robert,</t>
  </si>
  <si>
    <t>uc1.$b663298</t>
  </si>
  <si>
    <t>uc1.b4091439</t>
  </si>
  <si>
    <t>uc2.ark:/13960/t9571bx39</t>
  </si>
  <si>
    <t>loc.ark:/13960/t0dv26z3c</t>
  </si>
  <si>
    <t>000155577</t>
  </si>
  <si>
    <t>How to get on in the world, as demonstrated by the life and language of William Cobbett; to which is added Cobbett's English grammar with notes ...</t>
  </si>
  <si>
    <t>Waters, Robert,</t>
  </si>
  <si>
    <t>mdp.39015051427998</t>
  </si>
  <si>
    <t>mdp.39015070460079</t>
  </si>
  <si>
    <t>000157118</t>
  </si>
  <si>
    <t>From Franklin to Lowell. A century of New England pronunciation ...</t>
  </si>
  <si>
    <t>Grandgent, C. H.</t>
  </si>
  <si>
    <t>mdp.39015070459709</t>
  </si>
  <si>
    <t>000157120</t>
  </si>
  <si>
    <t>Off and on.</t>
  </si>
  <si>
    <t>mdp.39015058690085</t>
  </si>
  <si>
    <t>000157122</t>
  </si>
  <si>
    <t>An essay towards a practical English grammar, describing the genius and nature of the English tongue; giving likewise a rational and plain account of grammar in general, with a familiar explanation of its terms.</t>
  </si>
  <si>
    <t>Greenwood, James,</t>
  </si>
  <si>
    <t>mdp.39015058690200</t>
  </si>
  <si>
    <t>000157129</t>
  </si>
  <si>
    <t>American pronunciation; a text-book of phonetics for students of English,</t>
  </si>
  <si>
    <t>Kenyon, John Samuel,</t>
  </si>
  <si>
    <t>mdp.39015059378904</t>
  </si>
  <si>
    <t>000157134</t>
  </si>
  <si>
    <t>The English language: its history and structure,</t>
  </si>
  <si>
    <t>Low, Walter Humboldt.</t>
  </si>
  <si>
    <t>mdp.39015039583698</t>
  </si>
  <si>
    <t>000157136</t>
  </si>
  <si>
    <t>A short introduction to English grammar:</t>
  </si>
  <si>
    <t>Lowth, Robert,</t>
  </si>
  <si>
    <t>mdp.39015024300009</t>
  </si>
  <si>
    <t>000157138</t>
  </si>
  <si>
    <t>A critical pronouncing dictionary, and expositor of the English language ... To which are prefixed principles of English pronunciation ... Likewise, rules to be observed by the natives of Scotland, Ireland and London ... and directions to foreigners ... The whole interspersed with observations, etymological, critical, and grammatical ... To which is annexed A key to the classical pronunciation of Greek, Latin, and Scripture proper names, &amp;c.</t>
  </si>
  <si>
    <t>Walker, John,</t>
  </si>
  <si>
    <t>mdp.39015016761291</t>
  </si>
  <si>
    <t>000115933</t>
  </si>
  <si>
    <t>A critical pronouncing dictionary, and expositor of the English language ... : to which are prefixed principles of English pronunciation ... likewise, rules to be observed by the natives of Scotland, Ireland and London, for avoiding their respective peculiarities, and directions to foreigners, for acquiring a knowledge of the use of this dictionary ... to which is annexed a key to the classical pronunciation of Greek, Latin, and Scripture proper names, &amp;c. /</t>
  </si>
  <si>
    <t>miun.aam9499.0001.001</t>
  </si>
  <si>
    <t>000116076</t>
  </si>
  <si>
    <t>An etymological dictionary of the English language /</t>
  </si>
  <si>
    <t>Oswald, John.</t>
  </si>
  <si>
    <t>loc.ark:/13960/t55d9fj76</t>
  </si>
  <si>
    <t>000117764</t>
  </si>
  <si>
    <t>John Davidson; a study of the relation of his ideas to his poetry,</t>
  </si>
  <si>
    <t>Fineman, Hayim,</t>
  </si>
  <si>
    <t>mdp.39015070461796</t>
  </si>
  <si>
    <t>mdp.39015051357500</t>
  </si>
  <si>
    <t>000119598</t>
  </si>
  <si>
    <t>Americanisms and Briticisms, with other essays on other isms,</t>
  </si>
  <si>
    <t>Matthews, Brander,</t>
  </si>
  <si>
    <t>uc2.ark:/13960/fk9571881c</t>
  </si>
  <si>
    <t>mdp.39015063959947</t>
  </si>
  <si>
    <t>000120758</t>
  </si>
  <si>
    <t>Roundabout papers (from the Cornhill magazine) To which is added The second funeral of Napoleon; The four Georges; The English humorists of the eighteenth century; Critical reviews &amp; selections from Punch.</t>
  </si>
  <si>
    <t>Thackeray, William Makepeace,</t>
  </si>
  <si>
    <t>miun.aan4561.0001.001</t>
  </si>
  <si>
    <t>000121082</t>
  </si>
  <si>
    <t>Nuevo compendio teórico-práctico de la gramática inglesa : Seguido de un manual de conversaciones muy interesántes y de uso corriente en sociedad /</t>
  </si>
  <si>
    <t>Durán, C. G.</t>
  </si>
  <si>
    <t>hvd.32044018871335</t>
  </si>
  <si>
    <t>000123464</t>
  </si>
  <si>
    <t>Volume Id</t>
  </si>
  <si>
    <t>Record Id</t>
  </si>
  <si>
    <t>Graphically / Typographically Unique</t>
  </si>
  <si>
    <t>Brogan's English Versification</t>
  </si>
  <si>
    <t>Prosody Archive</t>
  </si>
  <si>
    <t>Subject Search</t>
  </si>
  <si>
    <t>Volume URL</t>
  </si>
  <si>
    <t>Record URL</t>
  </si>
  <si>
    <t>Title</t>
  </si>
  <si>
    <t>Enumeration</t>
  </si>
  <si>
    <t>Author</t>
  </si>
  <si>
    <t>Year</t>
  </si>
  <si>
    <t>mdp.39015002131111</t>
  </si>
  <si>
    <t>000005979</t>
  </si>
  <si>
    <t>The technique of English non-dramatic blank verse.</t>
  </si>
  <si>
    <t>Morton, Edward Payson,</t>
  </si>
  <si>
    <t>mdp.39015005264562</t>
  </si>
  <si>
    <t>mdp.39015035430647</t>
  </si>
  <si>
    <t>000049281</t>
  </si>
  <si>
    <t>The Journal of English studies.</t>
  </si>
  <si>
    <t>v.1 1912-1913</t>
  </si>
  <si>
    <t>mdp.39015070412195</t>
  </si>
  <si>
    <t>v.2 1913-1914</t>
  </si>
  <si>
    <t>wu.89090394669</t>
  </si>
  <si>
    <t>000095881</t>
  </si>
  <si>
    <t>Practical lessons in the use of English for primary and grammar schools,</t>
  </si>
  <si>
    <t>Hyde, Mary Frances.</t>
  </si>
  <si>
    <t>mdp.39015023566352</t>
  </si>
  <si>
    <t>000108688</t>
  </si>
  <si>
    <t>The history of England, from the accession of James I. to that of the Brunswick line,</t>
  </si>
  <si>
    <t>v.6</t>
  </si>
  <si>
    <t>Macaulay, Catharine,</t>
  </si>
  <si>
    <t>mdp.39015023566378</t>
  </si>
  <si>
    <t>v.8</t>
  </si>
  <si>
    <t>mdp.39015059381627</t>
  </si>
  <si>
    <t>000114962</t>
  </si>
  <si>
    <t>Essentials of English speech and literature; an outline of the origin and growth of the language, with chapters on the influence of the Bible, the value of the dictionary, and the use of the grammar in the study of the English tongue,</t>
  </si>
  <si>
    <t>Vizetelly, Frank H.,</t>
  </si>
  <si>
    <t>miun.aam9330.0001.001</t>
  </si>
  <si>
    <t>000115907</t>
  </si>
  <si>
    <t>The class-book of etymology : designed to promote precision in the use, and facilitate the acquisition of a knowledge of the English language /</t>
  </si>
  <si>
    <t>Lynd, James.</t>
  </si>
  <si>
    <t>miun.aam9333.0001.001</t>
  </si>
  <si>
    <t>000115910</t>
  </si>
  <si>
    <t>The first book of etymology : designed to promote precision in the use, and facilitate the acquisition of a knowledge of the English language. For beginners /</t>
  </si>
  <si>
    <t>hvd.32044086660370</t>
  </si>
  <si>
    <t>000115930</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</si>
</sst>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0"/>
      <name val="Verdana"/>
    </font>
    <font>
      <sz val="8"/>
      <name val="Verdana"/>
    </font>
    <font>
      <sz val="10"/>
      <name val="ヒラギノ角ゴ ProN W6"/>
      <charset val="128"/>
    </font>
    <font>
      <u/>
      <sz val="10"/>
      <color theme="11"/>
      <name val="Verdana"/>
    </font>
  </fonts>
  <fills count="2">
    <fill>
      <patternFill patternType="none"/>
    </fill>
    <fill>
      <patternFill patternType="gray125"/>
    </fill>
  </fills>
  <borders count="1">
    <border>
      <left/>
      <right/>
      <top/>
      <bottom/>
      <diagonal/>
    </border>
  </borders>
  <cellStyleXfs count="7">
    <xf numFmtId="0" fontId="0" fillId="0" borderId="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cellStyleXfs>
  <cellXfs count="2">
    <xf numFmtId="0" fontId="0" fillId="0" borderId="0" xfId="0"/>
    <xf numFmtId="49" fontId="0" fillId="0" borderId="0" xfId="0" applyNumberFormat="1"/>
  </cellXfs>
  <cellStyles count="7">
    <cellStyle name="Followed Hyperlink" xfId="1" builtinId="9" hidden="1"/>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connections" Target="connections.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queryTables/queryTable1.xml><?xml version="1.0" encoding="utf-8"?>
<queryTable xmlns="http://schemas.openxmlformats.org/spreadsheetml/2006/main" name="contents (2)" connectionId="1" autoFormatId="0"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313"/>
  <sheetViews>
    <sheetView tabSelected="1" workbookViewId="0">
      <selection activeCell="A2" sqref="A2:K3"/>
    </sheetView>
  </sheetViews>
  <sheetFormatPr baseColWidth="10" defaultRowHeight="13" x14ac:dyDescent="0"/>
  <cols>
    <col min="1" max="1" width="20.5703125" customWidth="1"/>
    <col min="2" max="2" width="10.28515625" customWidth="1"/>
    <col min="3" max="6" width="3.5703125" customWidth="1"/>
    <col min="7" max="7" width="10.28515625" customWidth="1"/>
    <col min="8" max="8" width="36" customWidth="1"/>
    <col min="9" max="9" width="12.85546875" style="1" customWidth="1"/>
    <col min="10" max="10" width="5.140625" style="1" customWidth="1"/>
    <col min="11" max="11" width="80.5703125" bestFit="1" customWidth="1"/>
    <col min="12" max="12" width="35.5703125" bestFit="1" customWidth="1"/>
  </cols>
  <sheetData>
    <row r="1" spans="1:12">
      <c r="A1" t="s">
        <v>20988</v>
      </c>
      <c r="B1" s="1" t="s">
        <v>20989</v>
      </c>
      <c r="C1" t="s">
        <v>20990</v>
      </c>
      <c r="D1" t="s">
        <v>20991</v>
      </c>
      <c r="E1" t="s">
        <v>20992</v>
      </c>
      <c r="F1" t="s">
        <v>20993</v>
      </c>
      <c r="G1" t="s">
        <v>20994</v>
      </c>
      <c r="H1" t="s">
        <v>20995</v>
      </c>
      <c r="I1" s="1" t="s">
        <v>20997</v>
      </c>
      <c r="J1" s="1" t="s">
        <v>20999</v>
      </c>
      <c r="K1" t="s">
        <v>20996</v>
      </c>
      <c r="L1" t="s">
        <v>20998</v>
      </c>
    </row>
    <row r="2" spans="1:12">
      <c r="A2" t="s">
        <v>21000</v>
      </c>
      <c r="B2" s="1" t="s">
        <v>21001</v>
      </c>
      <c r="E2">
        <v>1</v>
      </c>
      <c r="F2">
        <v>1</v>
      </c>
      <c r="G2" t="str">
        <f>HYPERLINK("http://babel.hathitrust.org/cgi/pt?id=mdp.39015002131111")</f>
        <v>http://babel.hathitrust.org/cgi/pt?id=mdp.39015002131111</v>
      </c>
      <c r="H2" t="str">
        <f>HYPERLINK("http://catalog.hathitrust.org/Record/000005979")</f>
        <v>http://catalog.hathitrust.org/Record/000005979</v>
      </c>
      <c r="J2" s="1">
        <v>1970</v>
      </c>
      <c r="K2" t="s">
        <v>21002</v>
      </c>
      <c r="L2" t="s">
        <v>21003</v>
      </c>
    </row>
    <row r="3" spans="1:12">
      <c r="A3" t="s">
        <v>21004</v>
      </c>
      <c r="B3" s="1" t="s">
        <v>21001</v>
      </c>
      <c r="F3">
        <v>1</v>
      </c>
      <c r="G3" t="str">
        <f>HYPERLINK("http://babel.hathitrust.org/cgi/pt?id=mdp.39015005264562")</f>
        <v>http://babel.hathitrust.org/cgi/pt?id=mdp.39015005264562</v>
      </c>
      <c r="H3" t="str">
        <f>HYPERLINK("http://catalog.hathitrust.org/Record/000005979")</f>
        <v>http://catalog.hathitrust.org/Record/000005979</v>
      </c>
      <c r="J3" s="1">
        <v>1970</v>
      </c>
      <c r="K3" t="s">
        <v>21002</v>
      </c>
      <c r="L3" t="s">
        <v>21003</v>
      </c>
    </row>
    <row r="4" spans="1:12">
      <c r="A4" t="s">
        <v>21005</v>
      </c>
      <c r="B4" s="1" t="s">
        <v>21006</v>
      </c>
      <c r="F4">
        <v>1</v>
      </c>
      <c r="G4" t="str">
        <f>HYPERLINK("http://babel.hathitrust.org/cgi/pt?id=mdp.39015035430647")</f>
        <v>http://babel.hathitrust.org/cgi/pt?id=mdp.39015035430647</v>
      </c>
      <c r="H4" t="str">
        <f>HYPERLINK("http://catalog.hathitrust.org/Record/000049281")</f>
        <v>http://catalog.hathitrust.org/Record/000049281</v>
      </c>
      <c r="I4" s="1" t="s">
        <v>21008</v>
      </c>
      <c r="J4" s="1">
        <v>1912</v>
      </c>
      <c r="K4" t="s">
        <v>21007</v>
      </c>
    </row>
    <row r="5" spans="1:12">
      <c r="A5" t="s">
        <v>21009</v>
      </c>
      <c r="B5" s="1" t="s">
        <v>21006</v>
      </c>
      <c r="F5">
        <v>1</v>
      </c>
      <c r="G5" t="str">
        <f>HYPERLINK("http://babel.hathitrust.org/cgi/pt?id=mdp.39015070412195")</f>
        <v>http://babel.hathitrust.org/cgi/pt?id=mdp.39015070412195</v>
      </c>
      <c r="H5" t="str">
        <f>HYPERLINK("http://catalog.hathitrust.org/Record/000049281")</f>
        <v>http://catalog.hathitrust.org/Record/000049281</v>
      </c>
      <c r="I5" s="1" t="s">
        <v>21010</v>
      </c>
      <c r="J5" s="1">
        <v>1912</v>
      </c>
      <c r="K5" t="s">
        <v>21007</v>
      </c>
    </row>
    <row r="6" spans="1:12">
      <c r="A6" t="s">
        <v>21011</v>
      </c>
      <c r="B6" s="1" t="s">
        <v>21012</v>
      </c>
      <c r="E6">
        <v>1</v>
      </c>
      <c r="F6">
        <v>1</v>
      </c>
      <c r="G6" t="str">
        <f>HYPERLINK("http://babel.hathitrust.org/cgi/pt?id=wu.89090394669")</f>
        <v>http://babel.hathitrust.org/cgi/pt?id=wu.89090394669</v>
      </c>
      <c r="H6" t="str">
        <f>HYPERLINK("http://catalog.hathitrust.org/Record/000095881")</f>
        <v>http://catalog.hathitrust.org/Record/000095881</v>
      </c>
      <c r="J6" s="1">
        <v>1894</v>
      </c>
      <c r="K6" t="s">
        <v>21013</v>
      </c>
      <c r="L6" t="s">
        <v>21014</v>
      </c>
    </row>
    <row r="7" spans="1:12">
      <c r="A7" t="s">
        <v>21015</v>
      </c>
      <c r="B7" s="1" t="s">
        <v>21016</v>
      </c>
      <c r="E7">
        <v>1</v>
      </c>
      <c r="G7" t="str">
        <f>HYPERLINK("http://babel.hathitrust.org/cgi/pt?id=mdp.39015023566352")</f>
        <v>http://babel.hathitrust.org/cgi/pt?id=mdp.39015023566352</v>
      </c>
      <c r="H7" t="str">
        <f>HYPERLINK("http://catalog.hathitrust.org/Record/000108688")</f>
        <v>http://catalog.hathitrust.org/Record/000108688</v>
      </c>
      <c r="I7" s="1" t="s">
        <v>21018</v>
      </c>
      <c r="J7" s="1">
        <v>1763</v>
      </c>
      <c r="K7" t="s">
        <v>21017</v>
      </c>
      <c r="L7" t="s">
        <v>21019</v>
      </c>
    </row>
    <row r="8" spans="1:12">
      <c r="A8" t="s">
        <v>21020</v>
      </c>
      <c r="B8" s="1" t="s">
        <v>21016</v>
      </c>
      <c r="E8">
        <v>1</v>
      </c>
      <c r="G8" t="str">
        <f>HYPERLINK("http://babel.hathitrust.org/cgi/pt?id=mdp.39015023566378")</f>
        <v>http://babel.hathitrust.org/cgi/pt?id=mdp.39015023566378</v>
      </c>
      <c r="H8" t="str">
        <f>HYPERLINK("http://catalog.hathitrust.org/Record/000108688")</f>
        <v>http://catalog.hathitrust.org/Record/000108688</v>
      </c>
      <c r="I8" s="1" t="s">
        <v>21021</v>
      </c>
      <c r="J8" s="1">
        <v>1763</v>
      </c>
      <c r="K8" t="s">
        <v>21017</v>
      </c>
      <c r="L8" t="s">
        <v>21019</v>
      </c>
    </row>
    <row r="9" spans="1:12">
      <c r="A9" t="s">
        <v>21022</v>
      </c>
      <c r="B9" s="1" t="s">
        <v>21023</v>
      </c>
      <c r="E9">
        <v>1</v>
      </c>
      <c r="G9" t="str">
        <f>HYPERLINK("http://babel.hathitrust.org/cgi/pt?id=mdp.39015059381627")</f>
        <v>http://babel.hathitrust.org/cgi/pt?id=mdp.39015059381627</v>
      </c>
      <c r="H9" t="str">
        <f>HYPERLINK("http://catalog.hathitrust.org/Record/000114962")</f>
        <v>http://catalog.hathitrust.org/Record/000114962</v>
      </c>
      <c r="J9" s="1">
        <v>1915</v>
      </c>
      <c r="K9" t="s">
        <v>21024</v>
      </c>
      <c r="L9" t="s">
        <v>21025</v>
      </c>
    </row>
    <row r="10" spans="1:12">
      <c r="A10" t="s">
        <v>21026</v>
      </c>
      <c r="B10" s="1" t="s">
        <v>21027</v>
      </c>
      <c r="F10">
        <v>1</v>
      </c>
      <c r="G10" t="str">
        <f>HYPERLINK("http://babel.hathitrust.org/cgi/pt?id=miun.aam9330.0001.001")</f>
        <v>http://babel.hathitrust.org/cgi/pt?id=miun.aam9330.0001.001</v>
      </c>
      <c r="H10" t="str">
        <f>HYPERLINK("http://catalog.hathitrust.org/Record/000115907")</f>
        <v>http://catalog.hathitrust.org/Record/000115907</v>
      </c>
      <c r="J10" s="1">
        <v>1854</v>
      </c>
      <c r="K10" t="s">
        <v>21028</v>
      </c>
      <c r="L10" t="s">
        <v>21029</v>
      </c>
    </row>
    <row r="11" spans="1:12">
      <c r="A11" t="s">
        <v>21030</v>
      </c>
      <c r="B11" s="1" t="s">
        <v>21031</v>
      </c>
      <c r="F11">
        <v>1</v>
      </c>
      <c r="G11" t="str">
        <f>HYPERLINK("http://babel.hathitrust.org/cgi/pt?id=miun.aam9333.0001.001")</f>
        <v>http://babel.hathitrust.org/cgi/pt?id=miun.aam9333.0001.001</v>
      </c>
      <c r="H11" t="str">
        <f>HYPERLINK("http://catalog.hathitrust.org/Record/000115910")</f>
        <v>http://catalog.hathitrust.org/Record/000115910</v>
      </c>
      <c r="J11" s="1">
        <v>1853</v>
      </c>
      <c r="K11" t="s">
        <v>21032</v>
      </c>
      <c r="L11" t="s">
        <v>21029</v>
      </c>
    </row>
    <row r="12" spans="1:12">
      <c r="A12" t="s">
        <v>21033</v>
      </c>
      <c r="B12" s="1" t="s">
        <v>21034</v>
      </c>
      <c r="E12">
        <v>1</v>
      </c>
      <c r="G12" t="str">
        <f>HYPERLINK("http://babel.hathitrust.org/cgi/pt?id=hvd.32044086660370")</f>
        <v>http://babel.hathitrust.org/cgi/pt?id=hvd.32044086660370</v>
      </c>
      <c r="H12" t="str">
        <f>HYPERLINK("http://catalog.hathitrust.org/Record/000115930")</f>
        <v>http://catalog.hathitrust.org/Record/000115930</v>
      </c>
      <c r="J12" s="1">
        <v>1825</v>
      </c>
      <c r="K12" t="s">
        <v>20959</v>
      </c>
      <c r="L12" t="s">
        <v>20960</v>
      </c>
    </row>
    <row r="13" spans="1:12">
      <c r="A13" t="s">
        <v>20961</v>
      </c>
      <c r="B13" s="1" t="s">
        <v>20962</v>
      </c>
      <c r="E13">
        <v>1</v>
      </c>
      <c r="F13">
        <v>1</v>
      </c>
      <c r="G13" t="str">
        <f>HYPERLINK("http://babel.hathitrust.org/cgi/pt?id=mdp.39015016761291")</f>
        <v>http://babel.hathitrust.org/cgi/pt?id=mdp.39015016761291</v>
      </c>
      <c r="H13" t="str">
        <f>HYPERLINK("http://catalog.hathitrust.org/Record/000115933")</f>
        <v>http://catalog.hathitrust.org/Record/000115933</v>
      </c>
      <c r="J13" s="1">
        <v>1827</v>
      </c>
      <c r="K13" t="s">
        <v>20963</v>
      </c>
      <c r="L13" t="s">
        <v>20960</v>
      </c>
    </row>
    <row r="14" spans="1:12">
      <c r="A14" t="s">
        <v>20964</v>
      </c>
      <c r="B14" s="1" t="s">
        <v>20965</v>
      </c>
      <c r="F14">
        <v>1</v>
      </c>
      <c r="G14" t="str">
        <f>HYPERLINK("http://babel.hathitrust.org/cgi/pt?id=miun.aam9499.0001.001")</f>
        <v>http://babel.hathitrust.org/cgi/pt?id=miun.aam9499.0001.001</v>
      </c>
      <c r="H14" t="str">
        <f>HYPERLINK("http://catalog.hathitrust.org/Record/000116076")</f>
        <v>http://catalog.hathitrust.org/Record/000116076</v>
      </c>
      <c r="J14" s="1">
        <v>1868</v>
      </c>
      <c r="K14" t="s">
        <v>20966</v>
      </c>
      <c r="L14" t="s">
        <v>20967</v>
      </c>
    </row>
    <row r="15" spans="1:12">
      <c r="A15" t="s">
        <v>20968</v>
      </c>
      <c r="B15" s="1" t="s">
        <v>20969</v>
      </c>
      <c r="F15">
        <v>1</v>
      </c>
      <c r="G15" t="str">
        <f>HYPERLINK("http://babel.hathitrust.org/cgi/pt?id=loc.ark:/13960/t55d9fj76")</f>
        <v>http://babel.hathitrust.org/cgi/pt?id=loc.ark:/13960/t55d9fj76</v>
      </c>
      <c r="H15" t="str">
        <f>HYPERLINK("http://catalog.hathitrust.org/Record/000117764")</f>
        <v>http://catalog.hathitrust.org/Record/000117764</v>
      </c>
      <c r="J15" s="1">
        <v>1916</v>
      </c>
      <c r="K15" t="s">
        <v>20970</v>
      </c>
      <c r="L15" t="s">
        <v>20971</v>
      </c>
    </row>
    <row r="16" spans="1:12">
      <c r="A16" t="s">
        <v>20972</v>
      </c>
      <c r="B16" s="1" t="s">
        <v>20969</v>
      </c>
      <c r="F16">
        <v>1</v>
      </c>
      <c r="G16" t="str">
        <f>HYPERLINK("http://babel.hathitrust.org/cgi/pt?id=mdp.39015070461796")</f>
        <v>http://babel.hathitrust.org/cgi/pt?id=mdp.39015070461796</v>
      </c>
      <c r="H16" t="str">
        <f>HYPERLINK("http://catalog.hathitrust.org/Record/000117764")</f>
        <v>http://catalog.hathitrust.org/Record/000117764</v>
      </c>
      <c r="J16" s="1">
        <v>1916</v>
      </c>
      <c r="K16" t="s">
        <v>20970</v>
      </c>
      <c r="L16" t="s">
        <v>20971</v>
      </c>
    </row>
    <row r="17" spans="1:12">
      <c r="A17" t="s">
        <v>20973</v>
      </c>
      <c r="B17" s="1" t="s">
        <v>20974</v>
      </c>
      <c r="F17">
        <v>1</v>
      </c>
      <c r="G17" t="str">
        <f>HYPERLINK("http://babel.hathitrust.org/cgi/pt?id=mdp.39015051357500")</f>
        <v>http://babel.hathitrust.org/cgi/pt?id=mdp.39015051357500</v>
      </c>
      <c r="H17" t="str">
        <f>HYPERLINK("http://catalog.hathitrust.org/Record/000119598")</f>
        <v>http://catalog.hathitrust.org/Record/000119598</v>
      </c>
      <c r="J17" s="1">
        <v>1892</v>
      </c>
      <c r="K17" t="s">
        <v>20975</v>
      </c>
      <c r="L17" t="s">
        <v>20976</v>
      </c>
    </row>
    <row r="18" spans="1:12">
      <c r="A18" t="s">
        <v>20977</v>
      </c>
      <c r="B18" s="1" t="s">
        <v>20974</v>
      </c>
      <c r="F18">
        <v>1</v>
      </c>
      <c r="G18" t="str">
        <f>HYPERLINK("http://babel.hathitrust.org/cgi/pt?id=uc2.ark:/13960/fk9571881c")</f>
        <v>http://babel.hathitrust.org/cgi/pt?id=uc2.ark:/13960/fk9571881c</v>
      </c>
      <c r="H18" t="str">
        <f>HYPERLINK("http://catalog.hathitrust.org/Record/000119598")</f>
        <v>http://catalog.hathitrust.org/Record/000119598</v>
      </c>
      <c r="J18" s="1">
        <v>1892</v>
      </c>
      <c r="K18" t="s">
        <v>20975</v>
      </c>
      <c r="L18" t="s">
        <v>20976</v>
      </c>
    </row>
    <row r="19" spans="1:12">
      <c r="A19" t="s">
        <v>20978</v>
      </c>
      <c r="B19" s="1" t="s">
        <v>20979</v>
      </c>
      <c r="E19">
        <v>1</v>
      </c>
      <c r="G19" t="str">
        <f>HYPERLINK("http://babel.hathitrust.org/cgi/pt?id=mdp.39015063959947")</f>
        <v>http://babel.hathitrust.org/cgi/pt?id=mdp.39015063959947</v>
      </c>
      <c r="H19" t="str">
        <f>HYPERLINK("http://catalog.hathitrust.org/Record/000120758")</f>
        <v>http://catalog.hathitrust.org/Record/000120758</v>
      </c>
      <c r="J19" s="1">
        <v>1883</v>
      </c>
      <c r="K19" t="s">
        <v>20980</v>
      </c>
      <c r="L19" t="s">
        <v>20981</v>
      </c>
    </row>
    <row r="20" spans="1:12">
      <c r="A20" t="s">
        <v>20982</v>
      </c>
      <c r="B20" s="1" t="s">
        <v>20983</v>
      </c>
      <c r="F20">
        <v>1</v>
      </c>
      <c r="G20" t="str">
        <f>HYPERLINK("http://babel.hathitrust.org/cgi/pt?id=miun.aan4561.0001.001")</f>
        <v>http://babel.hathitrust.org/cgi/pt?id=miun.aan4561.0001.001</v>
      </c>
      <c r="H20" t="str">
        <f>HYPERLINK("http://catalog.hathitrust.org/Record/000121082")</f>
        <v>http://catalog.hathitrust.org/Record/000121082</v>
      </c>
      <c r="J20" s="1">
        <v>1900</v>
      </c>
      <c r="K20" t="s">
        <v>20984</v>
      </c>
      <c r="L20" t="s">
        <v>20985</v>
      </c>
    </row>
    <row r="21" spans="1:12">
      <c r="A21" t="s">
        <v>20986</v>
      </c>
      <c r="B21" s="1" t="s">
        <v>20987</v>
      </c>
      <c r="E21">
        <v>1</v>
      </c>
      <c r="G21" t="str">
        <f>HYPERLINK("http://babel.hathitrust.org/cgi/pt?id=hvd.32044018871335")</f>
        <v>http://babel.hathitrust.org/cgi/pt?id=hvd.32044018871335</v>
      </c>
      <c r="H21" t="str">
        <f>HYPERLINK("http://catalog.hathitrust.org/Record/000123464")</f>
        <v>http://catalog.hathitrust.org/Record/000123464</v>
      </c>
      <c r="J21" s="1">
        <v>1838</v>
      </c>
      <c r="K21" t="s">
        <v>20903</v>
      </c>
      <c r="L21" t="s">
        <v>20904</v>
      </c>
    </row>
    <row r="22" spans="1:12">
      <c r="A22" t="s">
        <v>20905</v>
      </c>
      <c r="B22" s="1" t="s">
        <v>20906</v>
      </c>
      <c r="D22">
        <v>1</v>
      </c>
      <c r="G22" t="str">
        <f>HYPERLINK("http://babel.hathitrust.org/cgi/pt?id=mdp.39015063933546")</f>
        <v>http://babel.hathitrust.org/cgi/pt?id=mdp.39015063933546</v>
      </c>
      <c r="H22" t="str">
        <f>HYPERLINK("http://catalog.hathitrust.org/Record/000123981")</f>
        <v>http://catalog.hathitrust.org/Record/000123981</v>
      </c>
      <c r="J22" s="1">
        <v>1897</v>
      </c>
      <c r="K22" t="s">
        <v>20907</v>
      </c>
      <c r="L22" t="s">
        <v>20908</v>
      </c>
    </row>
    <row r="23" spans="1:12">
      <c r="A23" t="s">
        <v>20909</v>
      </c>
      <c r="B23" s="1" t="s">
        <v>20910</v>
      </c>
      <c r="F23">
        <v>1</v>
      </c>
      <c r="G23" t="str">
        <f>HYPERLINK("http://babel.hathitrust.org/cgi/pt?id=mdp.39015058690523")</f>
        <v>http://babel.hathitrust.org/cgi/pt?id=mdp.39015058690523</v>
      </c>
      <c r="H23" t="str">
        <f t="shared" ref="H23:H28" si="0">HYPERLINK("http://catalog.hathitrust.org/Record/000124288")</f>
        <v>http://catalog.hathitrust.org/Record/000124288</v>
      </c>
      <c r="J23" s="1">
        <v>1917</v>
      </c>
      <c r="K23" t="s">
        <v>20911</v>
      </c>
      <c r="L23" t="s">
        <v>20912</v>
      </c>
    </row>
    <row r="24" spans="1:12">
      <c r="A24" t="s">
        <v>20913</v>
      </c>
      <c r="B24" s="1" t="s">
        <v>20910</v>
      </c>
      <c r="F24">
        <v>1</v>
      </c>
      <c r="G24" t="str">
        <f>HYPERLINK("http://babel.hathitrust.org/cgi/pt?id=njp.32101021189756")</f>
        <v>http://babel.hathitrust.org/cgi/pt?id=njp.32101021189756</v>
      </c>
      <c r="H24" t="str">
        <f t="shared" si="0"/>
        <v>http://catalog.hathitrust.org/Record/000124288</v>
      </c>
      <c r="I24" s="1" t="s">
        <v>20914</v>
      </c>
      <c r="J24" s="1">
        <v>1917</v>
      </c>
      <c r="K24" t="s">
        <v>20911</v>
      </c>
      <c r="L24" t="s">
        <v>20912</v>
      </c>
    </row>
    <row r="25" spans="1:12">
      <c r="A25" t="s">
        <v>20915</v>
      </c>
      <c r="B25" s="1" t="s">
        <v>20910</v>
      </c>
      <c r="F25">
        <v>1</v>
      </c>
      <c r="G25" t="str">
        <f>HYPERLINK("http://babel.hathitrust.org/cgi/pt?id=uc1.b4091100")</f>
        <v>http://babel.hathitrust.org/cgi/pt?id=uc1.b4091100</v>
      </c>
      <c r="H25" t="str">
        <f t="shared" si="0"/>
        <v>http://catalog.hathitrust.org/Record/000124288</v>
      </c>
      <c r="I25" s="1" t="s">
        <v>20916</v>
      </c>
      <c r="J25" s="1">
        <v>1917</v>
      </c>
      <c r="K25" t="s">
        <v>20911</v>
      </c>
      <c r="L25" t="s">
        <v>20912</v>
      </c>
    </row>
    <row r="26" spans="1:12">
      <c r="A26" t="s">
        <v>20917</v>
      </c>
      <c r="B26" s="1" t="s">
        <v>20910</v>
      </c>
      <c r="F26">
        <v>1</v>
      </c>
      <c r="G26" t="str">
        <f>HYPERLINK("http://babel.hathitrust.org/cgi/pt?id=uc1.b4091119")</f>
        <v>http://babel.hathitrust.org/cgi/pt?id=uc1.b4091119</v>
      </c>
      <c r="H26" t="str">
        <f t="shared" si="0"/>
        <v>http://catalog.hathitrust.org/Record/000124288</v>
      </c>
      <c r="I26" s="1" t="s">
        <v>20918</v>
      </c>
      <c r="J26" s="1">
        <v>1917</v>
      </c>
      <c r="K26" t="s">
        <v>20911</v>
      </c>
      <c r="L26" t="s">
        <v>20912</v>
      </c>
    </row>
    <row r="27" spans="1:12">
      <c r="A27" t="s">
        <v>20919</v>
      </c>
      <c r="B27" s="1" t="s">
        <v>20910</v>
      </c>
      <c r="F27">
        <v>1</v>
      </c>
      <c r="G27" t="str">
        <f>HYPERLINK("http://babel.hathitrust.org/cgi/pt?id=uc1.b4091120")</f>
        <v>http://babel.hathitrust.org/cgi/pt?id=uc1.b4091120</v>
      </c>
      <c r="H27" t="str">
        <f t="shared" si="0"/>
        <v>http://catalog.hathitrust.org/Record/000124288</v>
      </c>
      <c r="I27" s="1" t="s">
        <v>20920</v>
      </c>
      <c r="J27" s="1">
        <v>1917</v>
      </c>
      <c r="K27" t="s">
        <v>20911</v>
      </c>
      <c r="L27" t="s">
        <v>20912</v>
      </c>
    </row>
    <row r="28" spans="1:12">
      <c r="A28" t="s">
        <v>20921</v>
      </c>
      <c r="B28" s="1" t="s">
        <v>20910</v>
      </c>
      <c r="F28">
        <v>1</v>
      </c>
      <c r="G28" t="str">
        <f>HYPERLINK("http://babel.hathitrust.org/cgi/pt?id=uc2.ark:/13960/t9z03bb73")</f>
        <v>http://babel.hathitrust.org/cgi/pt?id=uc2.ark:/13960/t9z03bb73</v>
      </c>
      <c r="H28" t="str">
        <f t="shared" si="0"/>
        <v>http://catalog.hathitrust.org/Record/000124288</v>
      </c>
      <c r="J28" s="1">
        <v>1917</v>
      </c>
      <c r="K28" t="s">
        <v>20911</v>
      </c>
      <c r="L28" t="s">
        <v>20912</v>
      </c>
    </row>
    <row r="29" spans="1:12">
      <c r="A29" t="s">
        <v>20922</v>
      </c>
      <c r="B29" s="1" t="s">
        <v>20923</v>
      </c>
      <c r="E29">
        <v>1</v>
      </c>
      <c r="F29">
        <v>1</v>
      </c>
      <c r="G29" t="str">
        <f>HYPERLINK("http://babel.hathitrust.org/cgi/pt?id=njp.32101074756733")</f>
        <v>http://babel.hathitrust.org/cgi/pt?id=njp.32101074756733</v>
      </c>
      <c r="H29" t="str">
        <f>HYPERLINK("http://catalog.hathitrust.org/Record/000124482")</f>
        <v>http://catalog.hathitrust.org/Record/000124482</v>
      </c>
      <c r="J29" s="1">
        <v>1913</v>
      </c>
      <c r="K29" t="s">
        <v>20924</v>
      </c>
      <c r="L29" t="s">
        <v>20925</v>
      </c>
    </row>
    <row r="30" spans="1:12">
      <c r="A30" t="s">
        <v>20926</v>
      </c>
      <c r="B30" s="1" t="s">
        <v>20923</v>
      </c>
      <c r="F30">
        <v>1</v>
      </c>
      <c r="G30" t="str">
        <f>HYPERLINK("http://babel.hathitrust.org/cgi/pt?id=uc1.$b663298")</f>
        <v>http://babel.hathitrust.org/cgi/pt?id=uc1.$b663298</v>
      </c>
      <c r="H30" t="str">
        <f>HYPERLINK("http://catalog.hathitrust.org/Record/000124482")</f>
        <v>http://catalog.hathitrust.org/Record/000124482</v>
      </c>
      <c r="J30" s="1">
        <v>1913</v>
      </c>
      <c r="K30" t="s">
        <v>20924</v>
      </c>
      <c r="L30" t="s">
        <v>20925</v>
      </c>
    </row>
    <row r="31" spans="1:12">
      <c r="A31" t="s">
        <v>20927</v>
      </c>
      <c r="B31" s="1" t="s">
        <v>20923</v>
      </c>
      <c r="F31">
        <v>1</v>
      </c>
      <c r="G31" t="str">
        <f>HYPERLINK("http://babel.hathitrust.org/cgi/pt?id=uc1.b4091439")</f>
        <v>http://babel.hathitrust.org/cgi/pt?id=uc1.b4091439</v>
      </c>
      <c r="H31" t="str">
        <f>HYPERLINK("http://catalog.hathitrust.org/Record/000124482")</f>
        <v>http://catalog.hathitrust.org/Record/000124482</v>
      </c>
      <c r="J31" s="1">
        <v>1913</v>
      </c>
      <c r="K31" t="s">
        <v>20924</v>
      </c>
      <c r="L31" t="s">
        <v>20925</v>
      </c>
    </row>
    <row r="32" spans="1:12">
      <c r="A32" t="s">
        <v>20928</v>
      </c>
      <c r="B32" s="1" t="s">
        <v>20923</v>
      </c>
      <c r="F32">
        <v>1</v>
      </c>
      <c r="G32" t="str">
        <f>HYPERLINK("http://babel.hathitrust.org/cgi/pt?id=uc2.ark:/13960/t9571bx39")</f>
        <v>http://babel.hathitrust.org/cgi/pt?id=uc2.ark:/13960/t9571bx39</v>
      </c>
      <c r="H32" t="str">
        <f>HYPERLINK("http://catalog.hathitrust.org/Record/000124482")</f>
        <v>http://catalog.hathitrust.org/Record/000124482</v>
      </c>
      <c r="J32" s="1">
        <v>1913</v>
      </c>
      <c r="K32" t="s">
        <v>20924</v>
      </c>
      <c r="L32" t="s">
        <v>20925</v>
      </c>
    </row>
    <row r="33" spans="1:12">
      <c r="A33" t="s">
        <v>20929</v>
      </c>
      <c r="B33" s="1" t="s">
        <v>20930</v>
      </c>
      <c r="F33">
        <v>1</v>
      </c>
      <c r="G33" t="str">
        <f>HYPERLINK("http://babel.hathitrust.org/cgi/pt?id=loc.ark:/13960/t0dv26z3c")</f>
        <v>http://babel.hathitrust.org/cgi/pt?id=loc.ark:/13960/t0dv26z3c</v>
      </c>
      <c r="H33" t="str">
        <f>HYPERLINK("http://catalog.hathitrust.org/Record/000155577")</f>
        <v>http://catalog.hathitrust.org/Record/000155577</v>
      </c>
      <c r="J33" s="1">
        <v>1883</v>
      </c>
      <c r="K33" t="s">
        <v>20931</v>
      </c>
      <c r="L33" t="s">
        <v>20932</v>
      </c>
    </row>
    <row r="34" spans="1:12">
      <c r="A34" t="s">
        <v>20933</v>
      </c>
      <c r="B34" s="1" t="s">
        <v>20930</v>
      </c>
      <c r="F34">
        <v>1</v>
      </c>
      <c r="G34" t="str">
        <f>HYPERLINK("http://babel.hathitrust.org/cgi/pt?id=mdp.39015051427998")</f>
        <v>http://babel.hathitrust.org/cgi/pt?id=mdp.39015051427998</v>
      </c>
      <c r="H34" t="str">
        <f>HYPERLINK("http://catalog.hathitrust.org/Record/000155577")</f>
        <v>http://catalog.hathitrust.org/Record/000155577</v>
      </c>
      <c r="J34" s="1">
        <v>1883</v>
      </c>
      <c r="K34" t="s">
        <v>20931</v>
      </c>
      <c r="L34" t="s">
        <v>20932</v>
      </c>
    </row>
    <row r="35" spans="1:12">
      <c r="A35" t="s">
        <v>20934</v>
      </c>
      <c r="B35" s="1" t="s">
        <v>20935</v>
      </c>
      <c r="F35">
        <v>1</v>
      </c>
      <c r="G35" t="str">
        <f>HYPERLINK("http://babel.hathitrust.org/cgi/pt?id=mdp.39015070460079")</f>
        <v>http://babel.hathitrust.org/cgi/pt?id=mdp.39015070460079</v>
      </c>
      <c r="H35" t="str">
        <f>HYPERLINK("http://catalog.hathitrust.org/Record/000157118")</f>
        <v>http://catalog.hathitrust.org/Record/000157118</v>
      </c>
      <c r="J35" s="1">
        <v>1895</v>
      </c>
      <c r="K35" t="s">
        <v>20936</v>
      </c>
      <c r="L35" t="s">
        <v>20937</v>
      </c>
    </row>
    <row r="36" spans="1:12">
      <c r="A36" t="s">
        <v>20938</v>
      </c>
      <c r="B36" s="1" t="s">
        <v>20939</v>
      </c>
      <c r="F36">
        <v>1</v>
      </c>
      <c r="G36" t="str">
        <f>HYPERLINK("http://babel.hathitrust.org/cgi/pt?id=mdp.39015070459709")</f>
        <v>http://babel.hathitrust.org/cgi/pt?id=mdp.39015070459709</v>
      </c>
      <c r="H36" t="str">
        <f>HYPERLINK("http://catalog.hathitrust.org/Record/000157120")</f>
        <v>http://catalog.hathitrust.org/Record/000157120</v>
      </c>
      <c r="J36" s="1">
        <v>1893</v>
      </c>
      <c r="K36" t="s">
        <v>20940</v>
      </c>
      <c r="L36" t="s">
        <v>20937</v>
      </c>
    </row>
    <row r="37" spans="1:12">
      <c r="A37" t="s">
        <v>20941</v>
      </c>
      <c r="B37" s="1" t="s">
        <v>20942</v>
      </c>
      <c r="E37">
        <v>1</v>
      </c>
      <c r="F37">
        <v>1</v>
      </c>
      <c r="G37" t="str">
        <f>HYPERLINK("http://babel.hathitrust.org/cgi/pt?id=mdp.39015058690085")</f>
        <v>http://babel.hathitrust.org/cgi/pt?id=mdp.39015058690085</v>
      </c>
      <c r="H37" t="str">
        <f>HYPERLINK("http://catalog.hathitrust.org/Record/000157122")</f>
        <v>http://catalog.hathitrust.org/Record/000157122</v>
      </c>
      <c r="J37" s="1">
        <v>1753</v>
      </c>
      <c r="K37" t="s">
        <v>20943</v>
      </c>
      <c r="L37" t="s">
        <v>20944</v>
      </c>
    </row>
    <row r="38" spans="1:12">
      <c r="A38" t="s">
        <v>20945</v>
      </c>
      <c r="B38" s="1" t="s">
        <v>20946</v>
      </c>
      <c r="F38">
        <v>1</v>
      </c>
      <c r="G38" t="str">
        <f>HYPERLINK("http://babel.hathitrust.org/cgi/pt?id=mdp.39015058690200")</f>
        <v>http://babel.hathitrust.org/cgi/pt?id=mdp.39015058690200</v>
      </c>
      <c r="H38" t="str">
        <f>HYPERLINK("http://catalog.hathitrust.org/Record/000157129")</f>
        <v>http://catalog.hathitrust.org/Record/000157129</v>
      </c>
      <c r="J38" s="1">
        <v>1932</v>
      </c>
      <c r="K38" t="s">
        <v>20947</v>
      </c>
      <c r="L38" t="s">
        <v>20948</v>
      </c>
    </row>
    <row r="39" spans="1:12">
      <c r="A39" t="s">
        <v>20949</v>
      </c>
      <c r="B39" s="1" t="s">
        <v>20950</v>
      </c>
      <c r="F39">
        <v>1</v>
      </c>
      <c r="G39" t="str">
        <f>HYPERLINK("http://babel.hathitrust.org/cgi/pt?id=mdp.39015059378904")</f>
        <v>http://babel.hathitrust.org/cgi/pt?id=mdp.39015059378904</v>
      </c>
      <c r="H39" t="str">
        <f>HYPERLINK("http://catalog.hathitrust.org/Record/000157134")</f>
        <v>http://catalog.hathitrust.org/Record/000157134</v>
      </c>
      <c r="J39" s="1">
        <v>1893</v>
      </c>
      <c r="K39" t="s">
        <v>20951</v>
      </c>
      <c r="L39" t="s">
        <v>20952</v>
      </c>
    </row>
    <row r="40" spans="1:12">
      <c r="A40" t="s">
        <v>20953</v>
      </c>
      <c r="B40" s="1" t="s">
        <v>20954</v>
      </c>
      <c r="E40">
        <v>1</v>
      </c>
      <c r="F40">
        <v>1</v>
      </c>
      <c r="G40" t="str">
        <f>HYPERLINK("http://babel.hathitrust.org/cgi/pt?id=mdp.39015039583698")</f>
        <v>http://babel.hathitrust.org/cgi/pt?id=mdp.39015039583698</v>
      </c>
      <c r="H40" t="str">
        <f>HYPERLINK("http://catalog.hathitrust.org/Record/000157136")</f>
        <v>http://catalog.hathitrust.org/Record/000157136</v>
      </c>
      <c r="J40" s="1">
        <v>1763</v>
      </c>
      <c r="K40" t="s">
        <v>20955</v>
      </c>
      <c r="L40" t="s">
        <v>20956</v>
      </c>
    </row>
    <row r="41" spans="1:12">
      <c r="A41" t="s">
        <v>20957</v>
      </c>
      <c r="B41" s="1" t="s">
        <v>20958</v>
      </c>
      <c r="F41">
        <v>1</v>
      </c>
      <c r="G41" t="str">
        <f>HYPERLINK("http://babel.hathitrust.org/cgi/pt?id=mdp.39015024300009")</f>
        <v>http://babel.hathitrust.org/cgi/pt?id=mdp.39015024300009</v>
      </c>
      <c r="H41" t="str">
        <f>HYPERLINK("http://catalog.hathitrust.org/Record/000157138")</f>
        <v>http://catalog.hathitrust.org/Record/000157138</v>
      </c>
      <c r="J41" s="1">
        <v>1829</v>
      </c>
      <c r="K41" t="s">
        <v>20850</v>
      </c>
      <c r="L41" t="s">
        <v>20851</v>
      </c>
    </row>
    <row r="42" spans="1:12">
      <c r="A42" t="s">
        <v>20852</v>
      </c>
      <c r="B42" s="1" t="s">
        <v>20853</v>
      </c>
      <c r="F42">
        <v>1</v>
      </c>
      <c r="G42" t="str">
        <f>HYPERLINK("http://babel.hathitrust.org/cgi/pt?id=mdp.39015059378888")</f>
        <v>http://babel.hathitrust.org/cgi/pt?id=mdp.39015059378888</v>
      </c>
      <c r="H42" t="str">
        <f>HYPERLINK("http://catalog.hathitrust.org/Record/000157139")</f>
        <v>http://catalog.hathitrust.org/Record/000157139</v>
      </c>
      <c r="J42" s="1">
        <v>1890</v>
      </c>
      <c r="K42" t="s">
        <v>20854</v>
      </c>
      <c r="L42" t="s">
        <v>20855</v>
      </c>
    </row>
    <row r="43" spans="1:12">
      <c r="A43" t="s">
        <v>20856</v>
      </c>
      <c r="B43" s="1" t="s">
        <v>20857</v>
      </c>
      <c r="F43">
        <v>1</v>
      </c>
      <c r="G43" t="str">
        <f>HYPERLINK("http://babel.hathitrust.org/cgi/pt?id=mdp.39015033417901")</f>
        <v>http://babel.hathitrust.org/cgi/pt?id=mdp.39015033417901</v>
      </c>
      <c r="H43" t="str">
        <f>HYPERLINK("http://catalog.hathitrust.org/Record/000157277")</f>
        <v>http://catalog.hathitrust.org/Record/000157277</v>
      </c>
      <c r="J43" s="1">
        <v>1900</v>
      </c>
      <c r="K43" t="s">
        <v>20858</v>
      </c>
      <c r="L43" t="s">
        <v>20859</v>
      </c>
    </row>
    <row r="44" spans="1:12">
      <c r="A44" t="s">
        <v>20860</v>
      </c>
      <c r="B44" s="1" t="s">
        <v>20861</v>
      </c>
      <c r="F44">
        <v>1</v>
      </c>
      <c r="G44" t="str">
        <f>HYPERLINK("http://babel.hathitrust.org/cgi/pt?id=mdp.39015058690325")</f>
        <v>http://babel.hathitrust.org/cgi/pt?id=mdp.39015058690325</v>
      </c>
      <c r="H44" t="str">
        <f>HYPERLINK("http://catalog.hathitrust.org/Record/000157282")</f>
        <v>http://catalog.hathitrust.org/Record/000157282</v>
      </c>
      <c r="J44" s="1">
        <v>1908</v>
      </c>
      <c r="K44" t="s">
        <v>20862</v>
      </c>
      <c r="L44" t="s">
        <v>20863</v>
      </c>
    </row>
    <row r="45" spans="1:12">
      <c r="A45" t="s">
        <v>20864</v>
      </c>
      <c r="B45" s="1" t="s">
        <v>20865</v>
      </c>
      <c r="F45">
        <v>1</v>
      </c>
      <c r="G45" t="str">
        <f>HYPERLINK("http://babel.hathitrust.org/cgi/pt?id=mdp.39015033417893")</f>
        <v>http://babel.hathitrust.org/cgi/pt?id=mdp.39015033417893</v>
      </c>
      <c r="H45" t="str">
        <f>HYPERLINK("http://catalog.hathitrust.org/Record/000157285")</f>
        <v>http://catalog.hathitrust.org/Record/000157285</v>
      </c>
      <c r="J45" s="1">
        <v>1889</v>
      </c>
      <c r="K45" t="s">
        <v>20866</v>
      </c>
      <c r="L45" t="s">
        <v>20867</v>
      </c>
    </row>
    <row r="46" spans="1:12">
      <c r="A46" t="s">
        <v>20868</v>
      </c>
      <c r="B46" s="1" t="s">
        <v>20869</v>
      </c>
      <c r="F46">
        <v>1</v>
      </c>
      <c r="G46" t="str">
        <f>HYPERLINK("http://babel.hathitrust.org/cgi/pt?id=mdp.39015058690507")</f>
        <v>http://babel.hathitrust.org/cgi/pt?id=mdp.39015058690507</v>
      </c>
      <c r="H46" t="str">
        <f>HYPERLINK("http://catalog.hathitrust.org/Record/000157318")</f>
        <v>http://catalog.hathitrust.org/Record/000157318</v>
      </c>
      <c r="I46" s="1" t="s">
        <v>20871</v>
      </c>
      <c r="J46" s="1">
        <v>1913</v>
      </c>
      <c r="K46" t="s">
        <v>20870</v>
      </c>
      <c r="L46" t="s">
        <v>20872</v>
      </c>
    </row>
    <row r="47" spans="1:12">
      <c r="A47" t="s">
        <v>20873</v>
      </c>
      <c r="B47" s="1" t="s">
        <v>20869</v>
      </c>
      <c r="F47">
        <v>1</v>
      </c>
      <c r="G47" t="str">
        <f>HYPERLINK("http://babel.hathitrust.org/cgi/pt?id=mdp.39015058690515")</f>
        <v>http://babel.hathitrust.org/cgi/pt?id=mdp.39015058690515</v>
      </c>
      <c r="H47" t="str">
        <f>HYPERLINK("http://catalog.hathitrust.org/Record/000157318")</f>
        <v>http://catalog.hathitrust.org/Record/000157318</v>
      </c>
      <c r="I47" s="1" t="s">
        <v>20874</v>
      </c>
      <c r="J47" s="1">
        <v>1913</v>
      </c>
      <c r="K47" t="s">
        <v>20870</v>
      </c>
      <c r="L47" t="s">
        <v>20872</v>
      </c>
    </row>
    <row r="48" spans="1:12">
      <c r="A48" t="s">
        <v>20875</v>
      </c>
      <c r="B48" s="1" t="s">
        <v>20869</v>
      </c>
      <c r="F48">
        <v>1</v>
      </c>
      <c r="G48" t="str">
        <f>HYPERLINK("http://babel.hathitrust.org/cgi/pt?id=wu.89014931398")</f>
        <v>http://babel.hathitrust.org/cgi/pt?id=wu.89014931398</v>
      </c>
      <c r="H48" t="str">
        <f>HYPERLINK("http://catalog.hathitrust.org/Record/000157318")</f>
        <v>http://catalog.hathitrust.org/Record/000157318</v>
      </c>
      <c r="I48" s="1">
        <v>2</v>
      </c>
      <c r="J48" s="1">
        <v>1913</v>
      </c>
      <c r="K48" t="s">
        <v>20870</v>
      </c>
      <c r="L48" t="s">
        <v>20872</v>
      </c>
    </row>
    <row r="49" spans="1:12">
      <c r="A49" t="s">
        <v>20876</v>
      </c>
      <c r="B49" s="1" t="s">
        <v>20869</v>
      </c>
      <c r="F49">
        <v>1</v>
      </c>
      <c r="G49" t="str">
        <f>HYPERLINK("http://babel.hathitrust.org/cgi/pt?id=wu.89014931406")</f>
        <v>http://babel.hathitrust.org/cgi/pt?id=wu.89014931406</v>
      </c>
      <c r="H49" t="str">
        <f>HYPERLINK("http://catalog.hathitrust.org/Record/000157318")</f>
        <v>http://catalog.hathitrust.org/Record/000157318</v>
      </c>
      <c r="I49" s="1">
        <v>1</v>
      </c>
      <c r="J49" s="1">
        <v>1913</v>
      </c>
      <c r="K49" t="s">
        <v>20870</v>
      </c>
      <c r="L49" t="s">
        <v>20872</v>
      </c>
    </row>
    <row r="50" spans="1:12">
      <c r="A50" t="s">
        <v>20877</v>
      </c>
      <c r="B50" s="1" t="s">
        <v>20878</v>
      </c>
      <c r="E50">
        <v>1</v>
      </c>
      <c r="G50" t="str">
        <f>HYPERLINK("http://babel.hathitrust.org/cgi/pt?id=mdp.39015028092065")</f>
        <v>http://babel.hathitrust.org/cgi/pt?id=mdp.39015028092065</v>
      </c>
      <c r="H50" t="str">
        <f>HYPERLINK("http://catalog.hathitrust.org/Record/000157319")</f>
        <v>http://catalog.hathitrust.org/Record/000157319</v>
      </c>
      <c r="J50" s="1">
        <v>1901</v>
      </c>
      <c r="K50" t="s">
        <v>20879</v>
      </c>
      <c r="L50" t="s">
        <v>20880</v>
      </c>
    </row>
    <row r="51" spans="1:12">
      <c r="A51" t="s">
        <v>20881</v>
      </c>
      <c r="B51" s="1" t="s">
        <v>20882</v>
      </c>
      <c r="F51">
        <v>1</v>
      </c>
      <c r="G51" t="str">
        <f>HYPERLINK("http://babel.hathitrust.org/cgi/pt?id=miun.aas1427.0001.001")</f>
        <v>http://babel.hathitrust.org/cgi/pt?id=miun.aas1427.0001.001</v>
      </c>
      <c r="H51" t="str">
        <f>HYPERLINK("http://catalog.hathitrust.org/Record/000157320")</f>
        <v>http://catalog.hathitrust.org/Record/000157320</v>
      </c>
      <c r="J51" s="1">
        <v>1855</v>
      </c>
      <c r="K51" t="s">
        <v>20883</v>
      </c>
      <c r="L51" t="s">
        <v>20884</v>
      </c>
    </row>
    <row r="52" spans="1:12">
      <c r="A52" t="s">
        <v>20885</v>
      </c>
      <c r="B52" s="1" t="s">
        <v>20886</v>
      </c>
      <c r="F52">
        <v>1</v>
      </c>
      <c r="G52" t="str">
        <f>HYPERLINK("http://babel.hathitrust.org/cgi/pt?id=mdp.39015058690796")</f>
        <v>http://babel.hathitrust.org/cgi/pt?id=mdp.39015058690796</v>
      </c>
      <c r="H52" t="str">
        <f>HYPERLINK("http://catalog.hathitrust.org/Record/000157322")</f>
        <v>http://catalog.hathitrust.org/Record/000157322</v>
      </c>
      <c r="J52" s="1">
        <v>1883</v>
      </c>
      <c r="K52" t="s">
        <v>20887</v>
      </c>
      <c r="L52" t="s">
        <v>20884</v>
      </c>
    </row>
    <row r="53" spans="1:12">
      <c r="A53" t="s">
        <v>20888</v>
      </c>
      <c r="B53" s="1" t="s">
        <v>20889</v>
      </c>
      <c r="F53">
        <v>1</v>
      </c>
      <c r="G53" t="str">
        <f>HYPERLINK("http://babel.hathitrust.org/cgi/pt?id=mdp.39015056030359")</f>
        <v>http://babel.hathitrust.org/cgi/pt?id=mdp.39015056030359</v>
      </c>
      <c r="H53" t="str">
        <f>HYPERLINK("http://catalog.hathitrust.org/Record/000157324")</f>
        <v>http://catalog.hathitrust.org/Record/000157324</v>
      </c>
      <c r="J53" s="1">
        <v>1893</v>
      </c>
      <c r="K53" t="s">
        <v>20890</v>
      </c>
      <c r="L53" t="s">
        <v>20884</v>
      </c>
    </row>
    <row r="54" spans="1:12">
      <c r="A54" t="s">
        <v>20891</v>
      </c>
      <c r="B54" s="1" t="s">
        <v>20892</v>
      </c>
      <c r="F54">
        <v>1</v>
      </c>
      <c r="G54" t="str">
        <f>HYPERLINK("http://babel.hathitrust.org/cgi/pt?id=mdp.39015059898430")</f>
        <v>http://babel.hathitrust.org/cgi/pt?id=mdp.39015059898430</v>
      </c>
      <c r="H54" t="str">
        <f>HYPERLINK("http://catalog.hathitrust.org/Record/000157348")</f>
        <v>http://catalog.hathitrust.org/Record/000157348</v>
      </c>
      <c r="J54" s="1">
        <v>1844</v>
      </c>
      <c r="K54" t="s">
        <v>20893</v>
      </c>
      <c r="L54" t="s">
        <v>20894</v>
      </c>
    </row>
    <row r="55" spans="1:12">
      <c r="A55" t="s">
        <v>20895</v>
      </c>
      <c r="B55" s="1" t="s">
        <v>20896</v>
      </c>
      <c r="F55">
        <v>1</v>
      </c>
      <c r="G55" t="str">
        <f>HYPERLINK("http://babel.hathitrust.org/cgi/pt?id=mdp.39015011447540")</f>
        <v>http://babel.hathitrust.org/cgi/pt?id=mdp.39015011447540</v>
      </c>
      <c r="H55" t="str">
        <f>HYPERLINK("http://catalog.hathitrust.org/Record/000157351")</f>
        <v>http://catalog.hathitrust.org/Record/000157351</v>
      </c>
      <c r="J55" s="1">
        <v>1787</v>
      </c>
      <c r="K55" t="s">
        <v>20897</v>
      </c>
      <c r="L55" t="s">
        <v>20898</v>
      </c>
    </row>
    <row r="56" spans="1:12">
      <c r="A56" t="s">
        <v>20899</v>
      </c>
      <c r="B56" s="1" t="s">
        <v>20896</v>
      </c>
      <c r="F56">
        <v>1</v>
      </c>
      <c r="G56" t="str">
        <f>HYPERLINK("http://babel.hathitrust.org/cgi/pt?id=uc2.ark:/13960/t3hx1m56j")</f>
        <v>http://babel.hathitrust.org/cgi/pt?id=uc2.ark:/13960/t3hx1m56j</v>
      </c>
      <c r="H56" t="str">
        <f>HYPERLINK("http://catalog.hathitrust.org/Record/000157351")</f>
        <v>http://catalog.hathitrust.org/Record/000157351</v>
      </c>
      <c r="J56" s="1">
        <v>1787</v>
      </c>
      <c r="K56" t="s">
        <v>20897</v>
      </c>
      <c r="L56" t="s">
        <v>20898</v>
      </c>
    </row>
    <row r="57" spans="1:12">
      <c r="A57" t="s">
        <v>20900</v>
      </c>
      <c r="B57" s="1" t="s">
        <v>20901</v>
      </c>
      <c r="F57">
        <v>1</v>
      </c>
      <c r="G57" t="str">
        <f>HYPERLINK("http://babel.hathitrust.org/cgi/pt?id=mdp.39015059898422")</f>
        <v>http://babel.hathitrust.org/cgi/pt?id=mdp.39015059898422</v>
      </c>
      <c r="H57" t="str">
        <f>HYPERLINK("http://catalog.hathitrust.org/Record/000157365")</f>
        <v>http://catalog.hathitrust.org/Record/000157365</v>
      </c>
      <c r="J57" s="1">
        <v>1891</v>
      </c>
      <c r="K57" t="s">
        <v>20902</v>
      </c>
      <c r="L57" t="s">
        <v>20786</v>
      </c>
    </row>
    <row r="58" spans="1:12">
      <c r="A58" t="s">
        <v>20787</v>
      </c>
      <c r="B58" s="1" t="s">
        <v>20788</v>
      </c>
      <c r="F58">
        <v>1</v>
      </c>
      <c r="G58" t="str">
        <f>HYPERLINK("http://babel.hathitrust.org/cgi/pt?id=mdp.39015024386479")</f>
        <v>http://babel.hathitrust.org/cgi/pt?id=mdp.39015024386479</v>
      </c>
      <c r="H58" t="str">
        <f>HYPERLINK("http://catalog.hathitrust.org/Record/000157412")</f>
        <v>http://catalog.hathitrust.org/Record/000157412</v>
      </c>
      <c r="J58" s="1">
        <v>1907</v>
      </c>
      <c r="K58" t="s">
        <v>20789</v>
      </c>
      <c r="L58" t="s">
        <v>20790</v>
      </c>
    </row>
    <row r="59" spans="1:12">
      <c r="A59" t="s">
        <v>20791</v>
      </c>
      <c r="B59" s="1" t="s">
        <v>20788</v>
      </c>
      <c r="F59">
        <v>1</v>
      </c>
      <c r="G59" t="str">
        <f>HYPERLINK("http://babel.hathitrust.org/cgi/pt?id=uc1.b13588")</f>
        <v>http://babel.hathitrust.org/cgi/pt?id=uc1.b13588</v>
      </c>
      <c r="H59" t="str">
        <f>HYPERLINK("http://catalog.hathitrust.org/Record/000157412")</f>
        <v>http://catalog.hathitrust.org/Record/000157412</v>
      </c>
      <c r="J59" s="1">
        <v>1907</v>
      </c>
      <c r="K59" t="s">
        <v>20789</v>
      </c>
      <c r="L59" t="s">
        <v>20790</v>
      </c>
    </row>
    <row r="60" spans="1:12">
      <c r="A60" t="s">
        <v>20792</v>
      </c>
      <c r="B60" s="1" t="s">
        <v>20788</v>
      </c>
      <c r="F60">
        <v>1</v>
      </c>
      <c r="G60" t="str">
        <f>HYPERLINK("http://babel.hathitrust.org/cgi/pt?id=uc2.ark:/13960/t54f1pk3m")</f>
        <v>http://babel.hathitrust.org/cgi/pt?id=uc2.ark:/13960/t54f1pk3m</v>
      </c>
      <c r="H60" t="str">
        <f>HYPERLINK("http://catalog.hathitrust.org/Record/000157412")</f>
        <v>http://catalog.hathitrust.org/Record/000157412</v>
      </c>
      <c r="J60" s="1">
        <v>1907</v>
      </c>
      <c r="K60" t="s">
        <v>20789</v>
      </c>
      <c r="L60" t="s">
        <v>20790</v>
      </c>
    </row>
    <row r="61" spans="1:12">
      <c r="A61" t="s">
        <v>20793</v>
      </c>
      <c r="B61" s="1" t="s">
        <v>20794</v>
      </c>
      <c r="D61">
        <v>1</v>
      </c>
      <c r="G61" t="str">
        <f>HYPERLINK("http://babel.hathitrust.org/cgi/pt?id=nyp.33433074923933")</f>
        <v>http://babel.hathitrust.org/cgi/pt?id=nyp.33433074923933</v>
      </c>
      <c r="H61" t="str">
        <f>HYPERLINK("http://catalog.hathitrust.org/Record/000157445")</f>
        <v>http://catalog.hathitrust.org/Record/000157445</v>
      </c>
      <c r="I61" s="1" t="s">
        <v>20796</v>
      </c>
      <c r="J61" s="1">
        <v>1802</v>
      </c>
      <c r="K61" t="s">
        <v>20795</v>
      </c>
      <c r="L61" t="s">
        <v>20797</v>
      </c>
    </row>
    <row r="62" spans="1:12">
      <c r="A62" t="s">
        <v>20798</v>
      </c>
      <c r="B62" s="1" t="s">
        <v>20794</v>
      </c>
      <c r="D62">
        <v>1</v>
      </c>
      <c r="G62" t="str">
        <f>HYPERLINK("http://babel.hathitrust.org/cgi/pt?id=nyp.33433074923941")</f>
        <v>http://babel.hathitrust.org/cgi/pt?id=nyp.33433074923941</v>
      </c>
      <c r="H62" t="str">
        <f>HYPERLINK("http://catalog.hathitrust.org/Record/000157445")</f>
        <v>http://catalog.hathitrust.org/Record/000157445</v>
      </c>
      <c r="I62" s="1" t="s">
        <v>20799</v>
      </c>
      <c r="J62" s="1">
        <v>1802</v>
      </c>
      <c r="K62" t="s">
        <v>20795</v>
      </c>
      <c r="L62" t="s">
        <v>20797</v>
      </c>
    </row>
    <row r="63" spans="1:12">
      <c r="A63" t="s">
        <v>20800</v>
      </c>
      <c r="B63" s="1" t="s">
        <v>20794</v>
      </c>
      <c r="D63">
        <v>1</v>
      </c>
      <c r="G63" t="str">
        <f>HYPERLINK("http://babel.hathitrust.org/cgi/pt?id=nyp.33433074923958")</f>
        <v>http://babel.hathitrust.org/cgi/pt?id=nyp.33433074923958</v>
      </c>
      <c r="H63" t="str">
        <f>HYPERLINK("http://catalog.hathitrust.org/Record/000157445")</f>
        <v>http://catalog.hathitrust.org/Record/000157445</v>
      </c>
      <c r="I63" s="1" t="s">
        <v>20801</v>
      </c>
      <c r="J63" s="1">
        <v>1802</v>
      </c>
      <c r="K63" t="s">
        <v>20795</v>
      </c>
      <c r="L63" t="s">
        <v>20797</v>
      </c>
    </row>
    <row r="64" spans="1:12">
      <c r="A64" t="s">
        <v>20802</v>
      </c>
      <c r="B64" s="1" t="s">
        <v>20794</v>
      </c>
      <c r="D64">
        <v>1</v>
      </c>
      <c r="G64" t="str">
        <f>HYPERLINK("http://babel.hathitrust.org/cgi/pt?id=nyp.33433074923966")</f>
        <v>http://babel.hathitrust.org/cgi/pt?id=nyp.33433074923966</v>
      </c>
      <c r="H64" t="str">
        <f>HYPERLINK("http://catalog.hathitrust.org/Record/000157445")</f>
        <v>http://catalog.hathitrust.org/Record/000157445</v>
      </c>
      <c r="I64" s="1" t="s">
        <v>20803</v>
      </c>
      <c r="J64" s="1">
        <v>1802</v>
      </c>
      <c r="K64" t="s">
        <v>20795</v>
      </c>
      <c r="L64" t="s">
        <v>20797</v>
      </c>
    </row>
    <row r="65" spans="1:12">
      <c r="A65" t="s">
        <v>20804</v>
      </c>
      <c r="B65" s="1" t="s">
        <v>20805</v>
      </c>
      <c r="D65">
        <v>1</v>
      </c>
      <c r="G65" t="str">
        <f>HYPERLINK("http://babel.hathitrust.org/cgi/pt?id=mdp.39015058690283")</f>
        <v>http://babel.hathitrust.org/cgi/pt?id=mdp.39015058690283</v>
      </c>
      <c r="H65" t="str">
        <f>HYPERLINK("http://catalog.hathitrust.org/Record/000157543")</f>
        <v>http://catalog.hathitrust.org/Record/000157543</v>
      </c>
      <c r="J65" s="1">
        <v>1784</v>
      </c>
      <c r="K65" t="s">
        <v>20806</v>
      </c>
      <c r="L65" t="s">
        <v>20807</v>
      </c>
    </row>
    <row r="66" spans="1:12">
      <c r="A66" t="s">
        <v>20808</v>
      </c>
      <c r="B66" s="1" t="s">
        <v>20805</v>
      </c>
      <c r="F66">
        <v>1</v>
      </c>
      <c r="G66" t="str">
        <f>HYPERLINK("http://babel.hathitrust.org/cgi/pt?id=nyp.33433069242984")</f>
        <v>http://babel.hathitrust.org/cgi/pt?id=nyp.33433069242984</v>
      </c>
      <c r="H66" t="str">
        <f>HYPERLINK("http://catalog.hathitrust.org/Record/000157543")</f>
        <v>http://catalog.hathitrust.org/Record/000157543</v>
      </c>
      <c r="J66" s="1">
        <v>1784</v>
      </c>
      <c r="K66" t="s">
        <v>20806</v>
      </c>
      <c r="L66" t="s">
        <v>20807</v>
      </c>
    </row>
    <row r="67" spans="1:12">
      <c r="A67" t="s">
        <v>20809</v>
      </c>
      <c r="B67" s="1" t="s">
        <v>20810</v>
      </c>
      <c r="F67">
        <v>1</v>
      </c>
      <c r="G67" t="str">
        <f>HYPERLINK("http://babel.hathitrust.org/cgi/pt?id=mdp.39015059372576")</f>
        <v>http://babel.hathitrust.org/cgi/pt?id=mdp.39015059372576</v>
      </c>
      <c r="H67" t="str">
        <f>HYPERLINK("http://catalog.hathitrust.org/Record/000157552")</f>
        <v>http://catalog.hathitrust.org/Record/000157552</v>
      </c>
      <c r="J67" s="1">
        <v>1900</v>
      </c>
      <c r="K67" t="s">
        <v>20811</v>
      </c>
      <c r="L67" t="s">
        <v>20812</v>
      </c>
    </row>
    <row r="68" spans="1:12">
      <c r="A68" t="s">
        <v>20813</v>
      </c>
      <c r="B68" s="1" t="s">
        <v>20814</v>
      </c>
      <c r="F68">
        <v>1</v>
      </c>
      <c r="G68" t="str">
        <f>HYPERLINK("http://babel.hathitrust.org/cgi/pt?id=mdp.39015059372568")</f>
        <v>http://babel.hathitrust.org/cgi/pt?id=mdp.39015059372568</v>
      </c>
      <c r="H68" t="str">
        <f>HYPERLINK("http://catalog.hathitrust.org/Record/000157555")</f>
        <v>http://catalog.hathitrust.org/Record/000157555</v>
      </c>
      <c r="J68" s="1">
        <v>1916</v>
      </c>
      <c r="K68" t="s">
        <v>20815</v>
      </c>
      <c r="L68" t="s">
        <v>20816</v>
      </c>
    </row>
    <row r="69" spans="1:12">
      <c r="A69" t="s">
        <v>20817</v>
      </c>
      <c r="B69" s="1" t="s">
        <v>20814</v>
      </c>
      <c r="F69">
        <v>1</v>
      </c>
      <c r="G69" t="str">
        <f>HYPERLINK("http://babel.hathitrust.org/cgi/pt?id=uc2.ark:/13960/t6tx3cs9j")</f>
        <v>http://babel.hathitrust.org/cgi/pt?id=uc2.ark:/13960/t6tx3cs9j</v>
      </c>
      <c r="H69" t="str">
        <f>HYPERLINK("http://catalog.hathitrust.org/Record/000157555")</f>
        <v>http://catalog.hathitrust.org/Record/000157555</v>
      </c>
      <c r="J69" s="1">
        <v>1916</v>
      </c>
      <c r="K69" t="s">
        <v>20815</v>
      </c>
      <c r="L69" t="s">
        <v>20816</v>
      </c>
    </row>
    <row r="70" spans="1:12">
      <c r="A70" t="s">
        <v>20818</v>
      </c>
      <c r="B70" s="1" t="s">
        <v>20819</v>
      </c>
      <c r="F70">
        <v>1</v>
      </c>
      <c r="G70" t="str">
        <f>HYPERLINK("http://babel.hathitrust.org/cgi/pt?id=mdp.39015056981395")</f>
        <v>http://babel.hathitrust.org/cgi/pt?id=mdp.39015056981395</v>
      </c>
      <c r="H70" t="str">
        <f>HYPERLINK("http://catalog.hathitrust.org/Record/000157623")</f>
        <v>http://catalog.hathitrust.org/Record/000157623</v>
      </c>
      <c r="J70" s="1">
        <v>1912</v>
      </c>
      <c r="K70" t="s">
        <v>20820</v>
      </c>
    </row>
    <row r="71" spans="1:12">
      <c r="A71" t="s">
        <v>20821</v>
      </c>
      <c r="B71" s="1" t="s">
        <v>20819</v>
      </c>
      <c r="F71">
        <v>1</v>
      </c>
      <c r="G71" t="str">
        <f>HYPERLINK("http://babel.hathitrust.org/cgi/pt?id=uc1.b277491")</f>
        <v>http://babel.hathitrust.org/cgi/pt?id=uc1.b277491</v>
      </c>
      <c r="H71" t="str">
        <f>HYPERLINK("http://catalog.hathitrust.org/Record/000157623")</f>
        <v>http://catalog.hathitrust.org/Record/000157623</v>
      </c>
      <c r="J71" s="1">
        <v>1912</v>
      </c>
      <c r="K71" t="s">
        <v>20820</v>
      </c>
    </row>
    <row r="72" spans="1:12">
      <c r="A72" t="s">
        <v>20822</v>
      </c>
      <c r="B72" s="1" t="s">
        <v>20819</v>
      </c>
      <c r="F72">
        <v>1</v>
      </c>
      <c r="G72" t="str">
        <f>HYPERLINK("http://babel.hathitrust.org/cgi/pt?id=uc2.ark:/13960/t93779901")</f>
        <v>http://babel.hathitrust.org/cgi/pt?id=uc2.ark:/13960/t93779901</v>
      </c>
      <c r="H72" t="str">
        <f>HYPERLINK("http://catalog.hathitrust.org/Record/000157623")</f>
        <v>http://catalog.hathitrust.org/Record/000157623</v>
      </c>
      <c r="J72" s="1">
        <v>1912</v>
      </c>
      <c r="K72" t="s">
        <v>20820</v>
      </c>
    </row>
    <row r="73" spans="1:12">
      <c r="A73" t="s">
        <v>20823</v>
      </c>
      <c r="B73" s="1" t="s">
        <v>20824</v>
      </c>
      <c r="F73">
        <v>1</v>
      </c>
      <c r="G73" t="str">
        <f>HYPERLINK("http://babel.hathitrust.org/cgi/pt?id=mdp.39015059391873")</f>
        <v>http://babel.hathitrust.org/cgi/pt?id=mdp.39015059391873</v>
      </c>
      <c r="H73" t="str">
        <f>HYPERLINK("http://catalog.hathitrust.org/Record/000157634")</f>
        <v>http://catalog.hathitrust.org/Record/000157634</v>
      </c>
      <c r="J73" s="1">
        <v>1906</v>
      </c>
      <c r="K73" t="s">
        <v>20825</v>
      </c>
      <c r="L73" t="s">
        <v>20826</v>
      </c>
    </row>
    <row r="74" spans="1:12">
      <c r="A74" t="s">
        <v>20827</v>
      </c>
      <c r="B74" s="1" t="s">
        <v>20824</v>
      </c>
      <c r="F74">
        <v>1</v>
      </c>
      <c r="G74" t="str">
        <f>HYPERLINK("http://babel.hathitrust.org/cgi/pt?id=uc2.ark:/13960/t4sj1jj16")</f>
        <v>http://babel.hathitrust.org/cgi/pt?id=uc2.ark:/13960/t4sj1jj16</v>
      </c>
      <c r="H74" t="str">
        <f>HYPERLINK("http://catalog.hathitrust.org/Record/000157634")</f>
        <v>http://catalog.hathitrust.org/Record/000157634</v>
      </c>
      <c r="J74" s="1">
        <v>1906</v>
      </c>
      <c r="K74" t="s">
        <v>20825</v>
      </c>
      <c r="L74" t="s">
        <v>20826</v>
      </c>
    </row>
    <row r="75" spans="1:12">
      <c r="A75" t="s">
        <v>20828</v>
      </c>
      <c r="B75" s="1" t="s">
        <v>20829</v>
      </c>
      <c r="F75">
        <v>1</v>
      </c>
      <c r="G75" t="str">
        <f>HYPERLINK("http://babel.hathitrust.org/cgi/pt?id=mdp.39015059391865")</f>
        <v>http://babel.hathitrust.org/cgi/pt?id=mdp.39015059391865</v>
      </c>
      <c r="H75" t="str">
        <f>HYPERLINK("http://catalog.hathitrust.org/Record/000157638")</f>
        <v>http://catalog.hathitrust.org/Record/000157638</v>
      </c>
      <c r="J75" s="1">
        <v>1874</v>
      </c>
      <c r="K75" t="s">
        <v>20830</v>
      </c>
      <c r="L75" t="s">
        <v>20831</v>
      </c>
    </row>
    <row r="76" spans="1:12">
      <c r="A76" t="s">
        <v>20832</v>
      </c>
      <c r="B76" s="1" t="s">
        <v>20833</v>
      </c>
      <c r="F76">
        <v>1</v>
      </c>
      <c r="G76" t="str">
        <f>HYPERLINK("http://babel.hathitrust.org/cgi/pt?id=mdp.39015059372360")</f>
        <v>http://babel.hathitrust.org/cgi/pt?id=mdp.39015059372360</v>
      </c>
      <c r="H76" t="str">
        <f>HYPERLINK("http://catalog.hathitrust.org/Record/000157639")</f>
        <v>http://catalog.hathitrust.org/Record/000157639</v>
      </c>
      <c r="J76" s="1">
        <v>1920</v>
      </c>
      <c r="K76" t="s">
        <v>20834</v>
      </c>
      <c r="L76" t="s">
        <v>20835</v>
      </c>
    </row>
    <row r="77" spans="1:12">
      <c r="A77" t="s">
        <v>20836</v>
      </c>
      <c r="B77" s="1" t="s">
        <v>20833</v>
      </c>
      <c r="F77">
        <v>1</v>
      </c>
      <c r="G77" t="str">
        <f>HYPERLINK("http://babel.hathitrust.org/cgi/pt?id=uc1.b3515376")</f>
        <v>http://babel.hathitrust.org/cgi/pt?id=uc1.b3515376</v>
      </c>
      <c r="H77" t="str">
        <f>HYPERLINK("http://catalog.hathitrust.org/Record/000157639")</f>
        <v>http://catalog.hathitrust.org/Record/000157639</v>
      </c>
      <c r="J77" s="1">
        <v>1920</v>
      </c>
      <c r="K77" t="s">
        <v>20834</v>
      </c>
      <c r="L77" t="s">
        <v>20835</v>
      </c>
    </row>
    <row r="78" spans="1:12">
      <c r="A78" t="s">
        <v>20837</v>
      </c>
      <c r="B78" s="1" t="s">
        <v>20833</v>
      </c>
      <c r="F78">
        <v>1</v>
      </c>
      <c r="G78" t="str">
        <f>HYPERLINK("http://babel.hathitrust.org/cgi/pt?id=uc2.ark:/13960/t84j0g26b")</f>
        <v>http://babel.hathitrust.org/cgi/pt?id=uc2.ark:/13960/t84j0g26b</v>
      </c>
      <c r="H78" t="str">
        <f>HYPERLINK("http://catalog.hathitrust.org/Record/000157639")</f>
        <v>http://catalog.hathitrust.org/Record/000157639</v>
      </c>
      <c r="J78" s="1">
        <v>1920</v>
      </c>
      <c r="K78" t="s">
        <v>20834</v>
      </c>
      <c r="L78" t="s">
        <v>20835</v>
      </c>
    </row>
    <row r="79" spans="1:12">
      <c r="A79" t="s">
        <v>20838</v>
      </c>
      <c r="B79" s="1" t="s">
        <v>20839</v>
      </c>
      <c r="F79">
        <v>1</v>
      </c>
      <c r="G79" t="str">
        <f>HYPERLINK("http://babel.hathitrust.org/cgi/pt?id=mdp.39015053249598")</f>
        <v>http://babel.hathitrust.org/cgi/pt?id=mdp.39015053249598</v>
      </c>
      <c r="H79" t="str">
        <f>HYPERLINK("http://catalog.hathitrust.org/Record/000157640")</f>
        <v>http://catalog.hathitrust.org/Record/000157640</v>
      </c>
      <c r="J79" s="1">
        <v>1919</v>
      </c>
      <c r="K79" t="s">
        <v>20840</v>
      </c>
      <c r="L79" t="s">
        <v>20841</v>
      </c>
    </row>
    <row r="80" spans="1:12">
      <c r="A80" t="s">
        <v>20842</v>
      </c>
      <c r="B80" s="1" t="s">
        <v>20843</v>
      </c>
      <c r="F80">
        <v>1</v>
      </c>
      <c r="G80" t="str">
        <f>HYPERLINK("http://babel.hathitrust.org/cgi/pt?id=mdp.39015055412376")</f>
        <v>http://babel.hathitrust.org/cgi/pt?id=mdp.39015055412376</v>
      </c>
      <c r="H80" t="str">
        <f>HYPERLINK("http://catalog.hathitrust.org/Record/000157641")</f>
        <v>http://catalog.hathitrust.org/Record/000157641</v>
      </c>
      <c r="J80" s="1">
        <v>1916</v>
      </c>
      <c r="K80" t="s">
        <v>20844</v>
      </c>
      <c r="L80" t="s">
        <v>20845</v>
      </c>
    </row>
    <row r="81" spans="1:12">
      <c r="A81" t="s">
        <v>20846</v>
      </c>
      <c r="B81" s="1" t="s">
        <v>20843</v>
      </c>
      <c r="F81">
        <v>1</v>
      </c>
      <c r="G81" t="str">
        <f>HYPERLINK("http://babel.hathitrust.org/cgi/pt?id=uc1.b31584")</f>
        <v>http://babel.hathitrust.org/cgi/pt?id=uc1.b31584</v>
      </c>
      <c r="H81" t="str">
        <f>HYPERLINK("http://catalog.hathitrust.org/Record/000157641")</f>
        <v>http://catalog.hathitrust.org/Record/000157641</v>
      </c>
      <c r="J81" s="1">
        <v>1916</v>
      </c>
      <c r="K81" t="s">
        <v>20844</v>
      </c>
      <c r="L81" t="s">
        <v>20845</v>
      </c>
    </row>
    <row r="82" spans="1:12">
      <c r="A82" t="s">
        <v>20847</v>
      </c>
      <c r="B82" s="1" t="s">
        <v>20843</v>
      </c>
      <c r="F82">
        <v>1</v>
      </c>
      <c r="G82" t="str">
        <f>HYPERLINK("http://babel.hathitrust.org/cgi/pt?id=uc2.ark:/13960/t0qr4qg49")</f>
        <v>http://babel.hathitrust.org/cgi/pt?id=uc2.ark:/13960/t0qr4qg49</v>
      </c>
      <c r="H82" t="str">
        <f>HYPERLINK("http://catalog.hathitrust.org/Record/000157641")</f>
        <v>http://catalog.hathitrust.org/Record/000157641</v>
      </c>
      <c r="J82" s="1">
        <v>1916</v>
      </c>
      <c r="K82" t="s">
        <v>20844</v>
      </c>
      <c r="L82" t="s">
        <v>20845</v>
      </c>
    </row>
    <row r="83" spans="1:12">
      <c r="A83" t="s">
        <v>20848</v>
      </c>
      <c r="B83" s="1" t="s">
        <v>20849</v>
      </c>
      <c r="F83">
        <v>1</v>
      </c>
      <c r="G83" t="str">
        <f>HYPERLINK("http://babel.hathitrust.org/cgi/pt?id=mdp.39015070462208")</f>
        <v>http://babel.hathitrust.org/cgi/pt?id=mdp.39015070462208</v>
      </c>
      <c r="H83" t="str">
        <f>HYPERLINK("http://catalog.hathitrust.org/Record/000157644")</f>
        <v>http://catalog.hathitrust.org/Record/000157644</v>
      </c>
      <c r="J83" s="1">
        <v>1789</v>
      </c>
      <c r="K83" t="s">
        <v>20728</v>
      </c>
      <c r="L83" t="s">
        <v>20729</v>
      </c>
    </row>
    <row r="84" spans="1:12">
      <c r="A84" t="s">
        <v>20730</v>
      </c>
      <c r="B84" s="1" t="s">
        <v>20731</v>
      </c>
      <c r="F84">
        <v>1</v>
      </c>
      <c r="G84" t="str">
        <f>HYPERLINK("http://babel.hathitrust.org/cgi/pt?id=mdp.39015059392020")</f>
        <v>http://babel.hathitrust.org/cgi/pt?id=mdp.39015059392020</v>
      </c>
      <c r="H84" t="str">
        <f>HYPERLINK("http://catalog.hathitrust.org/Record/000157654")</f>
        <v>http://catalog.hathitrust.org/Record/000157654</v>
      </c>
      <c r="J84" s="1">
        <v>1912</v>
      </c>
      <c r="K84" t="s">
        <v>20732</v>
      </c>
      <c r="L84" t="s">
        <v>20733</v>
      </c>
    </row>
    <row r="85" spans="1:12">
      <c r="A85" t="s">
        <v>20734</v>
      </c>
      <c r="B85" s="1" t="s">
        <v>20731</v>
      </c>
      <c r="F85">
        <v>1</v>
      </c>
      <c r="G85" t="str">
        <f>HYPERLINK("http://babel.hathitrust.org/cgi/pt?id=uc1.b261611")</f>
        <v>http://babel.hathitrust.org/cgi/pt?id=uc1.b261611</v>
      </c>
      <c r="H85" t="str">
        <f>HYPERLINK("http://catalog.hathitrust.org/Record/000157654")</f>
        <v>http://catalog.hathitrust.org/Record/000157654</v>
      </c>
      <c r="J85" s="1">
        <v>1912</v>
      </c>
      <c r="K85" t="s">
        <v>20732</v>
      </c>
      <c r="L85" t="s">
        <v>20733</v>
      </c>
    </row>
    <row r="86" spans="1:12">
      <c r="A86" t="s">
        <v>20735</v>
      </c>
      <c r="B86" s="1" t="s">
        <v>20731</v>
      </c>
      <c r="F86">
        <v>1</v>
      </c>
      <c r="G86" t="str">
        <f>HYPERLINK("http://babel.hathitrust.org/cgi/pt?id=uc2.ark:/13960/t5x63f023")</f>
        <v>http://babel.hathitrust.org/cgi/pt?id=uc2.ark:/13960/t5x63f023</v>
      </c>
      <c r="H86" t="str">
        <f>HYPERLINK("http://catalog.hathitrust.org/Record/000157654")</f>
        <v>http://catalog.hathitrust.org/Record/000157654</v>
      </c>
      <c r="J86" s="1">
        <v>1912</v>
      </c>
      <c r="K86" t="s">
        <v>20732</v>
      </c>
      <c r="L86" t="s">
        <v>20733</v>
      </c>
    </row>
    <row r="87" spans="1:12">
      <c r="A87" t="s">
        <v>20736</v>
      </c>
      <c r="B87" s="1" t="s">
        <v>20737</v>
      </c>
      <c r="F87">
        <v>1</v>
      </c>
      <c r="G87" t="str">
        <f>HYPERLINK("http://babel.hathitrust.org/cgi/pt?id=mdp.39015038674522")</f>
        <v>http://babel.hathitrust.org/cgi/pt?id=mdp.39015038674522</v>
      </c>
      <c r="H87" t="str">
        <f>HYPERLINK("http://catalog.hathitrust.org/Record/000157658")</f>
        <v>http://catalog.hathitrust.org/Record/000157658</v>
      </c>
      <c r="J87" s="1">
        <v>1909</v>
      </c>
      <c r="K87" t="s">
        <v>20738</v>
      </c>
      <c r="L87" t="s">
        <v>20739</v>
      </c>
    </row>
    <row r="88" spans="1:12">
      <c r="A88" t="s">
        <v>20740</v>
      </c>
      <c r="B88" s="1" t="s">
        <v>20737</v>
      </c>
      <c r="F88">
        <v>1</v>
      </c>
      <c r="G88" t="str">
        <f>HYPERLINK("http://babel.hathitrust.org/cgi/pt?id=mdp.39015065731666")</f>
        <v>http://babel.hathitrust.org/cgi/pt?id=mdp.39015065731666</v>
      </c>
      <c r="H88" t="str">
        <f>HYPERLINK("http://catalog.hathitrust.org/Record/000157658")</f>
        <v>http://catalog.hathitrust.org/Record/000157658</v>
      </c>
      <c r="J88" s="1">
        <v>1909</v>
      </c>
      <c r="K88" t="s">
        <v>20738</v>
      </c>
      <c r="L88" t="s">
        <v>20739</v>
      </c>
    </row>
    <row r="89" spans="1:12">
      <c r="A89" t="s">
        <v>20741</v>
      </c>
      <c r="B89" s="1" t="s">
        <v>20742</v>
      </c>
      <c r="F89">
        <v>1</v>
      </c>
      <c r="G89" t="str">
        <f>HYPERLINK("http://babel.hathitrust.org/cgi/pt?id=mdp.39015059372329")</f>
        <v>http://babel.hathitrust.org/cgi/pt?id=mdp.39015059372329</v>
      </c>
      <c r="H89" t="str">
        <f>HYPERLINK("http://catalog.hathitrust.org/Record/000157672")</f>
        <v>http://catalog.hathitrust.org/Record/000157672</v>
      </c>
      <c r="J89" s="1">
        <v>1918</v>
      </c>
      <c r="K89" t="s">
        <v>20743</v>
      </c>
      <c r="L89" t="s">
        <v>20744</v>
      </c>
    </row>
    <row r="90" spans="1:12">
      <c r="A90" t="s">
        <v>20745</v>
      </c>
      <c r="B90" s="1" t="s">
        <v>20746</v>
      </c>
      <c r="F90">
        <v>1</v>
      </c>
      <c r="G90" t="str">
        <f>HYPERLINK("http://babel.hathitrust.org/cgi/pt?id=hvd.32044086677093")</f>
        <v>http://babel.hathitrust.org/cgi/pt?id=hvd.32044086677093</v>
      </c>
      <c r="H90" t="str">
        <f>HYPERLINK("http://catalog.hathitrust.org/Record/000157676")</f>
        <v>http://catalog.hathitrust.org/Record/000157676</v>
      </c>
      <c r="J90" s="1">
        <v>1846</v>
      </c>
      <c r="K90" t="s">
        <v>20747</v>
      </c>
      <c r="L90" t="s">
        <v>20748</v>
      </c>
    </row>
    <row r="91" spans="1:12">
      <c r="A91" t="s">
        <v>20749</v>
      </c>
      <c r="B91" s="1" t="s">
        <v>20746</v>
      </c>
      <c r="F91">
        <v>1</v>
      </c>
      <c r="G91" t="str">
        <f>HYPERLINK("http://babel.hathitrust.org/cgi/pt?id=mdp.39015059372501")</f>
        <v>http://babel.hathitrust.org/cgi/pt?id=mdp.39015059372501</v>
      </c>
      <c r="H91" t="str">
        <f>HYPERLINK("http://catalog.hathitrust.org/Record/000157676")</f>
        <v>http://catalog.hathitrust.org/Record/000157676</v>
      </c>
      <c r="J91" s="1">
        <v>1846</v>
      </c>
      <c r="K91" t="s">
        <v>20747</v>
      </c>
      <c r="L91" t="s">
        <v>20748</v>
      </c>
    </row>
    <row r="92" spans="1:12">
      <c r="A92" t="s">
        <v>20750</v>
      </c>
      <c r="B92" s="1" t="s">
        <v>20751</v>
      </c>
      <c r="E92">
        <v>1</v>
      </c>
      <c r="G92" t="str">
        <f>HYPERLINK("http://babel.hathitrust.org/cgi/pt?id=mdp.39015059901051")</f>
        <v>http://babel.hathitrust.org/cgi/pt?id=mdp.39015059901051</v>
      </c>
      <c r="H92" t="str">
        <f>HYPERLINK("http://catalog.hathitrust.org/Record/000158275")</f>
        <v>http://catalog.hathitrust.org/Record/000158275</v>
      </c>
      <c r="I92" s="1" t="s">
        <v>20920</v>
      </c>
      <c r="J92" s="1">
        <v>1811</v>
      </c>
      <c r="K92" t="s">
        <v>20752</v>
      </c>
      <c r="L92" t="s">
        <v>20753</v>
      </c>
    </row>
    <row r="93" spans="1:12">
      <c r="A93" t="s">
        <v>20754</v>
      </c>
      <c r="B93" s="1" t="s">
        <v>20751</v>
      </c>
      <c r="E93">
        <v>1</v>
      </c>
      <c r="G93" t="str">
        <f>HYPERLINK("http://babel.hathitrust.org/cgi/pt?id=mdp.39015059901069")</f>
        <v>http://babel.hathitrust.org/cgi/pt?id=mdp.39015059901069</v>
      </c>
      <c r="H93" t="str">
        <f>HYPERLINK("http://catalog.hathitrust.org/Record/000158275")</f>
        <v>http://catalog.hathitrust.org/Record/000158275</v>
      </c>
      <c r="I93" s="1" t="s">
        <v>20755</v>
      </c>
      <c r="J93" s="1">
        <v>1811</v>
      </c>
      <c r="K93" t="s">
        <v>20752</v>
      </c>
      <c r="L93" t="s">
        <v>20753</v>
      </c>
    </row>
    <row r="94" spans="1:12">
      <c r="A94" t="s">
        <v>20756</v>
      </c>
      <c r="B94" s="1" t="s">
        <v>20751</v>
      </c>
      <c r="E94">
        <v>1</v>
      </c>
      <c r="G94" t="str">
        <f>HYPERLINK("http://babel.hathitrust.org/cgi/pt?id=mdp.39015059901077")</f>
        <v>http://babel.hathitrust.org/cgi/pt?id=mdp.39015059901077</v>
      </c>
      <c r="H94" t="str">
        <f>HYPERLINK("http://catalog.hathitrust.org/Record/000158275")</f>
        <v>http://catalog.hathitrust.org/Record/000158275</v>
      </c>
      <c r="I94" s="1" t="s">
        <v>20916</v>
      </c>
      <c r="J94" s="1">
        <v>1811</v>
      </c>
      <c r="K94" t="s">
        <v>20752</v>
      </c>
      <c r="L94" t="s">
        <v>20753</v>
      </c>
    </row>
    <row r="95" spans="1:12">
      <c r="A95" t="s">
        <v>20757</v>
      </c>
      <c r="B95" s="1" t="s">
        <v>20758</v>
      </c>
      <c r="D95">
        <v>1</v>
      </c>
      <c r="G95" t="str">
        <f>HYPERLINK("http://babel.hathitrust.org/cgi/pt?id=mdp.39015053249614")</f>
        <v>http://babel.hathitrust.org/cgi/pt?id=mdp.39015053249614</v>
      </c>
      <c r="H95" t="str">
        <f>HYPERLINK("http://catalog.hathitrust.org/Record/000158396")</f>
        <v>http://catalog.hathitrust.org/Record/000158396</v>
      </c>
      <c r="J95" s="1">
        <v>1919</v>
      </c>
      <c r="K95" t="s">
        <v>20759</v>
      </c>
      <c r="L95" t="s">
        <v>20760</v>
      </c>
    </row>
    <row r="96" spans="1:12">
      <c r="A96" t="s">
        <v>20761</v>
      </c>
      <c r="B96" s="1" t="s">
        <v>20758</v>
      </c>
      <c r="F96">
        <v>1</v>
      </c>
      <c r="G96" t="str">
        <f>HYPERLINK("http://babel.hathitrust.org/cgi/pt?id=uc2.ark:/13960/t9765g25h")</f>
        <v>http://babel.hathitrust.org/cgi/pt?id=uc2.ark:/13960/t9765g25h</v>
      </c>
      <c r="H96" t="str">
        <f>HYPERLINK("http://catalog.hathitrust.org/Record/000158396")</f>
        <v>http://catalog.hathitrust.org/Record/000158396</v>
      </c>
      <c r="J96" s="1">
        <v>1919</v>
      </c>
      <c r="K96" t="s">
        <v>20759</v>
      </c>
      <c r="L96" t="s">
        <v>20760</v>
      </c>
    </row>
    <row r="97" spans="1:12">
      <c r="A97" t="s">
        <v>20762</v>
      </c>
      <c r="B97" s="1" t="s">
        <v>20763</v>
      </c>
      <c r="F97">
        <v>1</v>
      </c>
      <c r="G97" t="str">
        <f>HYPERLINK("http://babel.hathitrust.org/cgi/pt?id=mdp.39015059899321")</f>
        <v>http://babel.hathitrust.org/cgi/pt?id=mdp.39015059899321</v>
      </c>
      <c r="H97" t="str">
        <f>HYPERLINK("http://catalog.hathitrust.org/Record/000159339")</f>
        <v>http://catalog.hathitrust.org/Record/000159339</v>
      </c>
      <c r="J97" s="1">
        <v>1886</v>
      </c>
      <c r="K97" t="s">
        <v>20764</v>
      </c>
      <c r="L97" t="s">
        <v>20765</v>
      </c>
    </row>
    <row r="98" spans="1:12">
      <c r="A98" t="s">
        <v>20766</v>
      </c>
      <c r="B98" s="1" t="s">
        <v>20767</v>
      </c>
      <c r="F98">
        <v>1</v>
      </c>
      <c r="G98" t="str">
        <f>HYPERLINK("http://babel.hathitrust.org/cgi/pt?id=mdp.39015059899875")</f>
        <v>http://babel.hathitrust.org/cgi/pt?id=mdp.39015059899875</v>
      </c>
      <c r="H98" t="str">
        <f>HYPERLINK("http://catalog.hathitrust.org/Record/000160433")</f>
        <v>http://catalog.hathitrust.org/Record/000160433</v>
      </c>
      <c r="J98" s="1">
        <v>1892</v>
      </c>
      <c r="K98" t="s">
        <v>20768</v>
      </c>
      <c r="L98" t="s">
        <v>20769</v>
      </c>
    </row>
    <row r="99" spans="1:12">
      <c r="A99" t="s">
        <v>20770</v>
      </c>
      <c r="B99" s="1" t="s">
        <v>20771</v>
      </c>
      <c r="E99">
        <v>1</v>
      </c>
      <c r="G99" t="str">
        <f>HYPERLINK("http://babel.hathitrust.org/cgi/pt?id=mdp.39015059900061")</f>
        <v>http://babel.hathitrust.org/cgi/pt?id=mdp.39015059900061</v>
      </c>
      <c r="H99" t="str">
        <f>HYPERLINK("http://catalog.hathitrust.org/Record/000160567")</f>
        <v>http://catalog.hathitrust.org/Record/000160567</v>
      </c>
      <c r="J99" s="1">
        <v>1893</v>
      </c>
      <c r="K99" t="s">
        <v>20772</v>
      </c>
      <c r="L99" t="s">
        <v>20773</v>
      </c>
    </row>
    <row r="100" spans="1:12">
      <c r="A100" t="s">
        <v>20774</v>
      </c>
      <c r="B100" s="1" t="s">
        <v>20775</v>
      </c>
      <c r="F100">
        <v>1</v>
      </c>
      <c r="G100" t="str">
        <f>HYPERLINK("http://babel.hathitrust.org/cgi/pt?id=loc.ark:/13960/t1ng57d1f")</f>
        <v>http://babel.hathitrust.org/cgi/pt?id=loc.ark:/13960/t1ng57d1f</v>
      </c>
      <c r="H100" t="str">
        <f>HYPERLINK("http://catalog.hathitrust.org/Record/000160716")</f>
        <v>http://catalog.hathitrust.org/Record/000160716</v>
      </c>
      <c r="J100" s="1">
        <v>1922</v>
      </c>
      <c r="K100" t="s">
        <v>20776</v>
      </c>
      <c r="L100" t="s">
        <v>20777</v>
      </c>
    </row>
    <row r="101" spans="1:12">
      <c r="A101" t="s">
        <v>20778</v>
      </c>
      <c r="B101" s="1" t="s">
        <v>20775</v>
      </c>
      <c r="F101">
        <v>1</v>
      </c>
      <c r="G101" t="str">
        <f>HYPERLINK("http://babel.hathitrust.org/cgi/pt?id=mdp.39015059899677")</f>
        <v>http://babel.hathitrust.org/cgi/pt?id=mdp.39015059899677</v>
      </c>
      <c r="H101" t="str">
        <f>HYPERLINK("http://catalog.hathitrust.org/Record/000160716")</f>
        <v>http://catalog.hathitrust.org/Record/000160716</v>
      </c>
      <c r="J101" s="1">
        <v>1922</v>
      </c>
      <c r="K101" t="s">
        <v>20776</v>
      </c>
      <c r="L101" t="s">
        <v>20777</v>
      </c>
    </row>
    <row r="102" spans="1:12">
      <c r="A102" t="s">
        <v>20779</v>
      </c>
      <c r="B102" s="1" t="s">
        <v>20775</v>
      </c>
      <c r="F102">
        <v>1</v>
      </c>
      <c r="G102" t="str">
        <f>HYPERLINK("http://babel.hathitrust.org/cgi/pt?id=uc2.ark:/13960/t4zg6jf3k")</f>
        <v>http://babel.hathitrust.org/cgi/pt?id=uc2.ark:/13960/t4zg6jf3k</v>
      </c>
      <c r="H102" t="str">
        <f>HYPERLINK("http://catalog.hathitrust.org/Record/000160716")</f>
        <v>http://catalog.hathitrust.org/Record/000160716</v>
      </c>
      <c r="J102" s="1">
        <v>1922</v>
      </c>
      <c r="K102" t="s">
        <v>20776</v>
      </c>
      <c r="L102" t="s">
        <v>20777</v>
      </c>
    </row>
    <row r="103" spans="1:12">
      <c r="A103" t="s">
        <v>20780</v>
      </c>
      <c r="B103" s="1" t="s">
        <v>20781</v>
      </c>
      <c r="E103">
        <v>1</v>
      </c>
      <c r="F103">
        <v>1</v>
      </c>
      <c r="G103" t="str">
        <f>HYPERLINK("http://babel.hathitrust.org/cgi/pt?id=mdp.39015059900251")</f>
        <v>http://babel.hathitrust.org/cgi/pt?id=mdp.39015059900251</v>
      </c>
      <c r="H103" t="str">
        <f>HYPERLINK("http://catalog.hathitrust.org/Record/000161390")</f>
        <v>http://catalog.hathitrust.org/Record/000161390</v>
      </c>
      <c r="J103" s="1">
        <v>1878</v>
      </c>
      <c r="K103" t="s">
        <v>20782</v>
      </c>
      <c r="L103" t="s">
        <v>20783</v>
      </c>
    </row>
    <row r="104" spans="1:12">
      <c r="A104" t="s">
        <v>20784</v>
      </c>
      <c r="B104" s="1" t="s">
        <v>20785</v>
      </c>
      <c r="E104">
        <v>1</v>
      </c>
      <c r="G104" t="str">
        <f>HYPERLINK("http://babel.hathitrust.org/cgi/pt?id=mdp.39015063829728")</f>
        <v>http://babel.hathitrust.org/cgi/pt?id=mdp.39015063829728</v>
      </c>
      <c r="H104" t="str">
        <f>HYPERLINK("http://catalog.hathitrust.org/Record/000161789")</f>
        <v>http://catalog.hathitrust.org/Record/000161789</v>
      </c>
      <c r="I104" s="1" t="s">
        <v>20916</v>
      </c>
      <c r="J104" s="1">
        <v>1881</v>
      </c>
      <c r="K104" t="s">
        <v>20661</v>
      </c>
      <c r="L104" t="s">
        <v>20662</v>
      </c>
    </row>
    <row r="105" spans="1:12">
      <c r="A105" t="s">
        <v>20663</v>
      </c>
      <c r="B105" s="1" t="s">
        <v>20785</v>
      </c>
      <c r="E105">
        <v>1</v>
      </c>
      <c r="G105" t="str">
        <f>HYPERLINK("http://babel.hathitrust.org/cgi/pt?id=mdp.39015063829736")</f>
        <v>http://babel.hathitrust.org/cgi/pt?id=mdp.39015063829736</v>
      </c>
      <c r="H105" t="str">
        <f>HYPERLINK("http://catalog.hathitrust.org/Record/000161789")</f>
        <v>http://catalog.hathitrust.org/Record/000161789</v>
      </c>
      <c r="I105" s="1" t="s">
        <v>20755</v>
      </c>
      <c r="J105" s="1">
        <v>1881</v>
      </c>
      <c r="K105" t="s">
        <v>20661</v>
      </c>
      <c r="L105" t="s">
        <v>20662</v>
      </c>
    </row>
    <row r="106" spans="1:12">
      <c r="A106" t="s">
        <v>20664</v>
      </c>
      <c r="B106" s="1" t="s">
        <v>20665</v>
      </c>
      <c r="E106">
        <v>1</v>
      </c>
      <c r="G106" t="str">
        <f>HYPERLINK("http://babel.hathitrust.org/cgi/pt?id=mdp.39015059410459")</f>
        <v>http://babel.hathitrust.org/cgi/pt?id=mdp.39015059410459</v>
      </c>
      <c r="H106" t="str">
        <f>HYPERLINK("http://catalog.hathitrust.org/Record/000161792")</f>
        <v>http://catalog.hathitrust.org/Record/000161792</v>
      </c>
      <c r="J106" s="1">
        <v>1879</v>
      </c>
      <c r="K106" t="s">
        <v>20666</v>
      </c>
      <c r="L106" t="s">
        <v>20662</v>
      </c>
    </row>
    <row r="107" spans="1:12">
      <c r="A107" t="s">
        <v>20667</v>
      </c>
      <c r="B107" s="1" t="s">
        <v>20668</v>
      </c>
      <c r="F107">
        <v>1</v>
      </c>
      <c r="G107" t="str">
        <f>HYPERLINK("http://babel.hathitrust.org/cgi/pt?id=loc.ark:/13960/t53f5mk2h")</f>
        <v>http://babel.hathitrust.org/cgi/pt?id=loc.ark:/13960/t53f5mk2h</v>
      </c>
      <c r="H107" t="str">
        <f>HYPERLINK("http://catalog.hathitrust.org/Record/000163070")</f>
        <v>http://catalog.hathitrust.org/Record/000163070</v>
      </c>
      <c r="J107" s="1">
        <v>1920</v>
      </c>
      <c r="K107" t="s">
        <v>20669</v>
      </c>
      <c r="L107" t="s">
        <v>20670</v>
      </c>
    </row>
    <row r="108" spans="1:12">
      <c r="A108" t="s">
        <v>20671</v>
      </c>
      <c r="B108" s="1" t="s">
        <v>20668</v>
      </c>
      <c r="F108">
        <v>1</v>
      </c>
      <c r="G108" t="str">
        <f>HYPERLINK("http://babel.hathitrust.org/cgi/pt?id=mdp.39015059481344")</f>
        <v>http://babel.hathitrust.org/cgi/pt?id=mdp.39015059481344</v>
      </c>
      <c r="H108" t="str">
        <f>HYPERLINK("http://catalog.hathitrust.org/Record/000163070")</f>
        <v>http://catalog.hathitrust.org/Record/000163070</v>
      </c>
      <c r="J108" s="1">
        <v>1920</v>
      </c>
      <c r="K108" t="s">
        <v>20669</v>
      </c>
      <c r="L108" t="s">
        <v>20670</v>
      </c>
    </row>
    <row r="109" spans="1:12">
      <c r="A109" t="s">
        <v>20672</v>
      </c>
      <c r="B109" s="1" t="s">
        <v>20673</v>
      </c>
      <c r="E109">
        <v>1</v>
      </c>
      <c r="G109" t="str">
        <f>HYPERLINK("http://babel.hathitrust.org/cgi/pt?id=mdp.39015010796954")</f>
        <v>http://babel.hathitrust.org/cgi/pt?id=mdp.39015010796954</v>
      </c>
      <c r="H109" t="str">
        <f>HYPERLINK("http://catalog.hathitrust.org/Record/000197924")</f>
        <v>http://catalog.hathitrust.org/Record/000197924</v>
      </c>
      <c r="I109" s="1" t="s">
        <v>20755</v>
      </c>
      <c r="J109" s="1">
        <v>1861</v>
      </c>
      <c r="K109" t="s">
        <v>20674</v>
      </c>
      <c r="L109" t="s">
        <v>20675</v>
      </c>
    </row>
    <row r="110" spans="1:12">
      <c r="A110" t="s">
        <v>20676</v>
      </c>
      <c r="B110" s="1" t="s">
        <v>20673</v>
      </c>
      <c r="E110">
        <v>1</v>
      </c>
      <c r="G110" t="str">
        <f>HYPERLINK("http://babel.hathitrust.org/cgi/pt?id=mdp.39015010797036")</f>
        <v>http://babel.hathitrust.org/cgi/pt?id=mdp.39015010797036</v>
      </c>
      <c r="H110" t="str">
        <f>HYPERLINK("http://catalog.hathitrust.org/Record/000197924")</f>
        <v>http://catalog.hathitrust.org/Record/000197924</v>
      </c>
      <c r="I110" s="1" t="s">
        <v>20916</v>
      </c>
      <c r="J110" s="1">
        <v>1861</v>
      </c>
      <c r="K110" t="s">
        <v>20674</v>
      </c>
      <c r="L110" t="s">
        <v>20675</v>
      </c>
    </row>
    <row r="111" spans="1:12">
      <c r="A111" t="s">
        <v>20677</v>
      </c>
      <c r="B111" s="1" t="s">
        <v>20673</v>
      </c>
      <c r="E111">
        <v>1</v>
      </c>
      <c r="G111" t="str">
        <f>HYPERLINK("http://babel.hathitrust.org/cgi/pt?id=mdp.39015067321649")</f>
        <v>http://babel.hathitrust.org/cgi/pt?id=mdp.39015067321649</v>
      </c>
      <c r="H111" t="str">
        <f>HYPERLINK("http://catalog.hathitrust.org/Record/000197924")</f>
        <v>http://catalog.hathitrust.org/Record/000197924</v>
      </c>
      <c r="I111" s="1" t="s">
        <v>20920</v>
      </c>
      <c r="J111" s="1">
        <v>1861</v>
      </c>
      <c r="K111" t="s">
        <v>20674</v>
      </c>
      <c r="L111" t="s">
        <v>20675</v>
      </c>
    </row>
    <row r="112" spans="1:12">
      <c r="A112" t="s">
        <v>20678</v>
      </c>
      <c r="B112" s="1" t="s">
        <v>20673</v>
      </c>
      <c r="E112">
        <v>1</v>
      </c>
      <c r="G112" t="str">
        <f>HYPERLINK("http://babel.hathitrust.org/cgi/pt?id=mdp.39015067321656")</f>
        <v>http://babel.hathitrust.org/cgi/pt?id=mdp.39015067321656</v>
      </c>
      <c r="H112" t="str">
        <f>HYPERLINK("http://catalog.hathitrust.org/Record/000197924")</f>
        <v>http://catalog.hathitrust.org/Record/000197924</v>
      </c>
      <c r="I112" s="1" t="s">
        <v>20679</v>
      </c>
      <c r="J112" s="1">
        <v>1861</v>
      </c>
      <c r="K112" t="s">
        <v>20674</v>
      </c>
      <c r="L112" t="s">
        <v>20675</v>
      </c>
    </row>
    <row r="113" spans="1:12">
      <c r="A113" t="s">
        <v>20680</v>
      </c>
      <c r="B113" s="1" t="s">
        <v>20673</v>
      </c>
      <c r="E113">
        <v>1</v>
      </c>
      <c r="G113" t="str">
        <f>HYPERLINK("http://babel.hathitrust.org/cgi/pt?id=mdp.39015067321664")</f>
        <v>http://babel.hathitrust.org/cgi/pt?id=mdp.39015067321664</v>
      </c>
      <c r="H113" t="str">
        <f>HYPERLINK("http://catalog.hathitrust.org/Record/000197924")</f>
        <v>http://catalog.hathitrust.org/Record/000197924</v>
      </c>
      <c r="I113" s="1" t="s">
        <v>20681</v>
      </c>
      <c r="J113" s="1">
        <v>1861</v>
      </c>
      <c r="K113" t="s">
        <v>20674</v>
      </c>
      <c r="L113" t="s">
        <v>20675</v>
      </c>
    </row>
    <row r="114" spans="1:12">
      <c r="A114" t="s">
        <v>20682</v>
      </c>
      <c r="B114" s="1" t="s">
        <v>20683</v>
      </c>
      <c r="E114">
        <v>1</v>
      </c>
      <c r="G114" t="str">
        <f>HYPERLINK("http://babel.hathitrust.org/cgi/pt?id=mdp.39015059400575")</f>
        <v>http://babel.hathitrust.org/cgi/pt?id=mdp.39015059400575</v>
      </c>
      <c r="H114" t="str">
        <f>HYPERLINK("http://catalog.hathitrust.org/Record/000199919")</f>
        <v>http://catalog.hathitrust.org/Record/000199919</v>
      </c>
      <c r="J114" s="1">
        <v>1895</v>
      </c>
      <c r="K114" t="s">
        <v>20684</v>
      </c>
      <c r="L114" t="s">
        <v>20925</v>
      </c>
    </row>
    <row r="115" spans="1:12">
      <c r="A115" t="s">
        <v>20685</v>
      </c>
      <c r="B115" s="1" t="s">
        <v>20686</v>
      </c>
      <c r="F115">
        <v>1</v>
      </c>
      <c r="G115" t="str">
        <f>HYPERLINK("http://babel.hathitrust.org/cgi/pt?id=mdp.39015058690812")</f>
        <v>http://babel.hathitrust.org/cgi/pt?id=mdp.39015058690812</v>
      </c>
      <c r="H115" t="str">
        <f>HYPERLINK("http://catalog.hathitrust.org/Record/000200076")</f>
        <v>http://catalog.hathitrust.org/Record/000200076</v>
      </c>
      <c r="J115" s="1">
        <v>1870</v>
      </c>
      <c r="K115" t="s">
        <v>20687</v>
      </c>
      <c r="L115" t="s">
        <v>20688</v>
      </c>
    </row>
    <row r="116" spans="1:12">
      <c r="A116" t="s">
        <v>20689</v>
      </c>
      <c r="B116" s="1" t="s">
        <v>20690</v>
      </c>
      <c r="F116">
        <v>1</v>
      </c>
      <c r="G116" t="str">
        <f>HYPERLINK("http://babel.hathitrust.org/cgi/pt?id=hvd.32044014271712")</f>
        <v>http://babel.hathitrust.org/cgi/pt?id=hvd.32044014271712</v>
      </c>
      <c r="H116" t="str">
        <f t="shared" ref="H116:H126" si="1">HYPERLINK("http://catalog.hathitrust.org/Record/000200097")</f>
        <v>http://catalog.hathitrust.org/Record/000200097</v>
      </c>
      <c r="I116" s="1" t="s">
        <v>20755</v>
      </c>
      <c r="J116" s="1">
        <v>1838</v>
      </c>
      <c r="K116" t="s">
        <v>20691</v>
      </c>
      <c r="L116" t="s">
        <v>20692</v>
      </c>
    </row>
    <row r="117" spans="1:12">
      <c r="A117" t="s">
        <v>20693</v>
      </c>
      <c r="B117" s="1" t="s">
        <v>20690</v>
      </c>
      <c r="F117">
        <v>1</v>
      </c>
      <c r="G117" t="str">
        <f>HYPERLINK("http://babel.hathitrust.org/cgi/pt?id=hvd.32044014271795")</f>
        <v>http://babel.hathitrust.org/cgi/pt?id=hvd.32044014271795</v>
      </c>
      <c r="H117" t="str">
        <f t="shared" si="1"/>
        <v>http://catalog.hathitrust.org/Record/000200097</v>
      </c>
      <c r="I117" s="1" t="s">
        <v>20916</v>
      </c>
      <c r="J117" s="1">
        <v>1838</v>
      </c>
      <c r="K117" t="s">
        <v>20691</v>
      </c>
      <c r="L117" t="s">
        <v>20692</v>
      </c>
    </row>
    <row r="118" spans="1:12">
      <c r="A118" t="s">
        <v>20694</v>
      </c>
      <c r="B118" s="1" t="s">
        <v>20690</v>
      </c>
      <c r="C118">
        <v>1</v>
      </c>
      <c r="D118">
        <v>1</v>
      </c>
      <c r="G118" t="str">
        <f>HYPERLINK("http://babel.hathitrust.org/cgi/pt?id=hvd.hwlcsm")</f>
        <v>http://babel.hathitrust.org/cgi/pt?id=hvd.hwlcsm</v>
      </c>
      <c r="H118" t="str">
        <f t="shared" si="1"/>
        <v>http://catalog.hathitrust.org/Record/000200097</v>
      </c>
      <c r="I118" s="1">
        <v>2</v>
      </c>
      <c r="J118" s="1">
        <v>1838</v>
      </c>
      <c r="K118" t="s">
        <v>20691</v>
      </c>
      <c r="L118" t="s">
        <v>20692</v>
      </c>
    </row>
    <row r="119" spans="1:12">
      <c r="A119" t="s">
        <v>20695</v>
      </c>
      <c r="B119" s="1" t="s">
        <v>20690</v>
      </c>
      <c r="C119">
        <v>1</v>
      </c>
      <c r="D119">
        <v>1</v>
      </c>
      <c r="G119" t="str">
        <f>HYPERLINK("http://babel.hathitrust.org/cgi/pt?id=hvd.hwpmn6")</f>
        <v>http://babel.hathitrust.org/cgi/pt?id=hvd.hwpmn6</v>
      </c>
      <c r="H119" t="str">
        <f t="shared" si="1"/>
        <v>http://catalog.hathitrust.org/Record/000200097</v>
      </c>
      <c r="I119" s="1">
        <v>1</v>
      </c>
      <c r="J119" s="1">
        <v>1838</v>
      </c>
      <c r="K119" t="s">
        <v>20691</v>
      </c>
      <c r="L119" t="s">
        <v>20692</v>
      </c>
    </row>
    <row r="120" spans="1:12">
      <c r="A120" t="s">
        <v>20696</v>
      </c>
      <c r="B120" s="1" t="s">
        <v>20690</v>
      </c>
      <c r="F120">
        <v>1</v>
      </c>
      <c r="G120" t="str">
        <f>HYPERLINK("http://babel.hathitrust.org/cgi/pt?id=mdp.39015058412522")</f>
        <v>http://babel.hathitrust.org/cgi/pt?id=mdp.39015058412522</v>
      </c>
      <c r="H120" t="str">
        <f t="shared" si="1"/>
        <v>http://catalog.hathitrust.org/Record/000200097</v>
      </c>
      <c r="I120" s="1" t="s">
        <v>20916</v>
      </c>
      <c r="J120" s="1">
        <v>1838</v>
      </c>
      <c r="K120" t="s">
        <v>20691</v>
      </c>
      <c r="L120" t="s">
        <v>20692</v>
      </c>
    </row>
    <row r="121" spans="1:12">
      <c r="A121" t="s">
        <v>20697</v>
      </c>
      <c r="B121" s="1" t="s">
        <v>20690</v>
      </c>
      <c r="F121">
        <v>1</v>
      </c>
      <c r="G121" t="str">
        <f>HYPERLINK("http://babel.hathitrust.org/cgi/pt?id=mdp.39015070460194")</f>
        <v>http://babel.hathitrust.org/cgi/pt?id=mdp.39015070460194</v>
      </c>
      <c r="H121" t="str">
        <f t="shared" si="1"/>
        <v>http://catalog.hathitrust.org/Record/000200097</v>
      </c>
      <c r="I121" s="1" t="s">
        <v>20755</v>
      </c>
      <c r="J121" s="1">
        <v>1838</v>
      </c>
      <c r="K121" t="s">
        <v>20691</v>
      </c>
      <c r="L121" t="s">
        <v>20692</v>
      </c>
    </row>
    <row r="122" spans="1:12">
      <c r="A122" t="s">
        <v>20698</v>
      </c>
      <c r="B122" s="1" t="s">
        <v>20690</v>
      </c>
      <c r="F122">
        <v>1</v>
      </c>
      <c r="G122" t="str">
        <f>HYPERLINK("http://babel.hathitrust.org/cgi/pt?id=nyp.33433069243198")</f>
        <v>http://babel.hathitrust.org/cgi/pt?id=nyp.33433069243198</v>
      </c>
      <c r="H122" t="str">
        <f t="shared" si="1"/>
        <v>http://catalog.hathitrust.org/Record/000200097</v>
      </c>
      <c r="I122" s="1" t="s">
        <v>20799</v>
      </c>
      <c r="J122" s="1">
        <v>1838</v>
      </c>
      <c r="K122" t="s">
        <v>20691</v>
      </c>
      <c r="L122" t="s">
        <v>20692</v>
      </c>
    </row>
    <row r="123" spans="1:12">
      <c r="A123" t="s">
        <v>20699</v>
      </c>
      <c r="B123" s="1" t="s">
        <v>20690</v>
      </c>
      <c r="F123">
        <v>1</v>
      </c>
      <c r="G123" t="str">
        <f>HYPERLINK("http://babel.hathitrust.org/cgi/pt?id=nyp.33433069243206")</f>
        <v>http://babel.hathitrust.org/cgi/pt?id=nyp.33433069243206</v>
      </c>
      <c r="H123" t="str">
        <f t="shared" si="1"/>
        <v>http://catalog.hathitrust.org/Record/000200097</v>
      </c>
      <c r="I123" s="1" t="s">
        <v>20796</v>
      </c>
      <c r="J123" s="1">
        <v>1838</v>
      </c>
      <c r="K123" t="s">
        <v>20691</v>
      </c>
      <c r="L123" t="s">
        <v>20692</v>
      </c>
    </row>
    <row r="124" spans="1:12">
      <c r="A124" t="s">
        <v>20700</v>
      </c>
      <c r="B124" s="1" t="s">
        <v>20690</v>
      </c>
      <c r="F124">
        <v>1</v>
      </c>
      <c r="G124" t="str">
        <f>HYPERLINK("http://babel.hathitrust.org/cgi/pt?id=nyp.33433081990305")</f>
        <v>http://babel.hathitrust.org/cgi/pt?id=nyp.33433081990305</v>
      </c>
      <c r="H124" t="str">
        <f t="shared" si="1"/>
        <v>http://catalog.hathitrust.org/Record/000200097</v>
      </c>
      <c r="I124" s="1" t="s">
        <v>20701</v>
      </c>
      <c r="J124" s="1">
        <v>1838</v>
      </c>
      <c r="K124" t="s">
        <v>20691</v>
      </c>
      <c r="L124" t="s">
        <v>20692</v>
      </c>
    </row>
    <row r="125" spans="1:12">
      <c r="A125" t="s">
        <v>20702</v>
      </c>
      <c r="B125" s="1" t="s">
        <v>20690</v>
      </c>
      <c r="F125">
        <v>1</v>
      </c>
      <c r="G125" t="str">
        <f>HYPERLINK("http://babel.hathitrust.org/cgi/pt?id=uc2.ark:/13960/t21c1zn1d")</f>
        <v>http://babel.hathitrust.org/cgi/pt?id=uc2.ark:/13960/t21c1zn1d</v>
      </c>
      <c r="H125" t="str">
        <f t="shared" si="1"/>
        <v>http://catalog.hathitrust.org/Record/000200097</v>
      </c>
      <c r="I125" s="1" t="s">
        <v>20755</v>
      </c>
      <c r="J125" s="1">
        <v>1838</v>
      </c>
      <c r="K125" t="s">
        <v>20691</v>
      </c>
      <c r="L125" t="s">
        <v>20692</v>
      </c>
    </row>
    <row r="126" spans="1:12">
      <c r="A126" t="s">
        <v>20703</v>
      </c>
      <c r="B126" s="1" t="s">
        <v>20690</v>
      </c>
      <c r="F126">
        <v>1</v>
      </c>
      <c r="G126" t="str">
        <f>HYPERLINK("http://babel.hathitrust.org/cgi/pt?id=uc2.ark:/13960/t6f18xv1q")</f>
        <v>http://babel.hathitrust.org/cgi/pt?id=uc2.ark:/13960/t6f18xv1q</v>
      </c>
      <c r="H126" t="str">
        <f t="shared" si="1"/>
        <v>http://catalog.hathitrust.org/Record/000200097</v>
      </c>
      <c r="I126" s="1" t="s">
        <v>20916</v>
      </c>
      <c r="J126" s="1">
        <v>1838</v>
      </c>
      <c r="K126" t="s">
        <v>20691</v>
      </c>
      <c r="L126" t="s">
        <v>20692</v>
      </c>
    </row>
    <row r="127" spans="1:12">
      <c r="A127" t="s">
        <v>20704</v>
      </c>
      <c r="B127" s="1" t="s">
        <v>20705</v>
      </c>
      <c r="C127">
        <v>1</v>
      </c>
      <c r="D127">
        <v>1</v>
      </c>
      <c r="G127" t="str">
        <f>HYPERLINK("http://babel.hathitrust.org/cgi/pt?id=mdp.39015049861282")</f>
        <v>http://babel.hathitrust.org/cgi/pt?id=mdp.39015049861282</v>
      </c>
      <c r="H127" t="str">
        <f>HYPERLINK("http://catalog.hathitrust.org/Record/000200101")</f>
        <v>http://catalog.hathitrust.org/Record/000200101</v>
      </c>
      <c r="J127" s="1">
        <v>1880</v>
      </c>
      <c r="K127" t="s">
        <v>20706</v>
      </c>
      <c r="L127" t="s">
        <v>20707</v>
      </c>
    </row>
    <row r="128" spans="1:12">
      <c r="A128" t="s">
        <v>20708</v>
      </c>
      <c r="B128" s="1" t="s">
        <v>20705</v>
      </c>
      <c r="F128">
        <v>1</v>
      </c>
      <c r="G128" t="str">
        <f>HYPERLINK("http://babel.hathitrust.org/cgi/pt?id=uc1.b3307701")</f>
        <v>http://babel.hathitrust.org/cgi/pt?id=uc1.b3307701</v>
      </c>
      <c r="H128" t="str">
        <f>HYPERLINK("http://catalog.hathitrust.org/Record/000200101")</f>
        <v>http://catalog.hathitrust.org/Record/000200101</v>
      </c>
      <c r="J128" s="1">
        <v>1880</v>
      </c>
      <c r="K128" t="s">
        <v>20706</v>
      </c>
      <c r="L128" t="s">
        <v>20707</v>
      </c>
    </row>
    <row r="129" spans="1:12">
      <c r="A129" t="s">
        <v>20709</v>
      </c>
      <c r="B129" s="1" t="s">
        <v>20710</v>
      </c>
      <c r="F129">
        <v>1</v>
      </c>
      <c r="G129" t="str">
        <f>HYPERLINK("http://babel.hathitrust.org/cgi/pt?id=mdp.39015053593383")</f>
        <v>http://babel.hathitrust.org/cgi/pt?id=mdp.39015053593383</v>
      </c>
      <c r="H129" t="str">
        <f>HYPERLINK("http://catalog.hathitrust.org/Record/000200106")</f>
        <v>http://catalog.hathitrust.org/Record/000200106</v>
      </c>
      <c r="J129" s="1">
        <v>1910</v>
      </c>
      <c r="K129" t="s">
        <v>20711</v>
      </c>
      <c r="L129" t="s">
        <v>20712</v>
      </c>
    </row>
    <row r="130" spans="1:12">
      <c r="A130" t="s">
        <v>20713</v>
      </c>
      <c r="B130" s="1" t="s">
        <v>20714</v>
      </c>
      <c r="D130">
        <v>1</v>
      </c>
      <c r="G130" t="str">
        <f>HYPERLINK("http://babel.hathitrust.org/cgi/pt?id=mdp.39015059375686")</f>
        <v>http://babel.hathitrust.org/cgi/pt?id=mdp.39015059375686</v>
      </c>
      <c r="H130" t="str">
        <f>HYPERLINK("http://catalog.hathitrust.org/Record/000200109")</f>
        <v>http://catalog.hathitrust.org/Record/000200109</v>
      </c>
      <c r="J130" s="1">
        <v>1749</v>
      </c>
      <c r="K130" t="s">
        <v>20715</v>
      </c>
      <c r="L130" t="s">
        <v>20716</v>
      </c>
    </row>
    <row r="131" spans="1:12">
      <c r="A131" t="s">
        <v>20717</v>
      </c>
      <c r="B131" s="1" t="s">
        <v>20718</v>
      </c>
      <c r="D131">
        <v>1</v>
      </c>
      <c r="G131" t="str">
        <f>HYPERLINK("http://babel.hathitrust.org/cgi/pt?id=mdp.39015050669046")</f>
        <v>http://babel.hathitrust.org/cgi/pt?id=mdp.39015050669046</v>
      </c>
      <c r="H131" t="str">
        <f>HYPERLINK("http://catalog.hathitrust.org/Record/000200115")</f>
        <v>http://catalog.hathitrust.org/Record/000200115</v>
      </c>
      <c r="J131" s="1">
        <v>1761</v>
      </c>
      <c r="K131" t="s">
        <v>20719</v>
      </c>
      <c r="L131" t="s">
        <v>20716</v>
      </c>
    </row>
    <row r="132" spans="1:12">
      <c r="A132" t="s">
        <v>20720</v>
      </c>
      <c r="B132" s="1" t="s">
        <v>20721</v>
      </c>
      <c r="D132">
        <v>1</v>
      </c>
      <c r="G132" t="str">
        <f>HYPERLINK("http://babel.hathitrust.org/cgi/pt?id=mdp.39015053593771")</f>
        <v>http://babel.hathitrust.org/cgi/pt?id=mdp.39015053593771</v>
      </c>
      <c r="H132" t="str">
        <f>HYPERLINK("http://catalog.hathitrust.org/Record/000200124")</f>
        <v>http://catalog.hathitrust.org/Record/000200124</v>
      </c>
      <c r="J132" s="1">
        <v>1904</v>
      </c>
      <c r="K132" t="s">
        <v>20722</v>
      </c>
      <c r="L132" t="s">
        <v>20723</v>
      </c>
    </row>
    <row r="133" spans="1:12">
      <c r="A133" t="s">
        <v>20724</v>
      </c>
      <c r="B133" s="1" t="s">
        <v>20721</v>
      </c>
      <c r="F133">
        <v>1</v>
      </c>
      <c r="G133" t="str">
        <f>HYPERLINK("http://babel.hathitrust.org/cgi/pt?id=uc1.b31643")</f>
        <v>http://babel.hathitrust.org/cgi/pt?id=uc1.b31643</v>
      </c>
      <c r="H133" t="str">
        <f>HYPERLINK("http://catalog.hathitrust.org/Record/000200124")</f>
        <v>http://catalog.hathitrust.org/Record/000200124</v>
      </c>
      <c r="J133" s="1">
        <v>1904</v>
      </c>
      <c r="K133" t="s">
        <v>20722</v>
      </c>
      <c r="L133" t="s">
        <v>20723</v>
      </c>
    </row>
    <row r="134" spans="1:12">
      <c r="A134" t="s">
        <v>20725</v>
      </c>
      <c r="B134" s="1" t="s">
        <v>20721</v>
      </c>
      <c r="F134">
        <v>1</v>
      </c>
      <c r="G134" t="str">
        <f>HYPERLINK("http://babel.hathitrust.org/cgi/pt?id=uc2.ark:/13960/t6n01200j")</f>
        <v>http://babel.hathitrust.org/cgi/pt?id=uc2.ark:/13960/t6n01200j</v>
      </c>
      <c r="H134" t="str">
        <f>HYPERLINK("http://catalog.hathitrust.org/Record/000200124")</f>
        <v>http://catalog.hathitrust.org/Record/000200124</v>
      </c>
      <c r="J134" s="1">
        <v>1904</v>
      </c>
      <c r="K134" t="s">
        <v>20722</v>
      </c>
      <c r="L134" t="s">
        <v>20723</v>
      </c>
    </row>
    <row r="135" spans="1:12">
      <c r="A135" t="s">
        <v>20726</v>
      </c>
      <c r="B135" s="1" t="s">
        <v>20727</v>
      </c>
      <c r="E135">
        <v>1</v>
      </c>
      <c r="F135">
        <v>1</v>
      </c>
      <c r="G135" t="str">
        <f>HYPERLINK("http://babel.hathitrust.org/cgi/pt?id=mdp.39015059378581")</f>
        <v>http://babel.hathitrust.org/cgi/pt?id=mdp.39015059378581</v>
      </c>
      <c r="H135" t="str">
        <f>HYPERLINK("http://catalog.hathitrust.org/Record/000200164")</f>
        <v>http://catalog.hathitrust.org/Record/000200164</v>
      </c>
      <c r="J135" s="1">
        <v>1893</v>
      </c>
      <c r="K135" t="s">
        <v>20604</v>
      </c>
      <c r="L135" t="s">
        <v>20605</v>
      </c>
    </row>
    <row r="136" spans="1:12">
      <c r="A136" t="s">
        <v>20606</v>
      </c>
      <c r="B136" s="1" t="s">
        <v>20727</v>
      </c>
      <c r="E136">
        <v>1</v>
      </c>
      <c r="F136">
        <v>1</v>
      </c>
      <c r="G136" t="str">
        <f>HYPERLINK("http://babel.hathitrust.org/cgi/pt?id=uc1.b31625")</f>
        <v>http://babel.hathitrust.org/cgi/pt?id=uc1.b31625</v>
      </c>
      <c r="H136" t="str">
        <f>HYPERLINK("http://catalog.hathitrust.org/Record/000200164")</f>
        <v>http://catalog.hathitrust.org/Record/000200164</v>
      </c>
      <c r="J136" s="1">
        <v>1893</v>
      </c>
      <c r="K136" t="s">
        <v>20604</v>
      </c>
      <c r="L136" t="s">
        <v>20605</v>
      </c>
    </row>
    <row r="137" spans="1:12">
      <c r="A137" t="s">
        <v>20607</v>
      </c>
      <c r="B137" s="1" t="s">
        <v>20727</v>
      </c>
      <c r="E137">
        <v>1</v>
      </c>
      <c r="F137">
        <v>1</v>
      </c>
      <c r="G137" t="str">
        <f>HYPERLINK("http://babel.hathitrust.org/cgi/pt?id=uc2.ark:/13960/t8v98215k")</f>
        <v>http://babel.hathitrust.org/cgi/pt?id=uc2.ark:/13960/t8v98215k</v>
      </c>
      <c r="H137" t="str">
        <f>HYPERLINK("http://catalog.hathitrust.org/Record/000200164")</f>
        <v>http://catalog.hathitrust.org/Record/000200164</v>
      </c>
      <c r="J137" s="1">
        <v>1893</v>
      </c>
      <c r="K137" t="s">
        <v>20604</v>
      </c>
      <c r="L137" t="s">
        <v>20605</v>
      </c>
    </row>
    <row r="138" spans="1:12">
      <c r="A138" t="s">
        <v>20608</v>
      </c>
      <c r="B138" s="1" t="s">
        <v>20609</v>
      </c>
      <c r="D138">
        <v>1</v>
      </c>
      <c r="G138" t="str">
        <f>HYPERLINK("http://babel.hathitrust.org/cgi/pt?id=mdp.39015076738015")</f>
        <v>http://babel.hathitrust.org/cgi/pt?id=mdp.39015076738015</v>
      </c>
      <c r="H138" t="str">
        <f>HYPERLINK("http://catalog.hathitrust.org/Record/000200169")</f>
        <v>http://catalog.hathitrust.org/Record/000200169</v>
      </c>
      <c r="J138" s="1">
        <v>1908</v>
      </c>
      <c r="K138" t="s">
        <v>20610</v>
      </c>
      <c r="L138" t="s">
        <v>20611</v>
      </c>
    </row>
    <row r="139" spans="1:12">
      <c r="A139" t="s">
        <v>20612</v>
      </c>
      <c r="B139" s="1" t="s">
        <v>20613</v>
      </c>
      <c r="D139">
        <v>1</v>
      </c>
      <c r="G139" t="str">
        <f>HYPERLINK("http://babel.hathitrust.org/cgi/pt?id=mdp.39015010807975")</f>
        <v>http://babel.hathitrust.org/cgi/pt?id=mdp.39015010807975</v>
      </c>
      <c r="H139" t="str">
        <f>HYPERLINK("http://catalog.hathitrust.org/Record/000200188")</f>
        <v>http://catalog.hathitrust.org/Record/000200188</v>
      </c>
      <c r="J139" s="1">
        <v>1903</v>
      </c>
      <c r="K139" t="s">
        <v>20614</v>
      </c>
      <c r="L139" t="s">
        <v>20615</v>
      </c>
    </row>
    <row r="140" spans="1:12">
      <c r="A140" t="s">
        <v>20616</v>
      </c>
      <c r="B140" s="1" t="s">
        <v>20613</v>
      </c>
      <c r="F140">
        <v>1</v>
      </c>
      <c r="G140" t="str">
        <f>HYPERLINK("http://babel.hathitrust.org/cgi/pt?id=mdp.39015053245232")</f>
        <v>http://babel.hathitrust.org/cgi/pt?id=mdp.39015053245232</v>
      </c>
      <c r="H140" t="str">
        <f>HYPERLINK("http://catalog.hathitrust.org/Record/000200188")</f>
        <v>http://catalog.hathitrust.org/Record/000200188</v>
      </c>
      <c r="J140" s="1">
        <v>1903</v>
      </c>
      <c r="K140" t="s">
        <v>20614</v>
      </c>
      <c r="L140" t="s">
        <v>20615</v>
      </c>
    </row>
    <row r="141" spans="1:12">
      <c r="A141" t="s">
        <v>20617</v>
      </c>
      <c r="B141" s="1" t="s">
        <v>20613</v>
      </c>
      <c r="F141">
        <v>1</v>
      </c>
      <c r="G141" t="str">
        <f>HYPERLINK("http://babel.hathitrust.org/cgi/pt?id=uc1.b298090")</f>
        <v>http://babel.hathitrust.org/cgi/pt?id=uc1.b298090</v>
      </c>
      <c r="H141" t="str">
        <f>HYPERLINK("http://catalog.hathitrust.org/Record/000200188")</f>
        <v>http://catalog.hathitrust.org/Record/000200188</v>
      </c>
      <c r="J141" s="1">
        <v>1903</v>
      </c>
      <c r="K141" t="s">
        <v>20614</v>
      </c>
      <c r="L141" t="s">
        <v>20615</v>
      </c>
    </row>
    <row r="142" spans="1:12">
      <c r="A142" t="s">
        <v>20618</v>
      </c>
      <c r="B142" s="1" t="s">
        <v>20613</v>
      </c>
      <c r="F142">
        <v>1</v>
      </c>
      <c r="G142" t="str">
        <f>HYPERLINK("http://babel.hathitrust.org/cgi/pt?id=uc2.ark:/13960/t9n29sz1t")</f>
        <v>http://babel.hathitrust.org/cgi/pt?id=uc2.ark:/13960/t9n29sz1t</v>
      </c>
      <c r="H142" t="str">
        <f>HYPERLINK("http://catalog.hathitrust.org/Record/000200188")</f>
        <v>http://catalog.hathitrust.org/Record/000200188</v>
      </c>
      <c r="J142" s="1">
        <v>1903</v>
      </c>
      <c r="K142" t="s">
        <v>20614</v>
      </c>
      <c r="L142" t="s">
        <v>20615</v>
      </c>
    </row>
    <row r="143" spans="1:12">
      <c r="A143" t="s">
        <v>20619</v>
      </c>
      <c r="B143" s="1" t="s">
        <v>20620</v>
      </c>
      <c r="D143">
        <v>1</v>
      </c>
      <c r="G143" t="str">
        <f>HYPERLINK("http://babel.hathitrust.org/cgi/pt?id=uc1.b276184")</f>
        <v>http://babel.hathitrust.org/cgi/pt?id=uc1.b276184</v>
      </c>
      <c r="H143" t="str">
        <f>HYPERLINK("http://catalog.hathitrust.org/Record/000200193")</f>
        <v>http://catalog.hathitrust.org/Record/000200193</v>
      </c>
      <c r="J143" s="1">
        <v>1907</v>
      </c>
      <c r="K143" t="s">
        <v>20621</v>
      </c>
      <c r="L143" t="s">
        <v>20615</v>
      </c>
    </row>
    <row r="144" spans="1:12">
      <c r="A144" t="s">
        <v>20622</v>
      </c>
      <c r="B144" s="1" t="s">
        <v>20620</v>
      </c>
      <c r="F144">
        <v>1</v>
      </c>
      <c r="G144" t="str">
        <f>HYPERLINK("http://babel.hathitrust.org/cgi/pt?id=uc2.ark:/13960/t4gm85z22")</f>
        <v>http://babel.hathitrust.org/cgi/pt?id=uc2.ark:/13960/t4gm85z22</v>
      </c>
      <c r="H144" t="str">
        <f>HYPERLINK("http://catalog.hathitrust.org/Record/000200193")</f>
        <v>http://catalog.hathitrust.org/Record/000200193</v>
      </c>
      <c r="J144" s="1">
        <v>1907</v>
      </c>
      <c r="K144" t="s">
        <v>20621</v>
      </c>
      <c r="L144" t="s">
        <v>20615</v>
      </c>
    </row>
    <row r="145" spans="1:12">
      <c r="A145" t="s">
        <v>20623</v>
      </c>
      <c r="B145" s="1" t="s">
        <v>20624</v>
      </c>
      <c r="D145">
        <v>1</v>
      </c>
      <c r="G145" t="str">
        <f>HYPERLINK("http://babel.hathitrust.org/cgi/pt?id=mdp.39015031643748")</f>
        <v>http://babel.hathitrust.org/cgi/pt?id=mdp.39015031643748</v>
      </c>
      <c r="H145" t="str">
        <f>HYPERLINK("http://catalog.hathitrust.org/Record/000200198")</f>
        <v>http://catalog.hathitrust.org/Record/000200198</v>
      </c>
      <c r="J145" s="1">
        <v>1897</v>
      </c>
      <c r="K145" t="s">
        <v>20625</v>
      </c>
      <c r="L145" t="s">
        <v>20615</v>
      </c>
    </row>
    <row r="146" spans="1:12">
      <c r="A146" t="s">
        <v>20626</v>
      </c>
      <c r="B146" s="1" t="s">
        <v>20627</v>
      </c>
      <c r="E146">
        <v>1</v>
      </c>
      <c r="G146" t="str">
        <f>HYPERLINK("http://babel.hathitrust.org/cgi/pt?id=mdp.39015024386446")</f>
        <v>http://babel.hathitrust.org/cgi/pt?id=mdp.39015024386446</v>
      </c>
      <c r="H146" t="str">
        <f>HYPERLINK("http://catalog.hathitrust.org/Record/000200257")</f>
        <v>http://catalog.hathitrust.org/Record/000200257</v>
      </c>
      <c r="J146" s="1">
        <v>1896</v>
      </c>
      <c r="K146" t="s">
        <v>20628</v>
      </c>
      <c r="L146" t="s">
        <v>20629</v>
      </c>
    </row>
    <row r="147" spans="1:12">
      <c r="A147" t="s">
        <v>20630</v>
      </c>
      <c r="B147" s="1" t="s">
        <v>20631</v>
      </c>
      <c r="E147">
        <v>1</v>
      </c>
      <c r="G147" t="str">
        <f>HYPERLINK("http://babel.hathitrust.org/cgi/pt?id=mdp.39015024384615")</f>
        <v>http://babel.hathitrust.org/cgi/pt?id=mdp.39015024384615</v>
      </c>
      <c r="H147" t="str">
        <f>HYPERLINK("http://catalog.hathitrust.org/Record/000200260")</f>
        <v>http://catalog.hathitrust.org/Record/000200260</v>
      </c>
      <c r="J147" s="1">
        <v>1896</v>
      </c>
      <c r="K147" t="s">
        <v>20632</v>
      </c>
      <c r="L147" t="s">
        <v>20629</v>
      </c>
    </row>
    <row r="148" spans="1:12">
      <c r="A148" t="s">
        <v>20633</v>
      </c>
      <c r="B148" s="1" t="s">
        <v>20634</v>
      </c>
      <c r="E148">
        <v>1</v>
      </c>
      <c r="F148">
        <v>1</v>
      </c>
      <c r="G148" t="str">
        <f>HYPERLINK("http://babel.hathitrust.org/cgi/pt?id=mdp.39015006978525")</f>
        <v>http://babel.hathitrust.org/cgi/pt?id=mdp.39015006978525</v>
      </c>
      <c r="H148" t="str">
        <f>HYPERLINK("http://catalog.hathitrust.org/Record/000200348")</f>
        <v>http://catalog.hathitrust.org/Record/000200348</v>
      </c>
      <c r="J148" s="1">
        <v>1911</v>
      </c>
      <c r="K148" t="s">
        <v>20635</v>
      </c>
      <c r="L148" t="s">
        <v>20636</v>
      </c>
    </row>
    <row r="149" spans="1:12">
      <c r="A149" t="s">
        <v>20637</v>
      </c>
      <c r="B149" s="1" t="s">
        <v>20634</v>
      </c>
      <c r="F149">
        <v>1</v>
      </c>
      <c r="G149" t="str">
        <f>HYPERLINK("http://babel.hathitrust.org/cgi/pt?id=uc2.ark:/13960/t2v40m95c")</f>
        <v>http://babel.hathitrust.org/cgi/pt?id=uc2.ark:/13960/t2v40m95c</v>
      </c>
      <c r="H149" t="str">
        <f>HYPERLINK("http://catalog.hathitrust.org/Record/000200348")</f>
        <v>http://catalog.hathitrust.org/Record/000200348</v>
      </c>
      <c r="J149" s="1">
        <v>1911</v>
      </c>
      <c r="K149" t="s">
        <v>20635</v>
      </c>
      <c r="L149" t="s">
        <v>20636</v>
      </c>
    </row>
    <row r="150" spans="1:12">
      <c r="A150" t="s">
        <v>20638</v>
      </c>
      <c r="B150" s="1" t="s">
        <v>20639</v>
      </c>
      <c r="F150">
        <v>1</v>
      </c>
      <c r="G150" t="str">
        <f>HYPERLINK("http://babel.hathitrust.org/cgi/pt?id=mdp.39015058690291")</f>
        <v>http://babel.hathitrust.org/cgi/pt?id=mdp.39015058690291</v>
      </c>
      <c r="H150" t="str">
        <f>HYPERLINK("http://catalog.hathitrust.org/Record/000200392")</f>
        <v>http://catalog.hathitrust.org/Record/000200392</v>
      </c>
      <c r="J150" s="1">
        <v>1881</v>
      </c>
      <c r="K150" t="s">
        <v>20640</v>
      </c>
      <c r="L150" t="s">
        <v>20641</v>
      </c>
    </row>
    <row r="151" spans="1:12">
      <c r="A151" t="s">
        <v>20642</v>
      </c>
      <c r="B151" s="1" t="s">
        <v>20639</v>
      </c>
      <c r="F151">
        <v>1</v>
      </c>
      <c r="G151" t="str">
        <f>HYPERLINK("http://babel.hathitrust.org/cgi/pt?id=nyp.33433069242521")</f>
        <v>http://babel.hathitrust.org/cgi/pt?id=nyp.33433069242521</v>
      </c>
      <c r="H151" t="str">
        <f>HYPERLINK("http://catalog.hathitrust.org/Record/000200392")</f>
        <v>http://catalog.hathitrust.org/Record/000200392</v>
      </c>
      <c r="J151" s="1">
        <v>1881</v>
      </c>
      <c r="K151" t="s">
        <v>20640</v>
      </c>
      <c r="L151" t="s">
        <v>20641</v>
      </c>
    </row>
    <row r="152" spans="1:12">
      <c r="A152" t="s">
        <v>20643</v>
      </c>
      <c r="B152" s="1" t="s">
        <v>20644</v>
      </c>
      <c r="F152">
        <v>1</v>
      </c>
      <c r="G152" t="str">
        <f>HYPERLINK("http://babel.hathitrust.org/cgi/pt?id=mdp.39015058691000")</f>
        <v>http://babel.hathitrust.org/cgi/pt?id=mdp.39015058691000</v>
      </c>
      <c r="H152" t="str">
        <f>HYPERLINK("http://catalog.hathitrust.org/Record/000200605")</f>
        <v>http://catalog.hathitrust.org/Record/000200605</v>
      </c>
      <c r="J152" s="1">
        <v>1921</v>
      </c>
      <c r="K152" t="s">
        <v>20645</v>
      </c>
      <c r="L152" t="s">
        <v>20646</v>
      </c>
    </row>
    <row r="153" spans="1:12">
      <c r="A153" t="s">
        <v>20647</v>
      </c>
      <c r="B153" s="1" t="s">
        <v>20648</v>
      </c>
      <c r="F153">
        <v>1</v>
      </c>
      <c r="G153" t="str">
        <f>HYPERLINK("http://babel.hathitrust.org/cgi/pt?id=mdp.39015058693683")</f>
        <v>http://babel.hathitrust.org/cgi/pt?id=mdp.39015058693683</v>
      </c>
      <c r="H153" t="str">
        <f>HYPERLINK("http://catalog.hathitrust.org/Record/000200614")</f>
        <v>http://catalog.hathitrust.org/Record/000200614</v>
      </c>
      <c r="J153" s="1">
        <v>1897</v>
      </c>
      <c r="K153" t="s">
        <v>20649</v>
      </c>
      <c r="L153" t="s">
        <v>20650</v>
      </c>
    </row>
    <row r="154" spans="1:12">
      <c r="A154" t="s">
        <v>20651</v>
      </c>
      <c r="B154" s="1" t="s">
        <v>20648</v>
      </c>
      <c r="F154">
        <v>1</v>
      </c>
      <c r="G154" t="str">
        <f>HYPERLINK("http://babel.hathitrust.org/cgi/pt?id=uc1.b298100")</f>
        <v>http://babel.hathitrust.org/cgi/pt?id=uc1.b298100</v>
      </c>
      <c r="H154" t="str">
        <f>HYPERLINK("http://catalog.hathitrust.org/Record/000200614")</f>
        <v>http://catalog.hathitrust.org/Record/000200614</v>
      </c>
      <c r="J154" s="1">
        <v>1897</v>
      </c>
      <c r="K154" t="s">
        <v>20649</v>
      </c>
      <c r="L154" t="s">
        <v>20650</v>
      </c>
    </row>
    <row r="155" spans="1:12">
      <c r="A155" t="s">
        <v>20652</v>
      </c>
      <c r="B155" s="1" t="s">
        <v>20653</v>
      </c>
      <c r="F155">
        <v>1</v>
      </c>
      <c r="G155" t="str">
        <f>HYPERLINK("http://babel.hathitrust.org/cgi/pt?id=mdp.39015070471597")</f>
        <v>http://babel.hathitrust.org/cgi/pt?id=mdp.39015070471597</v>
      </c>
      <c r="H155" t="str">
        <f>HYPERLINK("http://catalog.hathitrust.org/Record/000200726")</f>
        <v>http://catalog.hathitrust.org/Record/000200726</v>
      </c>
      <c r="J155" s="1">
        <v>1905</v>
      </c>
      <c r="K155" t="s">
        <v>20654</v>
      </c>
      <c r="L155" t="s">
        <v>20655</v>
      </c>
    </row>
    <row r="156" spans="1:12">
      <c r="A156" t="s">
        <v>20656</v>
      </c>
      <c r="B156" s="1" t="s">
        <v>20657</v>
      </c>
      <c r="E156">
        <v>1</v>
      </c>
      <c r="G156" t="str">
        <f>HYPERLINK("http://babel.hathitrust.org/cgi/pt?id=mdp.39015059447501")</f>
        <v>http://babel.hathitrust.org/cgi/pt?id=mdp.39015059447501</v>
      </c>
      <c r="H156" t="str">
        <f>HYPERLINK("http://catalog.hathitrust.org/Record/000200777")</f>
        <v>http://catalog.hathitrust.org/Record/000200777</v>
      </c>
      <c r="J156" s="1">
        <v>1903</v>
      </c>
      <c r="K156" t="s">
        <v>20658</v>
      </c>
      <c r="L156" t="s">
        <v>20904</v>
      </c>
    </row>
    <row r="157" spans="1:12">
      <c r="A157" t="s">
        <v>20659</v>
      </c>
      <c r="B157" s="1" t="s">
        <v>20660</v>
      </c>
      <c r="F157">
        <v>1</v>
      </c>
      <c r="G157" t="str">
        <f>HYPERLINK("http://babel.hathitrust.org/cgi/pt?id=mdp.39015022651619")</f>
        <v>http://babel.hathitrust.org/cgi/pt?id=mdp.39015022651619</v>
      </c>
      <c r="H157" t="str">
        <f>HYPERLINK("http://catalog.hathitrust.org/Record/000201002")</f>
        <v>http://catalog.hathitrust.org/Record/000201002</v>
      </c>
      <c r="J157" s="1">
        <v>1848</v>
      </c>
      <c r="K157" t="s">
        <v>20552</v>
      </c>
      <c r="L157" t="s">
        <v>20553</v>
      </c>
    </row>
    <row r="158" spans="1:12">
      <c r="A158" t="s">
        <v>20554</v>
      </c>
      <c r="B158" s="1" t="s">
        <v>20555</v>
      </c>
      <c r="F158">
        <v>1</v>
      </c>
      <c r="G158" t="str">
        <f>HYPERLINK("http://babel.hathitrust.org/cgi/pt?id=mdp.39015059895451")</f>
        <v>http://babel.hathitrust.org/cgi/pt?id=mdp.39015059895451</v>
      </c>
      <c r="H158" t="str">
        <f>HYPERLINK("http://catalog.hathitrust.org/Record/000201014")</f>
        <v>http://catalog.hathitrust.org/Record/000201014</v>
      </c>
      <c r="J158" s="1">
        <v>1897</v>
      </c>
      <c r="K158" t="s">
        <v>20556</v>
      </c>
      <c r="L158" t="s">
        <v>20557</v>
      </c>
    </row>
    <row r="159" spans="1:12">
      <c r="A159" t="s">
        <v>20558</v>
      </c>
      <c r="B159" s="1" t="s">
        <v>20559</v>
      </c>
      <c r="F159">
        <v>1</v>
      </c>
      <c r="G159" t="str">
        <f>HYPERLINK("http://babel.hathitrust.org/cgi/pt?id=mdp.39015059895600")</f>
        <v>http://babel.hathitrust.org/cgi/pt?id=mdp.39015059895600</v>
      </c>
      <c r="H159" t="str">
        <f>HYPERLINK("http://catalog.hathitrust.org/Record/000201016")</f>
        <v>http://catalog.hathitrust.org/Record/000201016</v>
      </c>
      <c r="J159" s="1">
        <v>1920</v>
      </c>
      <c r="K159" t="s">
        <v>20556</v>
      </c>
      <c r="L159" t="s">
        <v>20557</v>
      </c>
    </row>
    <row r="160" spans="1:12">
      <c r="A160" t="s">
        <v>20560</v>
      </c>
      <c r="B160" s="1" t="s">
        <v>20561</v>
      </c>
      <c r="F160">
        <v>1</v>
      </c>
      <c r="G160" t="str">
        <f>HYPERLINK("http://babel.hathitrust.org/cgi/pt?id=mdp.39015059909237")</f>
        <v>http://babel.hathitrust.org/cgi/pt?id=mdp.39015059909237</v>
      </c>
      <c r="H160" t="str">
        <f>HYPERLINK("http://catalog.hathitrust.org/Record/000201061")</f>
        <v>http://catalog.hathitrust.org/Record/000201061</v>
      </c>
      <c r="J160" s="1">
        <v>1895</v>
      </c>
      <c r="K160" t="s">
        <v>20562</v>
      </c>
      <c r="L160" t="s">
        <v>20629</v>
      </c>
    </row>
    <row r="161" spans="1:12">
      <c r="A161" t="s">
        <v>20563</v>
      </c>
      <c r="B161" s="1" t="s">
        <v>20561</v>
      </c>
      <c r="F161">
        <v>1</v>
      </c>
      <c r="G161" t="str">
        <f>HYPERLINK("http://babel.hathitrust.org/cgi/pt?id=nyp.33433075940308")</f>
        <v>http://babel.hathitrust.org/cgi/pt?id=nyp.33433075940308</v>
      </c>
      <c r="H161" t="str">
        <f>HYPERLINK("http://catalog.hathitrust.org/Record/000201061")</f>
        <v>http://catalog.hathitrust.org/Record/000201061</v>
      </c>
      <c r="J161" s="1">
        <v>1895</v>
      </c>
      <c r="K161" t="s">
        <v>20562</v>
      </c>
      <c r="L161" t="s">
        <v>20629</v>
      </c>
    </row>
    <row r="162" spans="1:12">
      <c r="A162" t="s">
        <v>20564</v>
      </c>
      <c r="B162" s="1" t="s">
        <v>20561</v>
      </c>
      <c r="F162">
        <v>1</v>
      </c>
      <c r="G162" t="str">
        <f>HYPERLINK("http://babel.hathitrust.org/cgi/pt?id=uc1.b13567")</f>
        <v>http://babel.hathitrust.org/cgi/pt?id=uc1.b13567</v>
      </c>
      <c r="H162" t="str">
        <f>HYPERLINK("http://catalog.hathitrust.org/Record/000201061")</f>
        <v>http://catalog.hathitrust.org/Record/000201061</v>
      </c>
      <c r="J162" s="1">
        <v>1895</v>
      </c>
      <c r="K162" t="s">
        <v>20562</v>
      </c>
      <c r="L162" t="s">
        <v>20629</v>
      </c>
    </row>
    <row r="163" spans="1:12">
      <c r="A163" t="s">
        <v>20565</v>
      </c>
      <c r="B163" s="1" t="s">
        <v>20566</v>
      </c>
      <c r="D163">
        <v>1</v>
      </c>
      <c r="G163" t="str">
        <f>HYPERLINK("http://babel.hathitrust.org/cgi/pt?id=mdp.39015039305654")</f>
        <v>http://babel.hathitrust.org/cgi/pt?id=mdp.39015039305654</v>
      </c>
      <c r="H163" t="str">
        <f>HYPERLINK("http://catalog.hathitrust.org/Record/000201399")</f>
        <v>http://catalog.hathitrust.org/Record/000201399</v>
      </c>
      <c r="J163" s="1">
        <v>1744</v>
      </c>
      <c r="K163" t="s">
        <v>20567</v>
      </c>
      <c r="L163" t="s">
        <v>20568</v>
      </c>
    </row>
    <row r="164" spans="1:12">
      <c r="A164" t="s">
        <v>20569</v>
      </c>
      <c r="B164" s="1" t="s">
        <v>20570</v>
      </c>
      <c r="E164">
        <v>1</v>
      </c>
      <c r="G164" t="str">
        <f>HYPERLINK("http://babel.hathitrust.org/cgi/pt?id=mdp.39015058694707")</f>
        <v>http://babel.hathitrust.org/cgi/pt?id=mdp.39015058694707</v>
      </c>
      <c r="H164" t="str">
        <f>HYPERLINK("http://catalog.hathitrust.org/Record/000201582")</f>
        <v>http://catalog.hathitrust.org/Record/000201582</v>
      </c>
      <c r="J164" s="1">
        <v>1909</v>
      </c>
      <c r="K164" t="s">
        <v>20571</v>
      </c>
      <c r="L164" t="s">
        <v>20572</v>
      </c>
    </row>
    <row r="165" spans="1:12">
      <c r="A165" t="s">
        <v>20573</v>
      </c>
      <c r="B165" s="1" t="s">
        <v>20574</v>
      </c>
      <c r="F165">
        <v>1</v>
      </c>
      <c r="G165" t="str">
        <f>HYPERLINK("http://babel.hathitrust.org/cgi/pt?id=mdp.39015013141364")</f>
        <v>http://babel.hathitrust.org/cgi/pt?id=mdp.39015013141364</v>
      </c>
      <c r="H165" t="str">
        <f>HYPERLINK("http://catalog.hathitrust.org/Record/000203629")</f>
        <v>http://catalog.hathitrust.org/Record/000203629</v>
      </c>
      <c r="J165" s="1">
        <v>1919</v>
      </c>
      <c r="K165" t="s">
        <v>20575</v>
      </c>
      <c r="L165" t="s">
        <v>20576</v>
      </c>
    </row>
    <row r="166" spans="1:12">
      <c r="A166" t="s">
        <v>20577</v>
      </c>
      <c r="B166" s="1" t="s">
        <v>20574</v>
      </c>
      <c r="F166">
        <v>1</v>
      </c>
      <c r="G166" t="str">
        <f>HYPERLINK("http://babel.hathitrust.org/cgi/pt?id=mdp.39015070191823")</f>
        <v>http://babel.hathitrust.org/cgi/pt?id=mdp.39015070191823</v>
      </c>
      <c r="H166" t="str">
        <f>HYPERLINK("http://catalog.hathitrust.org/Record/000203629")</f>
        <v>http://catalog.hathitrust.org/Record/000203629</v>
      </c>
      <c r="J166" s="1">
        <v>1919</v>
      </c>
      <c r="K166" t="s">
        <v>20575</v>
      </c>
      <c r="L166" t="s">
        <v>20576</v>
      </c>
    </row>
    <row r="167" spans="1:12">
      <c r="A167" t="s">
        <v>20578</v>
      </c>
      <c r="B167" s="1" t="s">
        <v>20574</v>
      </c>
      <c r="F167">
        <v>1</v>
      </c>
      <c r="G167" t="str">
        <f>HYPERLINK("http://babel.hathitrust.org/cgi/pt?id=uc1.b3538336")</f>
        <v>http://babel.hathitrust.org/cgi/pt?id=uc1.b3538336</v>
      </c>
      <c r="H167" t="str">
        <f>HYPERLINK("http://catalog.hathitrust.org/Record/000203629")</f>
        <v>http://catalog.hathitrust.org/Record/000203629</v>
      </c>
      <c r="J167" s="1">
        <v>1919</v>
      </c>
      <c r="K167" t="s">
        <v>20575</v>
      </c>
      <c r="L167" t="s">
        <v>20576</v>
      </c>
    </row>
    <row r="168" spans="1:12">
      <c r="A168" t="s">
        <v>20579</v>
      </c>
      <c r="B168" s="1" t="s">
        <v>20580</v>
      </c>
      <c r="F168">
        <v>1</v>
      </c>
      <c r="G168" t="str">
        <f>HYPERLINK("http://babel.hathitrust.org/cgi/pt?id=mdp.39015023137071")</f>
        <v>http://babel.hathitrust.org/cgi/pt?id=mdp.39015023137071</v>
      </c>
      <c r="H168" t="str">
        <f>HYPERLINK("http://catalog.hathitrust.org/Record/000203775")</f>
        <v>http://catalog.hathitrust.org/Record/000203775</v>
      </c>
      <c r="I168" s="1" t="s">
        <v>20916</v>
      </c>
      <c r="J168" s="1">
        <v>1895</v>
      </c>
      <c r="K168" t="s">
        <v>20581</v>
      </c>
      <c r="L168" t="s">
        <v>20582</v>
      </c>
    </row>
    <row r="169" spans="1:12">
      <c r="A169" t="s">
        <v>20583</v>
      </c>
      <c r="B169" s="1" t="s">
        <v>20580</v>
      </c>
      <c r="F169">
        <v>1</v>
      </c>
      <c r="G169" t="str">
        <f>HYPERLINK("http://babel.hathitrust.org/cgi/pt?id=mdp.39015070191914")</f>
        <v>http://babel.hathitrust.org/cgi/pt?id=mdp.39015070191914</v>
      </c>
      <c r="H169" t="str">
        <f>HYPERLINK("http://catalog.hathitrust.org/Record/000203775")</f>
        <v>http://catalog.hathitrust.org/Record/000203775</v>
      </c>
      <c r="I169" s="1" t="s">
        <v>20920</v>
      </c>
      <c r="J169" s="1">
        <v>1895</v>
      </c>
      <c r="K169" t="s">
        <v>20581</v>
      </c>
      <c r="L169" t="s">
        <v>20582</v>
      </c>
    </row>
    <row r="170" spans="1:12">
      <c r="A170" t="s">
        <v>20584</v>
      </c>
      <c r="B170" s="1" t="s">
        <v>20580</v>
      </c>
      <c r="F170">
        <v>1</v>
      </c>
      <c r="G170" t="str">
        <f>HYPERLINK("http://babel.hathitrust.org/cgi/pt?id=mdp.39015070191922")</f>
        <v>http://babel.hathitrust.org/cgi/pt?id=mdp.39015070191922</v>
      </c>
      <c r="H170" t="str">
        <f>HYPERLINK("http://catalog.hathitrust.org/Record/000203775")</f>
        <v>http://catalog.hathitrust.org/Record/000203775</v>
      </c>
      <c r="I170" s="1" t="s">
        <v>20755</v>
      </c>
      <c r="J170" s="1">
        <v>1895</v>
      </c>
      <c r="K170" t="s">
        <v>20581</v>
      </c>
      <c r="L170" t="s">
        <v>20582</v>
      </c>
    </row>
    <row r="171" spans="1:12">
      <c r="A171" t="s">
        <v>20585</v>
      </c>
      <c r="B171" s="1" t="s">
        <v>20586</v>
      </c>
      <c r="F171">
        <v>1</v>
      </c>
      <c r="G171" t="str">
        <f>HYPERLINK("http://babel.hathitrust.org/cgi/pt?id=uc2.ark:/13960/t4th8fx8w")</f>
        <v>http://babel.hathitrust.org/cgi/pt?id=uc2.ark:/13960/t4th8fx8w</v>
      </c>
      <c r="H171" t="str">
        <f>HYPERLINK("http://catalog.hathitrust.org/Record/000206333")</f>
        <v>http://catalog.hathitrust.org/Record/000206333</v>
      </c>
      <c r="I171" s="1" t="s">
        <v>20755</v>
      </c>
      <c r="J171" s="1">
        <v>1748</v>
      </c>
      <c r="K171" t="s">
        <v>20587</v>
      </c>
      <c r="L171" t="s">
        <v>20588</v>
      </c>
    </row>
    <row r="172" spans="1:12">
      <c r="A172" t="s">
        <v>20589</v>
      </c>
      <c r="B172" s="1" t="s">
        <v>20590</v>
      </c>
      <c r="F172">
        <v>1</v>
      </c>
      <c r="G172" t="str">
        <f>HYPERLINK("http://babel.hathitrust.org/cgi/pt?id=mdp.39015030088655")</f>
        <v>http://babel.hathitrust.org/cgi/pt?id=mdp.39015030088655</v>
      </c>
      <c r="H172" t="str">
        <f>HYPERLINK("http://catalog.hathitrust.org/Record/000217523")</f>
        <v>http://catalog.hathitrust.org/Record/000217523</v>
      </c>
      <c r="J172" s="1">
        <v>1978</v>
      </c>
      <c r="K172" t="s">
        <v>20591</v>
      </c>
      <c r="L172" t="s">
        <v>20592</v>
      </c>
    </row>
    <row r="173" spans="1:12">
      <c r="A173" t="s">
        <v>20593</v>
      </c>
      <c r="B173" s="1" t="s">
        <v>20594</v>
      </c>
      <c r="E173">
        <v>1</v>
      </c>
      <c r="G173" t="str">
        <f>HYPERLINK("http://babel.hathitrust.org/cgi/pt?id=mdp.39015065433412")</f>
        <v>http://babel.hathitrust.org/cgi/pt?id=mdp.39015065433412</v>
      </c>
      <c r="H173" t="str">
        <f t="shared" ref="H173:H178" si="2">HYPERLINK("http://catalog.hathitrust.org/Record/000244005")</f>
        <v>http://catalog.hathitrust.org/Record/000244005</v>
      </c>
      <c r="I173" s="1" t="s">
        <v>20755</v>
      </c>
      <c r="J173" s="1">
        <v>1854</v>
      </c>
      <c r="K173" t="s">
        <v>20595</v>
      </c>
      <c r="L173" t="s">
        <v>20596</v>
      </c>
    </row>
    <row r="174" spans="1:12">
      <c r="A174" t="s">
        <v>20597</v>
      </c>
      <c r="B174" s="1" t="s">
        <v>20594</v>
      </c>
      <c r="E174">
        <v>1</v>
      </c>
      <c r="G174" t="str">
        <f>HYPERLINK("http://babel.hathitrust.org/cgi/pt?id=mdp.39015065433420")</f>
        <v>http://babel.hathitrust.org/cgi/pt?id=mdp.39015065433420</v>
      </c>
      <c r="H174" t="str">
        <f t="shared" si="2"/>
        <v>http://catalog.hathitrust.org/Record/000244005</v>
      </c>
      <c r="I174" s="1" t="s">
        <v>20920</v>
      </c>
      <c r="J174" s="1">
        <v>1854</v>
      </c>
      <c r="K174" t="s">
        <v>20595</v>
      </c>
      <c r="L174" t="s">
        <v>20596</v>
      </c>
    </row>
    <row r="175" spans="1:12">
      <c r="A175" t="s">
        <v>20598</v>
      </c>
      <c r="B175" s="1" t="s">
        <v>20594</v>
      </c>
      <c r="E175">
        <v>1</v>
      </c>
      <c r="G175" t="str">
        <f>HYPERLINK("http://babel.hathitrust.org/cgi/pt?id=mdp.39015065433438")</f>
        <v>http://babel.hathitrust.org/cgi/pt?id=mdp.39015065433438</v>
      </c>
      <c r="H175" t="str">
        <f t="shared" si="2"/>
        <v>http://catalog.hathitrust.org/Record/000244005</v>
      </c>
      <c r="I175" s="1" t="s">
        <v>20679</v>
      </c>
      <c r="J175" s="1">
        <v>1854</v>
      </c>
      <c r="K175" t="s">
        <v>20595</v>
      </c>
      <c r="L175" t="s">
        <v>20596</v>
      </c>
    </row>
    <row r="176" spans="1:12">
      <c r="A176" t="s">
        <v>20599</v>
      </c>
      <c r="B176" s="1" t="s">
        <v>20594</v>
      </c>
      <c r="E176">
        <v>1</v>
      </c>
      <c r="G176" t="str">
        <f>HYPERLINK("http://babel.hathitrust.org/cgi/pt?id=mdp.39015065433446")</f>
        <v>http://babel.hathitrust.org/cgi/pt?id=mdp.39015065433446</v>
      </c>
      <c r="H176" t="str">
        <f t="shared" si="2"/>
        <v>http://catalog.hathitrust.org/Record/000244005</v>
      </c>
      <c r="I176" s="1" t="s">
        <v>20681</v>
      </c>
      <c r="J176" s="1">
        <v>1854</v>
      </c>
      <c r="K176" t="s">
        <v>20595</v>
      </c>
      <c r="L176" t="s">
        <v>20596</v>
      </c>
    </row>
    <row r="177" spans="1:12">
      <c r="A177" t="s">
        <v>20600</v>
      </c>
      <c r="B177" s="1" t="s">
        <v>20594</v>
      </c>
      <c r="E177">
        <v>1</v>
      </c>
      <c r="G177" t="str">
        <f>HYPERLINK("http://babel.hathitrust.org/cgi/pt?id=mdp.39015065433453")</f>
        <v>http://babel.hathitrust.org/cgi/pt?id=mdp.39015065433453</v>
      </c>
      <c r="H177" t="str">
        <f t="shared" si="2"/>
        <v>http://catalog.hathitrust.org/Record/000244005</v>
      </c>
      <c r="I177" s="1" t="s">
        <v>21018</v>
      </c>
      <c r="J177" s="1">
        <v>1854</v>
      </c>
      <c r="K177" t="s">
        <v>20595</v>
      </c>
      <c r="L177" t="s">
        <v>20596</v>
      </c>
    </row>
    <row r="178" spans="1:12">
      <c r="A178" t="s">
        <v>20601</v>
      </c>
      <c r="B178" s="1" t="s">
        <v>20594</v>
      </c>
      <c r="E178">
        <v>1</v>
      </c>
      <c r="G178" t="str">
        <f>HYPERLINK("http://babel.hathitrust.org/cgi/pt?id=miun.aba9591.0001.001")</f>
        <v>http://babel.hathitrust.org/cgi/pt?id=miun.aba9591.0001.001</v>
      </c>
      <c r="H178" t="str">
        <f t="shared" si="2"/>
        <v>http://catalog.hathitrust.org/Record/000244005</v>
      </c>
      <c r="J178" s="1">
        <v>1854</v>
      </c>
      <c r="K178" t="s">
        <v>20595</v>
      </c>
      <c r="L178" t="s">
        <v>20596</v>
      </c>
    </row>
    <row r="179" spans="1:12">
      <c r="A179" t="s">
        <v>20602</v>
      </c>
      <c r="B179" s="1" t="s">
        <v>20603</v>
      </c>
      <c r="F179">
        <v>1</v>
      </c>
      <c r="G179" t="str">
        <f>HYPERLINK("http://babel.hathitrust.org/cgi/pt?id=mdp.39015070460202")</f>
        <v>http://babel.hathitrust.org/cgi/pt?id=mdp.39015070460202</v>
      </c>
      <c r="H179" t="str">
        <f>HYPERLINK("http://catalog.hathitrust.org/Record/000244182")</f>
        <v>http://catalog.hathitrust.org/Record/000244182</v>
      </c>
      <c r="J179" s="1">
        <v>1913</v>
      </c>
      <c r="K179" t="s">
        <v>20513</v>
      </c>
      <c r="L179" t="s">
        <v>20514</v>
      </c>
    </row>
    <row r="180" spans="1:12">
      <c r="A180" t="s">
        <v>20515</v>
      </c>
      <c r="B180" s="1" t="s">
        <v>20516</v>
      </c>
      <c r="F180">
        <v>1</v>
      </c>
      <c r="G180" t="str">
        <f>HYPERLINK("http://babel.hathitrust.org/cgi/pt?id=mdp.39015070461994")</f>
        <v>http://babel.hathitrust.org/cgi/pt?id=mdp.39015070461994</v>
      </c>
      <c r="H180" t="str">
        <f>HYPERLINK("http://catalog.hathitrust.org/Record/000246946")</f>
        <v>http://catalog.hathitrust.org/Record/000246946</v>
      </c>
      <c r="J180" s="1">
        <v>1853</v>
      </c>
      <c r="K180" t="s">
        <v>20517</v>
      </c>
      <c r="L180" t="s">
        <v>20518</v>
      </c>
    </row>
    <row r="181" spans="1:12">
      <c r="A181" t="s">
        <v>20519</v>
      </c>
      <c r="B181" s="1" t="s">
        <v>20520</v>
      </c>
      <c r="F181">
        <v>1</v>
      </c>
      <c r="G181" t="str">
        <f>HYPERLINK("http://babel.hathitrust.org/cgi/pt?id=mdp.39015058409163")</f>
        <v>http://babel.hathitrust.org/cgi/pt?id=mdp.39015058409163</v>
      </c>
      <c r="H181" t="str">
        <f>HYPERLINK("http://catalog.hathitrust.org/Record/000247784")</f>
        <v>http://catalog.hathitrust.org/Record/000247784</v>
      </c>
      <c r="J181" s="1">
        <v>1920</v>
      </c>
      <c r="K181" t="s">
        <v>20521</v>
      </c>
      <c r="L181" t="s">
        <v>20522</v>
      </c>
    </row>
    <row r="182" spans="1:12">
      <c r="A182" t="s">
        <v>20523</v>
      </c>
      <c r="B182" s="1" t="s">
        <v>20524</v>
      </c>
      <c r="F182">
        <v>1</v>
      </c>
      <c r="G182" t="str">
        <f>HYPERLINK("http://babel.hathitrust.org/cgi/pt?id=mdp.39015058690531")</f>
        <v>http://babel.hathitrust.org/cgi/pt?id=mdp.39015058690531</v>
      </c>
      <c r="H182" t="str">
        <f>HYPERLINK("http://catalog.hathitrust.org/Record/000247789")</f>
        <v>http://catalog.hathitrust.org/Record/000247789</v>
      </c>
      <c r="J182" s="1">
        <v>1873</v>
      </c>
      <c r="K182" t="s">
        <v>20525</v>
      </c>
      <c r="L182" t="s">
        <v>20526</v>
      </c>
    </row>
    <row r="183" spans="1:12">
      <c r="A183" t="s">
        <v>20527</v>
      </c>
      <c r="B183" s="1" t="s">
        <v>20524</v>
      </c>
      <c r="F183">
        <v>1</v>
      </c>
      <c r="G183" t="str">
        <f>HYPERLINK("http://babel.hathitrust.org/cgi/pt?id=miun.abb3410.0001.001")</f>
        <v>http://babel.hathitrust.org/cgi/pt?id=miun.abb3410.0001.001</v>
      </c>
      <c r="H183" t="str">
        <f>HYPERLINK("http://catalog.hathitrust.org/Record/000247789")</f>
        <v>http://catalog.hathitrust.org/Record/000247789</v>
      </c>
      <c r="J183" s="1">
        <v>1873</v>
      </c>
      <c r="K183" t="s">
        <v>20525</v>
      </c>
      <c r="L183" t="s">
        <v>20526</v>
      </c>
    </row>
    <row r="184" spans="1:12">
      <c r="A184" t="s">
        <v>20528</v>
      </c>
      <c r="B184" s="1" t="s">
        <v>20524</v>
      </c>
      <c r="F184">
        <v>1</v>
      </c>
      <c r="G184" t="str">
        <f>HYPERLINK("http://babel.hathitrust.org/cgi/pt?id=nyp.33433069242588")</f>
        <v>http://babel.hathitrust.org/cgi/pt?id=nyp.33433069242588</v>
      </c>
      <c r="H184" t="str">
        <f>HYPERLINK("http://catalog.hathitrust.org/Record/000247789")</f>
        <v>http://catalog.hathitrust.org/Record/000247789</v>
      </c>
      <c r="J184" s="1">
        <v>1873</v>
      </c>
      <c r="K184" t="s">
        <v>20525</v>
      </c>
      <c r="L184" t="s">
        <v>20526</v>
      </c>
    </row>
    <row r="185" spans="1:12">
      <c r="A185" t="s">
        <v>20529</v>
      </c>
      <c r="B185" s="1" t="s">
        <v>20530</v>
      </c>
      <c r="F185">
        <v>1</v>
      </c>
      <c r="G185" t="str">
        <f>HYPERLINK("http://babel.hathitrust.org/cgi/pt?id=mdp.39015011445379")</f>
        <v>http://babel.hathitrust.org/cgi/pt?id=mdp.39015011445379</v>
      </c>
      <c r="H185" t="str">
        <f>HYPERLINK("http://catalog.hathitrust.org/Record/000248025")</f>
        <v>http://catalog.hathitrust.org/Record/000248025</v>
      </c>
      <c r="J185" s="1">
        <v>1801</v>
      </c>
      <c r="K185" t="s">
        <v>20531</v>
      </c>
      <c r="L185" t="s">
        <v>20532</v>
      </c>
    </row>
    <row r="186" spans="1:12">
      <c r="A186" t="s">
        <v>20533</v>
      </c>
      <c r="B186" s="1" t="s">
        <v>20534</v>
      </c>
      <c r="F186">
        <v>1</v>
      </c>
      <c r="G186" t="str">
        <f>HYPERLINK("http://babel.hathitrust.org/cgi/pt?id=mdp.39015059898414")</f>
        <v>http://babel.hathitrust.org/cgi/pt?id=mdp.39015059898414</v>
      </c>
      <c r="H186" t="str">
        <f>HYPERLINK("http://catalog.hathitrust.org/Record/000248241")</f>
        <v>http://catalog.hathitrust.org/Record/000248241</v>
      </c>
      <c r="J186" s="1">
        <v>1912</v>
      </c>
      <c r="K186" t="s">
        <v>20535</v>
      </c>
      <c r="L186" t="s">
        <v>20536</v>
      </c>
    </row>
    <row r="187" spans="1:12">
      <c r="A187" t="s">
        <v>20537</v>
      </c>
      <c r="B187" s="1" t="s">
        <v>20534</v>
      </c>
      <c r="F187">
        <v>1</v>
      </c>
      <c r="G187" t="str">
        <f>HYPERLINK("http://babel.hathitrust.org/cgi/pt?id=mdp.39015063008034")</f>
        <v>http://babel.hathitrust.org/cgi/pt?id=mdp.39015063008034</v>
      </c>
      <c r="H187" t="str">
        <f>HYPERLINK("http://catalog.hathitrust.org/Record/000248241")</f>
        <v>http://catalog.hathitrust.org/Record/000248241</v>
      </c>
      <c r="J187" s="1">
        <v>1912</v>
      </c>
      <c r="K187" t="s">
        <v>20535</v>
      </c>
      <c r="L187" t="s">
        <v>20536</v>
      </c>
    </row>
    <row r="188" spans="1:12">
      <c r="A188" t="s">
        <v>20538</v>
      </c>
      <c r="B188" s="1" t="s">
        <v>20534</v>
      </c>
      <c r="F188">
        <v>1</v>
      </c>
      <c r="G188" t="str">
        <f>HYPERLINK("http://babel.hathitrust.org/cgi/pt?id=nyp.33433075548432")</f>
        <v>http://babel.hathitrust.org/cgi/pt?id=nyp.33433075548432</v>
      </c>
      <c r="H188" t="str">
        <f>HYPERLINK("http://catalog.hathitrust.org/Record/000248241")</f>
        <v>http://catalog.hathitrust.org/Record/000248241</v>
      </c>
      <c r="J188" s="1">
        <v>1912</v>
      </c>
      <c r="K188" t="s">
        <v>20535</v>
      </c>
      <c r="L188" t="s">
        <v>20536</v>
      </c>
    </row>
    <row r="189" spans="1:12">
      <c r="A189" t="s">
        <v>20539</v>
      </c>
      <c r="B189" s="1" t="s">
        <v>20534</v>
      </c>
      <c r="F189">
        <v>1</v>
      </c>
      <c r="G189" t="str">
        <f>HYPERLINK("http://babel.hathitrust.org/cgi/pt?id=uc1.$b380717")</f>
        <v>http://babel.hathitrust.org/cgi/pt?id=uc1.$b380717</v>
      </c>
      <c r="H189" t="str">
        <f>HYPERLINK("http://catalog.hathitrust.org/Record/000248241")</f>
        <v>http://catalog.hathitrust.org/Record/000248241</v>
      </c>
      <c r="J189" s="1">
        <v>1912</v>
      </c>
      <c r="K189" t="s">
        <v>20535</v>
      </c>
      <c r="L189" t="s">
        <v>20536</v>
      </c>
    </row>
    <row r="190" spans="1:12">
      <c r="A190" t="s">
        <v>20540</v>
      </c>
      <c r="B190" s="1" t="s">
        <v>20534</v>
      </c>
      <c r="F190">
        <v>1</v>
      </c>
      <c r="G190" t="str">
        <f>HYPERLINK("http://babel.hathitrust.org/cgi/pt?id=uc2.ark:/13960/t1ng4kt3j")</f>
        <v>http://babel.hathitrust.org/cgi/pt?id=uc2.ark:/13960/t1ng4kt3j</v>
      </c>
      <c r="H190" t="str">
        <f>HYPERLINK("http://catalog.hathitrust.org/Record/000248241")</f>
        <v>http://catalog.hathitrust.org/Record/000248241</v>
      </c>
      <c r="J190" s="1">
        <v>1912</v>
      </c>
      <c r="K190" t="s">
        <v>20535</v>
      </c>
      <c r="L190" t="s">
        <v>20536</v>
      </c>
    </row>
    <row r="191" spans="1:12">
      <c r="A191" t="s">
        <v>20541</v>
      </c>
      <c r="B191" s="1" t="s">
        <v>20542</v>
      </c>
      <c r="F191">
        <v>1</v>
      </c>
      <c r="G191" t="str">
        <f>HYPERLINK("http://babel.hathitrust.org/cgi/pt?id=mdp.39015059372337")</f>
        <v>http://babel.hathitrust.org/cgi/pt?id=mdp.39015059372337</v>
      </c>
      <c r="H191" t="str">
        <f>HYPERLINK("http://catalog.hathitrust.org/Record/000248248")</f>
        <v>http://catalog.hathitrust.org/Record/000248248</v>
      </c>
      <c r="J191" s="1">
        <v>1916</v>
      </c>
      <c r="K191" t="s">
        <v>20543</v>
      </c>
      <c r="L191" t="s">
        <v>20544</v>
      </c>
    </row>
    <row r="192" spans="1:12">
      <c r="A192" t="s">
        <v>20545</v>
      </c>
      <c r="B192" s="1" t="s">
        <v>20542</v>
      </c>
      <c r="F192">
        <v>1</v>
      </c>
      <c r="G192" t="str">
        <f>HYPERLINK("http://babel.hathitrust.org/cgi/pt?id=mdp.39015063035672")</f>
        <v>http://babel.hathitrust.org/cgi/pt?id=mdp.39015063035672</v>
      </c>
      <c r="H192" t="str">
        <f>HYPERLINK("http://catalog.hathitrust.org/Record/000248248")</f>
        <v>http://catalog.hathitrust.org/Record/000248248</v>
      </c>
      <c r="J192" s="1">
        <v>1916</v>
      </c>
      <c r="K192" t="s">
        <v>20543</v>
      </c>
      <c r="L192" t="s">
        <v>20544</v>
      </c>
    </row>
    <row r="193" spans="1:12">
      <c r="A193" t="s">
        <v>20546</v>
      </c>
      <c r="B193" s="1" t="s">
        <v>20547</v>
      </c>
      <c r="F193">
        <v>1</v>
      </c>
      <c r="G193" t="str">
        <f>HYPERLINK("http://babel.hathitrust.org/cgi/pt?id=hvd.32044090310178")</f>
        <v>http://babel.hathitrust.org/cgi/pt?id=hvd.32044090310178</v>
      </c>
      <c r="H193" t="str">
        <f>HYPERLINK("http://catalog.hathitrust.org/Record/000248521")</f>
        <v>http://catalog.hathitrust.org/Record/000248521</v>
      </c>
      <c r="J193" s="1">
        <v>1829</v>
      </c>
      <c r="K193" t="s">
        <v>20548</v>
      </c>
      <c r="L193" t="s">
        <v>20549</v>
      </c>
    </row>
    <row r="194" spans="1:12">
      <c r="A194" t="s">
        <v>20550</v>
      </c>
      <c r="B194" s="1" t="s">
        <v>20547</v>
      </c>
      <c r="F194">
        <v>1</v>
      </c>
      <c r="G194" t="str">
        <f>HYPERLINK("http://babel.hathitrust.org/cgi/pt?id=hvd.hwkzyj")</f>
        <v>http://babel.hathitrust.org/cgi/pt?id=hvd.hwkzyj</v>
      </c>
      <c r="H194" t="str">
        <f>HYPERLINK("http://catalog.hathitrust.org/Record/000248521")</f>
        <v>http://catalog.hathitrust.org/Record/000248521</v>
      </c>
      <c r="J194" s="1">
        <v>1829</v>
      </c>
      <c r="K194" t="s">
        <v>20548</v>
      </c>
      <c r="L194" t="s">
        <v>20549</v>
      </c>
    </row>
    <row r="195" spans="1:12">
      <c r="A195" t="s">
        <v>20551</v>
      </c>
      <c r="B195" s="1" t="s">
        <v>20547</v>
      </c>
      <c r="F195">
        <v>1</v>
      </c>
      <c r="G195" t="str">
        <f>HYPERLINK("http://babel.hathitrust.org/cgi/pt?id=mdp.39015067183494")</f>
        <v>http://babel.hathitrust.org/cgi/pt?id=mdp.39015067183494</v>
      </c>
      <c r="H195" t="str">
        <f>HYPERLINK("http://catalog.hathitrust.org/Record/000248521")</f>
        <v>http://catalog.hathitrust.org/Record/000248521</v>
      </c>
      <c r="J195" s="1">
        <v>1829</v>
      </c>
      <c r="K195" t="s">
        <v>20548</v>
      </c>
      <c r="L195" t="s">
        <v>20549</v>
      </c>
    </row>
    <row r="196" spans="1:12">
      <c r="A196" t="s">
        <v>20450</v>
      </c>
      <c r="B196" s="1" t="s">
        <v>20547</v>
      </c>
      <c r="F196">
        <v>1</v>
      </c>
      <c r="G196" t="str">
        <f>HYPERLINK("http://babel.hathitrust.org/cgi/pt?id=uc2.ark:/13960/t9765gx47")</f>
        <v>http://babel.hathitrust.org/cgi/pt?id=uc2.ark:/13960/t9765gx47</v>
      </c>
      <c r="H196" t="str">
        <f>HYPERLINK("http://catalog.hathitrust.org/Record/000248521")</f>
        <v>http://catalog.hathitrust.org/Record/000248521</v>
      </c>
      <c r="J196" s="1">
        <v>1829</v>
      </c>
      <c r="K196" t="s">
        <v>20548</v>
      </c>
      <c r="L196" t="s">
        <v>20549</v>
      </c>
    </row>
    <row r="197" spans="1:12">
      <c r="A197" t="s">
        <v>20451</v>
      </c>
      <c r="B197" s="1" t="s">
        <v>20452</v>
      </c>
      <c r="E197">
        <v>1</v>
      </c>
      <c r="F197">
        <v>1</v>
      </c>
      <c r="G197" t="str">
        <f>HYPERLINK("http://babel.hathitrust.org/cgi/pt?id=hvd.32044038404414")</f>
        <v>http://babel.hathitrust.org/cgi/pt?id=hvd.32044038404414</v>
      </c>
      <c r="H197" t="str">
        <f t="shared" ref="H197:H202" si="3">HYPERLINK("http://catalog.hathitrust.org/Record/000273490")</f>
        <v>http://catalog.hathitrust.org/Record/000273490</v>
      </c>
      <c r="J197" s="1">
        <v>1830</v>
      </c>
      <c r="K197" t="s">
        <v>20453</v>
      </c>
      <c r="L197" t="s">
        <v>20454</v>
      </c>
    </row>
    <row r="198" spans="1:12">
      <c r="A198" t="s">
        <v>20455</v>
      </c>
      <c r="B198" s="1" t="s">
        <v>20452</v>
      </c>
      <c r="F198">
        <v>1</v>
      </c>
      <c r="G198" t="str">
        <f>HYPERLINK("http://babel.hathitrust.org/cgi/pt?id=hvd.hwhilt")</f>
        <v>http://babel.hathitrust.org/cgi/pt?id=hvd.hwhilt</v>
      </c>
      <c r="H198" t="str">
        <f t="shared" si="3"/>
        <v>http://catalog.hathitrust.org/Record/000273490</v>
      </c>
      <c r="J198" s="1">
        <v>1830</v>
      </c>
      <c r="K198" t="s">
        <v>20453</v>
      </c>
      <c r="L198" t="s">
        <v>20454</v>
      </c>
    </row>
    <row r="199" spans="1:12">
      <c r="A199" t="s">
        <v>20456</v>
      </c>
      <c r="B199" s="1" t="s">
        <v>20452</v>
      </c>
      <c r="F199">
        <v>1</v>
      </c>
      <c r="G199" t="str">
        <f>HYPERLINK("http://babel.hathitrust.org/cgi/pt?id=hvd.hwhiq9")</f>
        <v>http://babel.hathitrust.org/cgi/pt?id=hvd.hwhiq9</v>
      </c>
      <c r="H199" t="str">
        <f t="shared" si="3"/>
        <v>http://catalog.hathitrust.org/Record/000273490</v>
      </c>
      <c r="J199" s="1">
        <v>1830</v>
      </c>
      <c r="K199" t="s">
        <v>20453</v>
      </c>
      <c r="L199" t="s">
        <v>20454</v>
      </c>
    </row>
    <row r="200" spans="1:12">
      <c r="A200" t="s">
        <v>20457</v>
      </c>
      <c r="B200" s="1" t="s">
        <v>20452</v>
      </c>
      <c r="F200">
        <v>1</v>
      </c>
      <c r="G200" t="str">
        <f>HYPERLINK("http://babel.hathitrust.org/cgi/pt?id=mdp.39015055032927")</f>
        <v>http://babel.hathitrust.org/cgi/pt?id=mdp.39015055032927</v>
      </c>
      <c r="H200" t="str">
        <f t="shared" si="3"/>
        <v>http://catalog.hathitrust.org/Record/000273490</v>
      </c>
      <c r="J200" s="1">
        <v>1830</v>
      </c>
      <c r="K200" t="s">
        <v>20453</v>
      </c>
      <c r="L200" t="s">
        <v>20454</v>
      </c>
    </row>
    <row r="201" spans="1:12">
      <c r="A201" t="s">
        <v>20458</v>
      </c>
      <c r="B201" s="1" t="s">
        <v>20452</v>
      </c>
      <c r="F201">
        <v>1</v>
      </c>
      <c r="G201" t="str">
        <f>HYPERLINK("http://babel.hathitrust.org/cgi/pt?id=uc1.b258042")</f>
        <v>http://babel.hathitrust.org/cgi/pt?id=uc1.b258042</v>
      </c>
      <c r="H201" t="str">
        <f t="shared" si="3"/>
        <v>http://catalog.hathitrust.org/Record/000273490</v>
      </c>
      <c r="J201" s="1">
        <v>1830</v>
      </c>
      <c r="K201" t="s">
        <v>20453</v>
      </c>
      <c r="L201" t="s">
        <v>20454</v>
      </c>
    </row>
    <row r="202" spans="1:12">
      <c r="A202" t="s">
        <v>20459</v>
      </c>
      <c r="B202" s="1" t="s">
        <v>20452</v>
      </c>
      <c r="F202">
        <v>1</v>
      </c>
      <c r="G202" t="str">
        <f>HYPERLINK("http://babel.hathitrust.org/cgi/pt?id=uc2.ark:/13960/t7sn0422x")</f>
        <v>http://babel.hathitrust.org/cgi/pt?id=uc2.ark:/13960/t7sn0422x</v>
      </c>
      <c r="H202" t="str">
        <f t="shared" si="3"/>
        <v>http://catalog.hathitrust.org/Record/000273490</v>
      </c>
      <c r="J202" s="1">
        <v>1830</v>
      </c>
      <c r="K202" t="s">
        <v>20453</v>
      </c>
      <c r="L202" t="s">
        <v>20454</v>
      </c>
    </row>
    <row r="203" spans="1:12">
      <c r="A203" t="s">
        <v>20460</v>
      </c>
      <c r="B203" s="1" t="s">
        <v>20461</v>
      </c>
      <c r="F203">
        <v>1</v>
      </c>
      <c r="G203" t="str">
        <f>HYPERLINK("http://babel.hathitrust.org/cgi/pt?id=mdp.39015050988180")</f>
        <v>http://babel.hathitrust.org/cgi/pt?id=mdp.39015050988180</v>
      </c>
      <c r="H203" t="str">
        <f>HYPERLINK("http://catalog.hathitrust.org/Record/000279156")</f>
        <v>http://catalog.hathitrust.org/Record/000279156</v>
      </c>
      <c r="J203" s="1">
        <v>1887</v>
      </c>
      <c r="K203" t="s">
        <v>20462</v>
      </c>
      <c r="L203" t="s">
        <v>20463</v>
      </c>
    </row>
    <row r="204" spans="1:12">
      <c r="A204" t="s">
        <v>20464</v>
      </c>
      <c r="B204" s="1" t="s">
        <v>20465</v>
      </c>
      <c r="E204">
        <v>1</v>
      </c>
      <c r="G204" t="str">
        <f>HYPERLINK("http://babel.hathitrust.org/cgi/pt?id=miun.abe7084.0001.001")</f>
        <v>http://babel.hathitrust.org/cgi/pt?id=miun.abe7084.0001.001</v>
      </c>
      <c r="H204" t="str">
        <f>HYPERLINK("http://catalog.hathitrust.org/Record/000280700")</f>
        <v>http://catalog.hathitrust.org/Record/000280700</v>
      </c>
      <c r="J204" s="1">
        <v>1865</v>
      </c>
      <c r="K204" t="s">
        <v>20466</v>
      </c>
      <c r="L204" t="s">
        <v>20467</v>
      </c>
    </row>
    <row r="205" spans="1:12">
      <c r="A205" t="s">
        <v>20468</v>
      </c>
      <c r="B205" s="1" t="s">
        <v>20469</v>
      </c>
      <c r="E205">
        <v>1</v>
      </c>
      <c r="G205" t="str">
        <f>HYPERLINK("http://babel.hathitrust.org/cgi/pt?id=miun.abe7086.0001.001")</f>
        <v>http://babel.hathitrust.org/cgi/pt?id=miun.abe7086.0001.001</v>
      </c>
      <c r="H205" t="str">
        <f>HYPERLINK("http://catalog.hathitrust.org/Record/000280702")</f>
        <v>http://catalog.hathitrust.org/Record/000280702</v>
      </c>
      <c r="J205" s="1">
        <v>1875</v>
      </c>
      <c r="K205" t="s">
        <v>20470</v>
      </c>
      <c r="L205" t="s">
        <v>20467</v>
      </c>
    </row>
    <row r="206" spans="1:12">
      <c r="A206" t="s">
        <v>20471</v>
      </c>
      <c r="B206" s="1" t="s">
        <v>20472</v>
      </c>
      <c r="E206">
        <v>1</v>
      </c>
      <c r="G206" t="str">
        <f>HYPERLINK("http://babel.hathitrust.org/cgi/pt?id=mdp.39015063940483")</f>
        <v>http://babel.hathitrust.org/cgi/pt?id=mdp.39015063940483</v>
      </c>
      <c r="H206" t="str">
        <f>HYPERLINK("http://catalog.hathitrust.org/Record/000280704")</f>
        <v>http://catalog.hathitrust.org/Record/000280704</v>
      </c>
      <c r="J206" s="1">
        <v>1892</v>
      </c>
      <c r="K206" t="s">
        <v>20473</v>
      </c>
      <c r="L206" t="s">
        <v>20467</v>
      </c>
    </row>
    <row r="207" spans="1:12">
      <c r="A207" t="s">
        <v>20474</v>
      </c>
      <c r="B207" s="1" t="s">
        <v>20475</v>
      </c>
      <c r="E207">
        <v>1</v>
      </c>
      <c r="G207" t="str">
        <f>HYPERLINK("http://babel.hathitrust.org/cgi/pt?id=mdp.39015063940475")</f>
        <v>http://babel.hathitrust.org/cgi/pt?id=mdp.39015063940475</v>
      </c>
      <c r="H207" t="str">
        <f>HYPERLINK("http://catalog.hathitrust.org/Record/000280787")</f>
        <v>http://catalog.hathitrust.org/Record/000280787</v>
      </c>
      <c r="J207" s="1">
        <v>1895</v>
      </c>
      <c r="K207" t="s">
        <v>20476</v>
      </c>
      <c r="L207" t="s">
        <v>20467</v>
      </c>
    </row>
    <row r="208" spans="1:12">
      <c r="A208" t="s">
        <v>20477</v>
      </c>
      <c r="B208" s="1" t="s">
        <v>20478</v>
      </c>
      <c r="E208">
        <v>1</v>
      </c>
      <c r="G208" t="str">
        <f>HYPERLINK("http://babel.hathitrust.org/cgi/pt?id=mdp.39015063940327")</f>
        <v>http://babel.hathitrust.org/cgi/pt?id=mdp.39015063940327</v>
      </c>
      <c r="H208" t="str">
        <f>HYPERLINK("http://catalog.hathitrust.org/Record/000280793")</f>
        <v>http://catalog.hathitrust.org/Record/000280793</v>
      </c>
      <c r="J208" s="1">
        <v>1886</v>
      </c>
      <c r="K208" t="s">
        <v>20479</v>
      </c>
      <c r="L208" t="s">
        <v>20467</v>
      </c>
    </row>
    <row r="209" spans="1:12">
      <c r="A209" t="s">
        <v>20480</v>
      </c>
      <c r="B209" s="1" t="s">
        <v>20481</v>
      </c>
      <c r="E209">
        <v>1</v>
      </c>
      <c r="G209" t="str">
        <f>HYPERLINK("http://babel.hathitrust.org/cgi/pt?id=mdp.39015063940319")</f>
        <v>http://babel.hathitrust.org/cgi/pt?id=mdp.39015063940319</v>
      </c>
      <c r="H209" t="str">
        <f>HYPERLINK("http://catalog.hathitrust.org/Record/000280798")</f>
        <v>http://catalog.hathitrust.org/Record/000280798</v>
      </c>
      <c r="J209" s="1">
        <v>1883</v>
      </c>
      <c r="K209" t="s">
        <v>20479</v>
      </c>
      <c r="L209" t="s">
        <v>20467</v>
      </c>
    </row>
    <row r="210" spans="1:12">
      <c r="A210" t="s">
        <v>20482</v>
      </c>
      <c r="B210" s="1" t="s">
        <v>20483</v>
      </c>
      <c r="E210">
        <v>1</v>
      </c>
      <c r="G210" t="str">
        <f>HYPERLINK("http://babel.hathitrust.org/cgi/pt?id=mdp.39015011428698")</f>
        <v>http://babel.hathitrust.org/cgi/pt?id=mdp.39015011428698</v>
      </c>
      <c r="H210" t="str">
        <f>HYPERLINK("http://catalog.hathitrust.org/Record/000283013")</f>
        <v>http://catalog.hathitrust.org/Record/000283013</v>
      </c>
      <c r="I210" s="1" t="s">
        <v>20916</v>
      </c>
      <c r="J210" s="1">
        <v>1800</v>
      </c>
      <c r="K210" t="s">
        <v>20484</v>
      </c>
      <c r="L210" t="s">
        <v>20485</v>
      </c>
    </row>
    <row r="211" spans="1:12">
      <c r="A211" t="s">
        <v>20486</v>
      </c>
      <c r="B211" s="1" t="s">
        <v>20483</v>
      </c>
      <c r="E211">
        <v>1</v>
      </c>
      <c r="G211" t="str">
        <f>HYPERLINK("http://babel.hathitrust.org/cgi/pt?id=mdp.39015011428706")</f>
        <v>http://babel.hathitrust.org/cgi/pt?id=mdp.39015011428706</v>
      </c>
      <c r="H211" t="str">
        <f>HYPERLINK("http://catalog.hathitrust.org/Record/000283013")</f>
        <v>http://catalog.hathitrust.org/Record/000283013</v>
      </c>
      <c r="I211" s="1" t="s">
        <v>20755</v>
      </c>
      <c r="J211" s="1">
        <v>1800</v>
      </c>
      <c r="K211" t="s">
        <v>20484</v>
      </c>
      <c r="L211" t="s">
        <v>20485</v>
      </c>
    </row>
    <row r="212" spans="1:12">
      <c r="A212" t="s">
        <v>20487</v>
      </c>
      <c r="B212" s="1" t="s">
        <v>20488</v>
      </c>
      <c r="E212">
        <v>1</v>
      </c>
      <c r="G212" t="str">
        <f>HYPERLINK("http://babel.hathitrust.org/cgi/pt?id=miun.abe9415.0001.001")</f>
        <v>http://babel.hathitrust.org/cgi/pt?id=miun.abe9415.0001.001</v>
      </c>
      <c r="H212" t="str">
        <f>HYPERLINK("http://catalog.hathitrust.org/Record/000283016")</f>
        <v>http://catalog.hathitrust.org/Record/000283016</v>
      </c>
      <c r="J212" s="1">
        <v>1852</v>
      </c>
      <c r="K212" t="s">
        <v>20489</v>
      </c>
      <c r="L212" t="s">
        <v>20485</v>
      </c>
    </row>
    <row r="213" spans="1:12">
      <c r="A213" t="s">
        <v>20490</v>
      </c>
      <c r="B213" s="1" t="s">
        <v>20491</v>
      </c>
      <c r="E213">
        <v>1</v>
      </c>
      <c r="G213" t="str">
        <f>HYPERLINK("http://babel.hathitrust.org/cgi/pt?id=miun.abe9420.0001.001")</f>
        <v>http://babel.hathitrust.org/cgi/pt?id=miun.abe9420.0001.001</v>
      </c>
      <c r="H213" t="str">
        <f>HYPERLINK("http://catalog.hathitrust.org/Record/000283021")</f>
        <v>http://catalog.hathitrust.org/Record/000283021</v>
      </c>
      <c r="J213" s="1">
        <v>1855</v>
      </c>
      <c r="K213" t="s">
        <v>20489</v>
      </c>
      <c r="L213" t="s">
        <v>20485</v>
      </c>
    </row>
    <row r="214" spans="1:12">
      <c r="A214" t="s">
        <v>20492</v>
      </c>
      <c r="B214" s="1" t="s">
        <v>20493</v>
      </c>
      <c r="E214">
        <v>1</v>
      </c>
      <c r="G214" t="str">
        <f>HYPERLINK("http://babel.hathitrust.org/cgi/pt?id=miun.abe9454.0001.001")</f>
        <v>http://babel.hathitrust.org/cgi/pt?id=miun.abe9454.0001.001</v>
      </c>
      <c r="H214" t="str">
        <f>HYPERLINK("http://catalog.hathitrust.org/Record/000283055")</f>
        <v>http://catalog.hathitrust.org/Record/000283055</v>
      </c>
      <c r="J214" s="1">
        <v>1858</v>
      </c>
      <c r="K214" t="s">
        <v>20489</v>
      </c>
      <c r="L214" t="s">
        <v>20485</v>
      </c>
    </row>
    <row r="215" spans="1:12">
      <c r="A215" t="s">
        <v>20494</v>
      </c>
      <c r="B215" s="1" t="s">
        <v>20495</v>
      </c>
      <c r="F215">
        <v>1</v>
      </c>
      <c r="G215" t="str">
        <f>HYPERLINK("http://babel.hathitrust.org/cgi/pt?id=mdp.39015059409386")</f>
        <v>http://babel.hathitrust.org/cgi/pt?id=mdp.39015059409386</v>
      </c>
      <c r="H215" t="str">
        <f>HYPERLINK("http://catalog.hathitrust.org/Record/000284332")</f>
        <v>http://catalog.hathitrust.org/Record/000284332</v>
      </c>
      <c r="J215" s="1">
        <v>1706</v>
      </c>
      <c r="K215" t="s">
        <v>20496</v>
      </c>
      <c r="L215" t="s">
        <v>20497</v>
      </c>
    </row>
    <row r="216" spans="1:12">
      <c r="A216" t="s">
        <v>20498</v>
      </c>
      <c r="B216" s="1" t="s">
        <v>20499</v>
      </c>
      <c r="E216">
        <v>1</v>
      </c>
      <c r="F216">
        <v>1</v>
      </c>
      <c r="G216" t="str">
        <f>HYPERLINK("http://babel.hathitrust.org/cgi/pt?id=mdp.39015059391964")</f>
        <v>http://babel.hathitrust.org/cgi/pt?id=mdp.39015059391964</v>
      </c>
      <c r="H216" t="str">
        <f>HYPERLINK("http://catalog.hathitrust.org/Record/000284455")</f>
        <v>http://catalog.hathitrust.org/Record/000284455</v>
      </c>
      <c r="J216" s="1">
        <v>1894</v>
      </c>
      <c r="K216" t="s">
        <v>20500</v>
      </c>
      <c r="L216" t="s">
        <v>20501</v>
      </c>
    </row>
    <row r="217" spans="1:12">
      <c r="A217" t="s">
        <v>20502</v>
      </c>
      <c r="B217" s="1" t="s">
        <v>20499</v>
      </c>
      <c r="F217">
        <v>1</v>
      </c>
      <c r="G217" t="str">
        <f>HYPERLINK("http://babel.hathitrust.org/cgi/pt?id=mdp.39015063803970")</f>
        <v>http://babel.hathitrust.org/cgi/pt?id=mdp.39015063803970</v>
      </c>
      <c r="H217" t="str">
        <f>HYPERLINK("http://catalog.hathitrust.org/Record/000284455")</f>
        <v>http://catalog.hathitrust.org/Record/000284455</v>
      </c>
      <c r="J217" s="1">
        <v>1894</v>
      </c>
      <c r="K217" t="s">
        <v>20500</v>
      </c>
      <c r="L217" t="s">
        <v>20501</v>
      </c>
    </row>
    <row r="218" spans="1:12">
      <c r="A218" t="s">
        <v>20503</v>
      </c>
      <c r="B218" s="1" t="s">
        <v>20499</v>
      </c>
      <c r="F218">
        <v>1</v>
      </c>
      <c r="G218" t="str">
        <f>HYPERLINK("http://babel.hathitrust.org/cgi/pt?id=uc2.ark:/13960/t9m32wt7j")</f>
        <v>http://babel.hathitrust.org/cgi/pt?id=uc2.ark:/13960/t9m32wt7j</v>
      </c>
      <c r="H218" t="str">
        <f>HYPERLINK("http://catalog.hathitrust.org/Record/000284455")</f>
        <v>http://catalog.hathitrust.org/Record/000284455</v>
      </c>
      <c r="J218" s="1">
        <v>1894</v>
      </c>
      <c r="K218" t="s">
        <v>20500</v>
      </c>
      <c r="L218" t="s">
        <v>20501</v>
      </c>
    </row>
    <row r="219" spans="1:12">
      <c r="A219" t="s">
        <v>20504</v>
      </c>
      <c r="B219" s="1" t="s">
        <v>20505</v>
      </c>
      <c r="F219">
        <v>1</v>
      </c>
      <c r="G219" t="str">
        <f>HYPERLINK("http://babel.hathitrust.org/cgi/pt?id=mdp.39015068351132")</f>
        <v>http://babel.hathitrust.org/cgi/pt?id=mdp.39015068351132</v>
      </c>
      <c r="H219" t="str">
        <f>HYPERLINK("http://catalog.hathitrust.org/Record/000285005")</f>
        <v>http://catalog.hathitrust.org/Record/000285005</v>
      </c>
      <c r="J219" s="1">
        <v>1892</v>
      </c>
      <c r="K219" t="s">
        <v>20506</v>
      </c>
      <c r="L219" t="s">
        <v>20507</v>
      </c>
    </row>
    <row r="220" spans="1:12">
      <c r="A220" t="s">
        <v>20508</v>
      </c>
      <c r="B220" s="1" t="s">
        <v>20509</v>
      </c>
      <c r="F220">
        <v>1</v>
      </c>
      <c r="G220" t="str">
        <f>HYPERLINK("http://babel.hathitrust.org/cgi/pt?id=mdp.39015063917911")</f>
        <v>http://babel.hathitrust.org/cgi/pt?id=mdp.39015063917911</v>
      </c>
      <c r="H220" t="str">
        <f>HYPERLINK("http://catalog.hathitrust.org/Record/000285125")</f>
        <v>http://catalog.hathitrust.org/Record/000285125</v>
      </c>
      <c r="J220" s="1">
        <v>1892</v>
      </c>
      <c r="K220" t="s">
        <v>20506</v>
      </c>
      <c r="L220" t="s">
        <v>20507</v>
      </c>
    </row>
    <row r="221" spans="1:12">
      <c r="A221" t="s">
        <v>20510</v>
      </c>
      <c r="B221" s="1" t="s">
        <v>20509</v>
      </c>
      <c r="F221">
        <v>1</v>
      </c>
      <c r="G221" t="str">
        <f>HYPERLINK("http://babel.hathitrust.org/cgi/pt?id=uc2.ark:/13960/t9474bz7h")</f>
        <v>http://babel.hathitrust.org/cgi/pt?id=uc2.ark:/13960/t9474bz7h</v>
      </c>
      <c r="H221" t="str">
        <f>HYPERLINK("http://catalog.hathitrust.org/Record/000285125")</f>
        <v>http://catalog.hathitrust.org/Record/000285125</v>
      </c>
      <c r="J221" s="1">
        <v>1892</v>
      </c>
      <c r="K221" t="s">
        <v>20506</v>
      </c>
      <c r="L221" t="s">
        <v>20507</v>
      </c>
    </row>
    <row r="222" spans="1:12">
      <c r="A222" t="s">
        <v>20511</v>
      </c>
      <c r="B222" s="1" t="s">
        <v>20512</v>
      </c>
      <c r="E222">
        <v>1</v>
      </c>
      <c r="G222" t="str">
        <f>HYPERLINK("http://babel.hathitrust.org/cgi/pt?id=miun.abf1574.0001.001")</f>
        <v>http://babel.hathitrust.org/cgi/pt?id=miun.abf1574.0001.001</v>
      </c>
      <c r="H222" t="str">
        <f>HYPERLINK("http://catalog.hathitrust.org/Record/000285155")</f>
        <v>http://catalog.hathitrust.org/Record/000285155</v>
      </c>
      <c r="J222" s="1">
        <v>1853</v>
      </c>
      <c r="K222" t="s">
        <v>20394</v>
      </c>
      <c r="L222" t="s">
        <v>20395</v>
      </c>
    </row>
    <row r="223" spans="1:12">
      <c r="A223" t="s">
        <v>20396</v>
      </c>
      <c r="B223" s="1" t="s">
        <v>20397</v>
      </c>
      <c r="F223">
        <v>1</v>
      </c>
      <c r="G223" t="str">
        <f>HYPERLINK("http://babel.hathitrust.org/cgi/pt?id=mdp.39015059906704")</f>
        <v>http://babel.hathitrust.org/cgi/pt?id=mdp.39015059906704</v>
      </c>
      <c r="H223" t="str">
        <f>HYPERLINK("http://catalog.hathitrust.org/Record/000285617")</f>
        <v>http://catalog.hathitrust.org/Record/000285617</v>
      </c>
      <c r="J223" s="1">
        <v>1920</v>
      </c>
      <c r="K223" t="s">
        <v>20398</v>
      </c>
      <c r="L223" t="s">
        <v>20399</v>
      </c>
    </row>
    <row r="224" spans="1:12">
      <c r="A224" t="s">
        <v>20400</v>
      </c>
      <c r="B224" s="1" t="s">
        <v>20401</v>
      </c>
      <c r="F224">
        <v>1</v>
      </c>
      <c r="G224" t="str">
        <f>HYPERLINK("http://babel.hathitrust.org/cgi/pt?id=mdp.39015058690911")</f>
        <v>http://babel.hathitrust.org/cgi/pt?id=mdp.39015058690911</v>
      </c>
      <c r="H224" t="str">
        <f>HYPERLINK("http://catalog.hathitrust.org/Record/000285620")</f>
        <v>http://catalog.hathitrust.org/Record/000285620</v>
      </c>
      <c r="J224" s="1">
        <v>1807</v>
      </c>
      <c r="K224" t="s">
        <v>20402</v>
      </c>
      <c r="L224" t="s">
        <v>20960</v>
      </c>
    </row>
    <row r="225" spans="1:12">
      <c r="A225" t="s">
        <v>20403</v>
      </c>
      <c r="B225" s="1" t="s">
        <v>20404</v>
      </c>
      <c r="F225">
        <v>1</v>
      </c>
      <c r="G225" t="str">
        <f>HYPERLINK("http://babel.hathitrust.org/cgi/pt?id=miun.abf2054.0001.001")</f>
        <v>http://babel.hathitrust.org/cgi/pt?id=miun.abf2054.0001.001</v>
      </c>
      <c r="H225" t="str">
        <f>HYPERLINK("http://catalog.hathitrust.org/Record/000285631")</f>
        <v>http://catalog.hathitrust.org/Record/000285631</v>
      </c>
      <c r="J225" s="1">
        <v>1861</v>
      </c>
      <c r="K225" t="s">
        <v>20405</v>
      </c>
      <c r="L225" t="s">
        <v>20526</v>
      </c>
    </row>
    <row r="226" spans="1:12">
      <c r="A226" t="s">
        <v>20406</v>
      </c>
      <c r="B226" s="1" t="s">
        <v>20407</v>
      </c>
      <c r="F226">
        <v>1</v>
      </c>
      <c r="G226" t="str">
        <f>HYPERLINK("http://babel.hathitrust.org/cgi/pt?id=miun.abf2055.0001.001")</f>
        <v>http://babel.hathitrust.org/cgi/pt?id=miun.abf2055.0001.001</v>
      </c>
      <c r="H226" t="str">
        <f>HYPERLINK("http://catalog.hathitrust.org/Record/000285632")</f>
        <v>http://catalog.hathitrust.org/Record/000285632</v>
      </c>
      <c r="J226" s="1">
        <v>1875</v>
      </c>
      <c r="K226" t="s">
        <v>20405</v>
      </c>
      <c r="L226" t="s">
        <v>20526</v>
      </c>
    </row>
    <row r="227" spans="1:12">
      <c r="A227" t="s">
        <v>20408</v>
      </c>
      <c r="B227" s="1" t="s">
        <v>20409</v>
      </c>
      <c r="F227">
        <v>1</v>
      </c>
      <c r="G227" t="str">
        <f>HYPERLINK("http://babel.hathitrust.org/cgi/pt?id=mdp.39015019352742")</f>
        <v>http://babel.hathitrust.org/cgi/pt?id=mdp.39015019352742</v>
      </c>
      <c r="H227" t="str">
        <f>HYPERLINK("http://catalog.hathitrust.org/Record/000285633")</f>
        <v>http://catalog.hathitrust.org/Record/000285633</v>
      </c>
      <c r="J227" s="1">
        <v>1872</v>
      </c>
      <c r="K227" t="s">
        <v>20410</v>
      </c>
      <c r="L227" t="s">
        <v>20526</v>
      </c>
    </row>
    <row r="228" spans="1:12">
      <c r="A228" t="s">
        <v>20411</v>
      </c>
      <c r="B228" s="1" t="s">
        <v>20412</v>
      </c>
      <c r="F228">
        <v>1</v>
      </c>
      <c r="G228" t="str">
        <f>HYPERLINK("http://babel.hathitrust.org/cgi/pt?id=mdp.39015030925963")</f>
        <v>http://babel.hathitrust.org/cgi/pt?id=mdp.39015030925963</v>
      </c>
      <c r="H228" t="str">
        <f>HYPERLINK("http://catalog.hathitrust.org/Record/000285635")</f>
        <v>http://catalog.hathitrust.org/Record/000285635</v>
      </c>
      <c r="J228" s="1">
        <v>1891</v>
      </c>
      <c r="K228" t="s">
        <v>20410</v>
      </c>
      <c r="L228" t="s">
        <v>20526</v>
      </c>
    </row>
    <row r="229" spans="1:12">
      <c r="A229" t="s">
        <v>20413</v>
      </c>
      <c r="B229" s="1" t="s">
        <v>20414</v>
      </c>
      <c r="D229">
        <v>1</v>
      </c>
      <c r="G229" t="str">
        <f>HYPERLINK("http://babel.hathitrust.org/cgi/pt?id=mdp.39015059391907")</f>
        <v>http://babel.hathitrust.org/cgi/pt?id=mdp.39015059391907</v>
      </c>
      <c r="H229" t="str">
        <f>HYPERLINK("http://catalog.hathitrust.org/Record/000285691")</f>
        <v>http://catalog.hathitrust.org/Record/000285691</v>
      </c>
      <c r="J229" s="1">
        <v>1899</v>
      </c>
      <c r="K229" t="s">
        <v>20415</v>
      </c>
      <c r="L229" t="s">
        <v>20416</v>
      </c>
    </row>
    <row r="230" spans="1:12">
      <c r="A230" t="s">
        <v>20417</v>
      </c>
      <c r="B230" s="1" t="s">
        <v>20418</v>
      </c>
      <c r="D230">
        <v>1</v>
      </c>
      <c r="G230" t="str">
        <f>HYPERLINK("http://babel.hathitrust.org/cgi/pt?id=mdp.39015055288719")</f>
        <v>http://babel.hathitrust.org/cgi/pt?id=mdp.39015055288719</v>
      </c>
      <c r="H230" t="str">
        <f>HYPERLINK("http://catalog.hathitrust.org/Record/000285692")</f>
        <v>http://catalog.hathitrust.org/Record/000285692</v>
      </c>
      <c r="J230" s="1">
        <v>1901</v>
      </c>
      <c r="K230" t="s">
        <v>20415</v>
      </c>
      <c r="L230" t="s">
        <v>20416</v>
      </c>
    </row>
    <row r="231" spans="1:12">
      <c r="A231" t="s">
        <v>20419</v>
      </c>
      <c r="B231" s="1" t="s">
        <v>20420</v>
      </c>
      <c r="E231">
        <v>1</v>
      </c>
      <c r="G231" t="str">
        <f>HYPERLINK("http://babel.hathitrust.org/cgi/pt?id=mdp.39015048721800")</f>
        <v>http://babel.hathitrust.org/cgi/pt?id=mdp.39015048721800</v>
      </c>
      <c r="H231" t="str">
        <f>HYPERLINK("http://catalog.hathitrust.org/Record/000285703")</f>
        <v>http://catalog.hathitrust.org/Record/000285703</v>
      </c>
      <c r="J231" s="1">
        <v>1920</v>
      </c>
      <c r="K231" t="s">
        <v>20421</v>
      </c>
      <c r="L231" t="s">
        <v>20422</v>
      </c>
    </row>
    <row r="232" spans="1:12">
      <c r="A232" t="s">
        <v>20423</v>
      </c>
      <c r="B232" s="1" t="s">
        <v>20424</v>
      </c>
      <c r="E232">
        <v>1</v>
      </c>
      <c r="G232" t="str">
        <f>HYPERLINK("http://babel.hathitrust.org/cgi/pt?id=mdp.39015048721818")</f>
        <v>http://babel.hathitrust.org/cgi/pt?id=mdp.39015048721818</v>
      </c>
      <c r="H232" t="str">
        <f>HYPERLINK("http://catalog.hathitrust.org/Record/000285706")</f>
        <v>http://catalog.hathitrust.org/Record/000285706</v>
      </c>
      <c r="J232" s="1">
        <v>1921</v>
      </c>
      <c r="K232" t="s">
        <v>20421</v>
      </c>
      <c r="L232" t="s">
        <v>20422</v>
      </c>
    </row>
    <row r="233" spans="1:12">
      <c r="A233" t="s">
        <v>20425</v>
      </c>
      <c r="B233" s="1" t="s">
        <v>20426</v>
      </c>
      <c r="F233">
        <v>1</v>
      </c>
      <c r="G233" t="str">
        <f>HYPERLINK("http://babel.hathitrust.org/cgi/pt?id=mdp.39015007011193")</f>
        <v>http://babel.hathitrust.org/cgi/pt?id=mdp.39015007011193</v>
      </c>
      <c r="H233" t="str">
        <f>HYPERLINK("http://catalog.hathitrust.org/Record/000291700")</f>
        <v>http://catalog.hathitrust.org/Record/000291700</v>
      </c>
      <c r="J233" s="1">
        <v>1961</v>
      </c>
      <c r="K233" t="s">
        <v>20427</v>
      </c>
      <c r="L233" t="s">
        <v>20428</v>
      </c>
    </row>
    <row r="234" spans="1:12">
      <c r="A234" t="s">
        <v>20429</v>
      </c>
      <c r="B234" s="1" t="s">
        <v>20430</v>
      </c>
      <c r="F234">
        <v>1</v>
      </c>
      <c r="G234" t="str">
        <f>HYPERLINK("http://babel.hathitrust.org/cgi/pt?id=mdp.39015009011589")</f>
        <v>http://babel.hathitrust.org/cgi/pt?id=mdp.39015009011589</v>
      </c>
      <c r="H234" t="str">
        <f>HYPERLINK("http://catalog.hathitrust.org/Record/000294490")</f>
        <v>http://catalog.hathitrust.org/Record/000294490</v>
      </c>
      <c r="J234" s="1">
        <v>1977</v>
      </c>
      <c r="K234" t="s">
        <v>20431</v>
      </c>
      <c r="L234" t="s">
        <v>20592</v>
      </c>
    </row>
    <row r="235" spans="1:12">
      <c r="A235" t="s">
        <v>20432</v>
      </c>
      <c r="B235" s="1" t="s">
        <v>20433</v>
      </c>
      <c r="F235">
        <v>1</v>
      </c>
      <c r="G235" t="str">
        <f>HYPERLINK("http://babel.hathitrust.org/cgi/pt?id=mdp.39015004868587")</f>
        <v>http://babel.hathitrust.org/cgi/pt?id=mdp.39015004868587</v>
      </c>
      <c r="H235" t="str">
        <f>HYPERLINK("http://catalog.hathitrust.org/Record/000313629")</f>
        <v>http://catalog.hathitrust.org/Record/000313629</v>
      </c>
      <c r="J235" s="1">
        <v>1935</v>
      </c>
      <c r="K235" t="s">
        <v>20434</v>
      </c>
      <c r="L235" t="s">
        <v>20435</v>
      </c>
    </row>
    <row r="236" spans="1:12">
      <c r="A236" t="s">
        <v>20436</v>
      </c>
      <c r="B236" s="1" t="s">
        <v>20433</v>
      </c>
      <c r="F236">
        <v>1</v>
      </c>
      <c r="G236" t="str">
        <f>HYPERLINK("http://babel.hathitrust.org/cgi/pt?id=mdp.39015046335553")</f>
        <v>http://babel.hathitrust.org/cgi/pt?id=mdp.39015046335553</v>
      </c>
      <c r="H236" t="str">
        <f>HYPERLINK("http://catalog.hathitrust.org/Record/000313629")</f>
        <v>http://catalog.hathitrust.org/Record/000313629</v>
      </c>
      <c r="J236" s="1">
        <v>1935</v>
      </c>
      <c r="K236" t="s">
        <v>20434</v>
      </c>
      <c r="L236" t="s">
        <v>20435</v>
      </c>
    </row>
    <row r="237" spans="1:12">
      <c r="A237" t="s">
        <v>20437</v>
      </c>
      <c r="B237" s="1" t="s">
        <v>20433</v>
      </c>
      <c r="F237">
        <v>1</v>
      </c>
      <c r="G237" t="str">
        <f>HYPERLINK("http://babel.hathitrust.org/cgi/pt?id=mdp.39015050635500")</f>
        <v>http://babel.hathitrust.org/cgi/pt?id=mdp.39015050635500</v>
      </c>
      <c r="H237" t="str">
        <f>HYPERLINK("http://catalog.hathitrust.org/Record/000313629")</f>
        <v>http://catalog.hathitrust.org/Record/000313629</v>
      </c>
      <c r="J237" s="1">
        <v>1935</v>
      </c>
      <c r="K237" t="s">
        <v>20434</v>
      </c>
      <c r="L237" t="s">
        <v>20435</v>
      </c>
    </row>
    <row r="238" spans="1:12">
      <c r="A238" t="s">
        <v>20438</v>
      </c>
      <c r="B238" s="1" t="s">
        <v>20433</v>
      </c>
      <c r="F238">
        <v>1</v>
      </c>
      <c r="G238" t="str">
        <f>HYPERLINK("http://babel.hathitrust.org/cgi/pt?id=uc1.b3829868")</f>
        <v>http://babel.hathitrust.org/cgi/pt?id=uc1.b3829868</v>
      </c>
      <c r="H238" t="str">
        <f>HYPERLINK("http://catalog.hathitrust.org/Record/000313629")</f>
        <v>http://catalog.hathitrust.org/Record/000313629</v>
      </c>
      <c r="I238" s="1" t="s">
        <v>20439</v>
      </c>
      <c r="J238" s="1">
        <v>1935</v>
      </c>
      <c r="K238" t="s">
        <v>20434</v>
      </c>
      <c r="L238" t="s">
        <v>20435</v>
      </c>
    </row>
    <row r="239" spans="1:12">
      <c r="A239" t="s">
        <v>20440</v>
      </c>
      <c r="B239" s="1" t="s">
        <v>20441</v>
      </c>
      <c r="F239">
        <v>1</v>
      </c>
      <c r="G239" t="str">
        <f>HYPERLINK("http://babel.hathitrust.org/cgi/pt?id=uc1.b3546521")</f>
        <v>http://babel.hathitrust.org/cgi/pt?id=uc1.b3546521</v>
      </c>
      <c r="H239" t="str">
        <f>HYPERLINK("http://catalog.hathitrust.org/Record/000314120")</f>
        <v>http://catalog.hathitrust.org/Record/000314120</v>
      </c>
      <c r="I239" s="1" t="s">
        <v>20679</v>
      </c>
      <c r="J239" s="1">
        <v>1939</v>
      </c>
      <c r="K239" t="s">
        <v>20442</v>
      </c>
      <c r="L239" t="s">
        <v>20443</v>
      </c>
    </row>
    <row r="240" spans="1:12">
      <c r="A240" t="s">
        <v>20444</v>
      </c>
      <c r="B240" s="1" t="s">
        <v>20441</v>
      </c>
      <c r="F240">
        <v>1</v>
      </c>
      <c r="G240" t="str">
        <f>HYPERLINK("http://babel.hathitrust.org/cgi/pt?id=uc1.b3546522")</f>
        <v>http://babel.hathitrust.org/cgi/pt?id=uc1.b3546522</v>
      </c>
      <c r="H240" t="str">
        <f>HYPERLINK("http://catalog.hathitrust.org/Record/000314120")</f>
        <v>http://catalog.hathitrust.org/Record/000314120</v>
      </c>
      <c r="I240" s="1" t="s">
        <v>20681</v>
      </c>
      <c r="J240" s="1">
        <v>1939</v>
      </c>
      <c r="K240" t="s">
        <v>20442</v>
      </c>
      <c r="L240" t="s">
        <v>20443</v>
      </c>
    </row>
    <row r="241" spans="1:12">
      <c r="A241" t="s">
        <v>20445</v>
      </c>
      <c r="B241" s="1" t="s">
        <v>20446</v>
      </c>
      <c r="F241">
        <v>1</v>
      </c>
      <c r="G241" t="str">
        <f>HYPERLINK("http://babel.hathitrust.org/cgi/pt?id=mdp.39015031469169")</f>
        <v>http://babel.hathitrust.org/cgi/pt?id=mdp.39015031469169</v>
      </c>
      <c r="H241" t="str">
        <f>HYPERLINK("http://catalog.hathitrust.org/Record/000315651")</f>
        <v>http://catalog.hathitrust.org/Record/000315651</v>
      </c>
      <c r="J241" s="1">
        <v>1892</v>
      </c>
      <c r="K241" t="s">
        <v>20447</v>
      </c>
      <c r="L241" t="s">
        <v>20448</v>
      </c>
    </row>
    <row r="242" spans="1:12">
      <c r="A242" t="s">
        <v>20449</v>
      </c>
      <c r="B242" s="1" t="s">
        <v>20337</v>
      </c>
      <c r="F242">
        <v>1</v>
      </c>
      <c r="G242" t="str">
        <f>HYPERLINK("http://babel.hathitrust.org/cgi/pt?id=mdp.39015013164259")</f>
        <v>http://babel.hathitrust.org/cgi/pt?id=mdp.39015013164259</v>
      </c>
      <c r="H242" t="str">
        <f>HYPERLINK("http://catalog.hathitrust.org/Record/000320482")</f>
        <v>http://catalog.hathitrust.org/Record/000320482</v>
      </c>
      <c r="J242" s="1">
        <v>1909</v>
      </c>
      <c r="K242" t="s">
        <v>20338</v>
      </c>
      <c r="L242" t="s">
        <v>20339</v>
      </c>
    </row>
    <row r="243" spans="1:12">
      <c r="A243" t="s">
        <v>20340</v>
      </c>
      <c r="B243" s="1" t="s">
        <v>20337</v>
      </c>
      <c r="F243">
        <v>1</v>
      </c>
      <c r="G243" t="str">
        <f>HYPERLINK("http://babel.hathitrust.org/cgi/pt?id=uc2.ark:/13960/t3fx7465c")</f>
        <v>http://babel.hathitrust.org/cgi/pt?id=uc2.ark:/13960/t3fx7465c</v>
      </c>
      <c r="H243" t="str">
        <f>HYPERLINK("http://catalog.hathitrust.org/Record/000320482")</f>
        <v>http://catalog.hathitrust.org/Record/000320482</v>
      </c>
      <c r="J243" s="1">
        <v>1909</v>
      </c>
      <c r="K243" t="s">
        <v>20338</v>
      </c>
      <c r="L243" t="s">
        <v>20339</v>
      </c>
    </row>
    <row r="244" spans="1:12">
      <c r="A244" t="s">
        <v>20341</v>
      </c>
      <c r="B244" s="1" t="s">
        <v>20342</v>
      </c>
      <c r="F244">
        <v>1</v>
      </c>
      <c r="G244" t="str">
        <f>HYPERLINK("http://babel.hathitrust.org/cgi/pt?id=mdp.39015063515400")</f>
        <v>http://babel.hathitrust.org/cgi/pt?id=mdp.39015063515400</v>
      </c>
      <c r="H244" t="str">
        <f>HYPERLINK("http://catalog.hathitrust.org/Record/000322430")</f>
        <v>http://catalog.hathitrust.org/Record/000322430</v>
      </c>
      <c r="J244" s="1">
        <v>1914</v>
      </c>
      <c r="K244" t="s">
        <v>20343</v>
      </c>
      <c r="L244" t="s">
        <v>20344</v>
      </c>
    </row>
    <row r="245" spans="1:12">
      <c r="A245" t="s">
        <v>20345</v>
      </c>
      <c r="B245" s="1" t="s">
        <v>20342</v>
      </c>
      <c r="F245">
        <v>1</v>
      </c>
      <c r="G245" t="str">
        <f>HYPERLINK("http://babel.hathitrust.org/cgi/pt?id=uc1.b3512883")</f>
        <v>http://babel.hathitrust.org/cgi/pt?id=uc1.b3512883</v>
      </c>
      <c r="H245" t="str">
        <f>HYPERLINK("http://catalog.hathitrust.org/Record/000322430")</f>
        <v>http://catalog.hathitrust.org/Record/000322430</v>
      </c>
      <c r="J245" s="1">
        <v>1914</v>
      </c>
      <c r="K245" t="s">
        <v>20343</v>
      </c>
      <c r="L245" t="s">
        <v>20344</v>
      </c>
    </row>
    <row r="246" spans="1:12">
      <c r="A246" t="s">
        <v>20346</v>
      </c>
      <c r="B246" s="1" t="s">
        <v>20342</v>
      </c>
      <c r="F246">
        <v>1</v>
      </c>
      <c r="G246" t="str">
        <f>HYPERLINK("http://babel.hathitrust.org/cgi/pt?id=uc2.ark:/13960/t5v69jh2q")</f>
        <v>http://babel.hathitrust.org/cgi/pt?id=uc2.ark:/13960/t5v69jh2q</v>
      </c>
      <c r="H246" t="str">
        <f>HYPERLINK("http://catalog.hathitrust.org/Record/000322430")</f>
        <v>http://catalog.hathitrust.org/Record/000322430</v>
      </c>
      <c r="J246" s="1">
        <v>1914</v>
      </c>
      <c r="K246" t="s">
        <v>20343</v>
      </c>
      <c r="L246" t="s">
        <v>20344</v>
      </c>
    </row>
    <row r="247" spans="1:12">
      <c r="A247" t="s">
        <v>20347</v>
      </c>
      <c r="B247" s="1" t="s">
        <v>20348</v>
      </c>
      <c r="F247">
        <v>1</v>
      </c>
      <c r="G247" t="str">
        <f>HYPERLINK("http://babel.hathitrust.org/cgi/pt?id=mdp.39015063943602")</f>
        <v>http://babel.hathitrust.org/cgi/pt?id=mdp.39015063943602</v>
      </c>
      <c r="H247" t="str">
        <f>HYPERLINK("http://catalog.hathitrust.org/Record/000322513")</f>
        <v>http://catalog.hathitrust.org/Record/000322513</v>
      </c>
      <c r="J247" s="1">
        <v>1761</v>
      </c>
      <c r="K247" t="s">
        <v>20349</v>
      </c>
      <c r="L247" t="s">
        <v>20350</v>
      </c>
    </row>
    <row r="248" spans="1:12">
      <c r="A248" t="s">
        <v>20351</v>
      </c>
      <c r="B248" s="1" t="s">
        <v>20352</v>
      </c>
      <c r="F248">
        <v>1</v>
      </c>
      <c r="G248" t="str">
        <f>HYPERLINK("http://babel.hathitrust.org/cgi/pt?id=mdp.39015016699970")</f>
        <v>http://babel.hathitrust.org/cgi/pt?id=mdp.39015016699970</v>
      </c>
      <c r="H248" t="str">
        <f>HYPERLINK("http://catalog.hathitrust.org/Record/000322593")</f>
        <v>http://catalog.hathitrust.org/Record/000322593</v>
      </c>
      <c r="J248" s="1">
        <v>1916</v>
      </c>
      <c r="K248" t="s">
        <v>20353</v>
      </c>
      <c r="L248" t="s">
        <v>20354</v>
      </c>
    </row>
    <row r="249" spans="1:12">
      <c r="A249" t="s">
        <v>20355</v>
      </c>
      <c r="B249" s="1" t="s">
        <v>20356</v>
      </c>
      <c r="F249">
        <v>1</v>
      </c>
      <c r="G249" t="str">
        <f>HYPERLINK("http://babel.hathitrust.org/cgi/pt?id=loc.ark:/13960/t11n8m68z")</f>
        <v>http://babel.hathitrust.org/cgi/pt?id=loc.ark:/13960/t11n8m68z</v>
      </c>
      <c r="H249" t="str">
        <f>HYPERLINK("http://catalog.hathitrust.org/Record/000322775")</f>
        <v>http://catalog.hathitrust.org/Record/000322775</v>
      </c>
      <c r="J249" s="1">
        <v>1917</v>
      </c>
      <c r="K249" t="s">
        <v>20357</v>
      </c>
      <c r="L249" t="s">
        <v>20358</v>
      </c>
    </row>
    <row r="250" spans="1:12">
      <c r="A250" t="s">
        <v>20359</v>
      </c>
      <c r="B250" s="1" t="s">
        <v>20356</v>
      </c>
      <c r="F250">
        <v>1</v>
      </c>
      <c r="G250" t="str">
        <f>HYPERLINK("http://babel.hathitrust.org/cgi/pt?id=mdp.39015073308416")</f>
        <v>http://babel.hathitrust.org/cgi/pt?id=mdp.39015073308416</v>
      </c>
      <c r="H250" t="str">
        <f>HYPERLINK("http://catalog.hathitrust.org/Record/000322775")</f>
        <v>http://catalog.hathitrust.org/Record/000322775</v>
      </c>
      <c r="J250" s="1">
        <v>1917</v>
      </c>
      <c r="K250" t="s">
        <v>20357</v>
      </c>
      <c r="L250" t="s">
        <v>20358</v>
      </c>
    </row>
    <row r="251" spans="1:12">
      <c r="A251" t="s">
        <v>20360</v>
      </c>
      <c r="B251" s="1" t="s">
        <v>20356</v>
      </c>
      <c r="F251">
        <v>1</v>
      </c>
      <c r="G251" t="str">
        <f>HYPERLINK("http://babel.hathitrust.org/cgi/pt?id=uc1.b3528491")</f>
        <v>http://babel.hathitrust.org/cgi/pt?id=uc1.b3528491</v>
      </c>
      <c r="H251" t="str">
        <f>HYPERLINK("http://catalog.hathitrust.org/Record/000322775")</f>
        <v>http://catalog.hathitrust.org/Record/000322775</v>
      </c>
      <c r="J251" s="1">
        <v>1917</v>
      </c>
      <c r="K251" t="s">
        <v>20357</v>
      </c>
      <c r="L251" t="s">
        <v>20358</v>
      </c>
    </row>
    <row r="252" spans="1:12">
      <c r="A252" t="s">
        <v>20361</v>
      </c>
      <c r="B252" s="1" t="s">
        <v>20356</v>
      </c>
      <c r="F252">
        <v>1</v>
      </c>
      <c r="G252" t="str">
        <f>HYPERLINK("http://babel.hathitrust.org/cgi/pt?id=uc2.ark:/13960/t26977z4b")</f>
        <v>http://babel.hathitrust.org/cgi/pt?id=uc2.ark:/13960/t26977z4b</v>
      </c>
      <c r="H252" t="str">
        <f>HYPERLINK("http://catalog.hathitrust.org/Record/000322775")</f>
        <v>http://catalog.hathitrust.org/Record/000322775</v>
      </c>
      <c r="J252" s="1">
        <v>1917</v>
      </c>
      <c r="K252" t="s">
        <v>20357</v>
      </c>
      <c r="L252" t="s">
        <v>20358</v>
      </c>
    </row>
    <row r="253" spans="1:12">
      <c r="A253" t="s">
        <v>20362</v>
      </c>
      <c r="B253" s="1" t="s">
        <v>20363</v>
      </c>
      <c r="F253">
        <v>1</v>
      </c>
      <c r="G253" t="str">
        <f>HYPERLINK("http://babel.hathitrust.org/cgi/pt?id=mdp.39015063754660")</f>
        <v>http://babel.hathitrust.org/cgi/pt?id=mdp.39015063754660</v>
      </c>
      <c r="H253" t="str">
        <f>HYPERLINK("http://catalog.hathitrust.org/Record/000322838")</f>
        <v>http://catalog.hathitrust.org/Record/000322838</v>
      </c>
      <c r="J253" s="1">
        <v>1910</v>
      </c>
      <c r="K253" t="s">
        <v>20364</v>
      </c>
      <c r="L253" t="s">
        <v>20365</v>
      </c>
    </row>
    <row r="254" spans="1:12">
      <c r="A254" t="s">
        <v>20366</v>
      </c>
      <c r="B254" s="1" t="s">
        <v>20367</v>
      </c>
      <c r="F254">
        <v>1</v>
      </c>
      <c r="G254" t="str">
        <f>HYPERLINK("http://babel.hathitrust.org/cgi/pt?id=mdp.39015073174263")</f>
        <v>http://babel.hathitrust.org/cgi/pt?id=mdp.39015073174263</v>
      </c>
      <c r="H254" t="str">
        <f>HYPERLINK("http://catalog.hathitrust.org/Record/000323156")</f>
        <v>http://catalog.hathitrust.org/Record/000323156</v>
      </c>
      <c r="J254" s="1">
        <v>1913</v>
      </c>
      <c r="K254" t="s">
        <v>20368</v>
      </c>
      <c r="L254" t="s">
        <v>20369</v>
      </c>
    </row>
    <row r="255" spans="1:12">
      <c r="A255" t="s">
        <v>20370</v>
      </c>
      <c r="B255" s="1" t="s">
        <v>20371</v>
      </c>
      <c r="D255">
        <v>1</v>
      </c>
      <c r="G255" t="str">
        <f>HYPERLINK("http://babel.hathitrust.org/cgi/pt?id=mdp.39015010964388")</f>
        <v>http://babel.hathitrust.org/cgi/pt?id=mdp.39015010964388</v>
      </c>
      <c r="H255" t="str">
        <f>HYPERLINK("http://catalog.hathitrust.org/Record/000324543")</f>
        <v>http://catalog.hathitrust.org/Record/000324543</v>
      </c>
      <c r="J255" s="1">
        <v>1736</v>
      </c>
      <c r="K255" t="s">
        <v>20372</v>
      </c>
      <c r="L255" t="s">
        <v>20373</v>
      </c>
    </row>
    <row r="256" spans="1:12">
      <c r="A256" t="s">
        <v>20374</v>
      </c>
      <c r="B256" s="1" t="s">
        <v>20375</v>
      </c>
      <c r="F256">
        <v>1</v>
      </c>
      <c r="G256" t="str">
        <f>HYPERLINK("http://babel.hathitrust.org/cgi/pt?id=mdp.39015063532504")</f>
        <v>http://babel.hathitrust.org/cgi/pt?id=mdp.39015063532504</v>
      </c>
      <c r="H256" t="str">
        <f>HYPERLINK("http://catalog.hathitrust.org/Record/000326744")</f>
        <v>http://catalog.hathitrust.org/Record/000326744</v>
      </c>
      <c r="J256" s="1">
        <v>1949</v>
      </c>
      <c r="K256" t="s">
        <v>20376</v>
      </c>
      <c r="L256" t="s">
        <v>20377</v>
      </c>
    </row>
    <row r="257" spans="1:12">
      <c r="A257" t="s">
        <v>20378</v>
      </c>
      <c r="B257" s="1" t="s">
        <v>20375</v>
      </c>
      <c r="F257">
        <v>1</v>
      </c>
      <c r="G257" t="str">
        <f>HYPERLINK("http://babel.hathitrust.org/cgi/pt?id=uc1.b116080")</f>
        <v>http://babel.hathitrust.org/cgi/pt?id=uc1.b116080</v>
      </c>
      <c r="H257" t="str">
        <f>HYPERLINK("http://catalog.hathitrust.org/Record/000326744")</f>
        <v>http://catalog.hathitrust.org/Record/000326744</v>
      </c>
      <c r="J257" s="1">
        <v>1949</v>
      </c>
      <c r="K257" t="s">
        <v>20376</v>
      </c>
      <c r="L257" t="s">
        <v>20377</v>
      </c>
    </row>
    <row r="258" spans="1:12">
      <c r="A258" t="s">
        <v>20379</v>
      </c>
      <c r="B258" s="1" t="s">
        <v>20380</v>
      </c>
      <c r="F258">
        <v>1</v>
      </c>
      <c r="G258" t="str">
        <f>HYPERLINK("http://babel.hathitrust.org/cgi/pt?id=mdp.39015048400892")</f>
        <v>http://babel.hathitrust.org/cgi/pt?id=mdp.39015048400892</v>
      </c>
      <c r="H258" t="str">
        <f>HYPERLINK("http://catalog.hathitrust.org/Record/000327819")</f>
        <v>http://catalog.hathitrust.org/Record/000327819</v>
      </c>
      <c r="J258" s="1">
        <v>1922</v>
      </c>
      <c r="K258" t="s">
        <v>20381</v>
      </c>
      <c r="L258" t="s">
        <v>20382</v>
      </c>
    </row>
    <row r="259" spans="1:12">
      <c r="A259" t="s">
        <v>20383</v>
      </c>
      <c r="B259" s="1" t="s">
        <v>20380</v>
      </c>
      <c r="F259">
        <v>1</v>
      </c>
      <c r="G259" t="str">
        <f>HYPERLINK("http://babel.hathitrust.org/cgi/pt?id=mdp.39015063022233")</f>
        <v>http://babel.hathitrust.org/cgi/pt?id=mdp.39015063022233</v>
      </c>
      <c r="H259" t="str">
        <f>HYPERLINK("http://catalog.hathitrust.org/Record/000327819")</f>
        <v>http://catalog.hathitrust.org/Record/000327819</v>
      </c>
      <c r="J259" s="1">
        <v>1922</v>
      </c>
      <c r="K259" t="s">
        <v>20381</v>
      </c>
      <c r="L259" t="s">
        <v>20382</v>
      </c>
    </row>
    <row r="260" spans="1:12">
      <c r="A260" t="s">
        <v>20384</v>
      </c>
      <c r="B260" s="1" t="s">
        <v>20385</v>
      </c>
      <c r="D260">
        <v>1</v>
      </c>
      <c r="G260" t="str">
        <f>HYPERLINK("http://babel.hathitrust.org/cgi/pt?id=mdp.39015063976578")</f>
        <v>http://babel.hathitrust.org/cgi/pt?id=mdp.39015063976578</v>
      </c>
      <c r="H260" t="str">
        <f>HYPERLINK("http://catalog.hathitrust.org/Record/000330313")</f>
        <v>http://catalog.hathitrust.org/Record/000330313</v>
      </c>
      <c r="J260" s="1">
        <v>1841</v>
      </c>
      <c r="K260" t="s">
        <v>20386</v>
      </c>
      <c r="L260" t="s">
        <v>20387</v>
      </c>
    </row>
    <row r="261" spans="1:12">
      <c r="A261" t="s">
        <v>20388</v>
      </c>
      <c r="B261" s="1" t="s">
        <v>20389</v>
      </c>
      <c r="F261">
        <v>1</v>
      </c>
      <c r="G261" t="str">
        <f>HYPERLINK("http://babel.hathitrust.org/cgi/pt?id=miun.abl1562.0001.001")</f>
        <v>http://babel.hathitrust.org/cgi/pt?id=miun.abl1562.0001.001</v>
      </c>
      <c r="H261" t="str">
        <f>HYPERLINK("http://catalog.hathitrust.org/Record/000334206")</f>
        <v>http://catalog.hathitrust.org/Record/000334206</v>
      </c>
      <c r="J261" s="1">
        <v>1857</v>
      </c>
      <c r="K261" t="s">
        <v>20390</v>
      </c>
      <c r="L261" t="s">
        <v>20391</v>
      </c>
    </row>
    <row r="262" spans="1:12">
      <c r="A262" t="s">
        <v>20392</v>
      </c>
      <c r="B262" s="1" t="s">
        <v>20393</v>
      </c>
      <c r="F262">
        <v>1</v>
      </c>
      <c r="G262" t="str">
        <f>HYPERLINK("http://babel.hathitrust.org/cgi/pt?id=mdp.39015010555657")</f>
        <v>http://babel.hathitrust.org/cgi/pt?id=mdp.39015010555657</v>
      </c>
      <c r="H262" t="str">
        <f>HYPERLINK("http://catalog.hathitrust.org/Record/000337680")</f>
        <v>http://catalog.hathitrust.org/Record/000337680</v>
      </c>
      <c r="J262" s="1">
        <v>1843</v>
      </c>
      <c r="K262" t="s">
        <v>20304</v>
      </c>
    </row>
    <row r="263" spans="1:12">
      <c r="A263" t="s">
        <v>20305</v>
      </c>
      <c r="B263" s="1" t="s">
        <v>20306</v>
      </c>
      <c r="D263">
        <v>1</v>
      </c>
      <c r="G263" t="str">
        <f>HYPERLINK("http://babel.hathitrust.org/cgi/pt?id=mdp.39015008570205")</f>
        <v>http://babel.hathitrust.org/cgi/pt?id=mdp.39015008570205</v>
      </c>
      <c r="H263" t="str">
        <f>HYPERLINK("http://catalog.hathitrust.org/Record/000347735")</f>
        <v>http://catalog.hathitrust.org/Record/000347735</v>
      </c>
      <c r="J263" s="1">
        <v>1802</v>
      </c>
      <c r="K263" t="s">
        <v>20307</v>
      </c>
      <c r="L263" t="s">
        <v>20308</v>
      </c>
    </row>
    <row r="264" spans="1:12">
      <c r="A264" t="s">
        <v>20309</v>
      </c>
      <c r="B264" s="1" t="s">
        <v>20310</v>
      </c>
      <c r="C264">
        <v>1</v>
      </c>
      <c r="G264" t="str">
        <f>HYPERLINK("http://babel.hathitrust.org/cgi/pt?id=mdp.39015063930591")</f>
        <v>http://babel.hathitrust.org/cgi/pt?id=mdp.39015063930591</v>
      </c>
      <c r="H264" t="str">
        <f>HYPERLINK("http://catalog.hathitrust.org/Record/000382581")</f>
        <v>http://catalog.hathitrust.org/Record/000382581</v>
      </c>
      <c r="J264" s="1">
        <v>1732</v>
      </c>
      <c r="K264" t="s">
        <v>20311</v>
      </c>
      <c r="L264" t="s">
        <v>20312</v>
      </c>
    </row>
    <row r="265" spans="1:12">
      <c r="A265" t="s">
        <v>20313</v>
      </c>
      <c r="B265" s="1" t="s">
        <v>20314</v>
      </c>
      <c r="C265">
        <v>1</v>
      </c>
      <c r="G265" t="str">
        <f>HYPERLINK("http://babel.hathitrust.org/cgi/pt?id=mdp.39015048503513")</f>
        <v>http://babel.hathitrust.org/cgi/pt?id=mdp.39015048503513</v>
      </c>
      <c r="H265" t="str">
        <f>HYPERLINK("http://catalog.hathitrust.org/Record/000382588")</f>
        <v>http://catalog.hathitrust.org/Record/000382588</v>
      </c>
      <c r="J265" s="1">
        <v>1812</v>
      </c>
      <c r="K265" t="s">
        <v>20315</v>
      </c>
      <c r="L265" t="s">
        <v>20312</v>
      </c>
    </row>
    <row r="266" spans="1:12">
      <c r="A266" t="s">
        <v>20316</v>
      </c>
      <c r="B266" s="1" t="s">
        <v>20317</v>
      </c>
      <c r="E266">
        <v>1</v>
      </c>
      <c r="G266" t="str">
        <f>HYPERLINK("http://babel.hathitrust.org/cgi/pt?id=hvd.32044024331902")</f>
        <v>http://babel.hathitrust.org/cgi/pt?id=hvd.32044024331902</v>
      </c>
      <c r="H266" t="str">
        <f>HYPERLINK("http://catalog.hathitrust.org/Record/000382847")</f>
        <v>http://catalog.hathitrust.org/Record/000382847</v>
      </c>
      <c r="J266" s="1">
        <v>1845</v>
      </c>
      <c r="K266" t="s">
        <v>20318</v>
      </c>
      <c r="L266" t="s">
        <v>20319</v>
      </c>
    </row>
    <row r="267" spans="1:12">
      <c r="A267" t="s">
        <v>20320</v>
      </c>
      <c r="B267" s="1" t="s">
        <v>20321</v>
      </c>
      <c r="F267">
        <v>1</v>
      </c>
      <c r="G267" t="str">
        <f>HYPERLINK("http://babel.hathitrust.org/cgi/pt?id=mdp.39015070189181")</f>
        <v>http://babel.hathitrust.org/cgi/pt?id=mdp.39015070189181</v>
      </c>
      <c r="H267" t="str">
        <f>HYPERLINK("http://catalog.hathitrust.org/Record/000385858")</f>
        <v>http://catalog.hathitrust.org/Record/000385858</v>
      </c>
      <c r="J267" s="1">
        <v>1922</v>
      </c>
      <c r="K267" t="s">
        <v>20322</v>
      </c>
      <c r="L267" t="s">
        <v>20323</v>
      </c>
    </row>
    <row r="268" spans="1:12">
      <c r="A268" t="s">
        <v>20324</v>
      </c>
      <c r="B268" s="1" t="s">
        <v>20325</v>
      </c>
      <c r="E268">
        <v>1</v>
      </c>
      <c r="G268" t="str">
        <f>HYPERLINK("http://babel.hathitrust.org/cgi/pt?id=mdp.39015000591852")</f>
        <v>http://babel.hathitrust.org/cgi/pt?id=mdp.39015000591852</v>
      </c>
      <c r="H268" t="str">
        <f>HYPERLINK("http://catalog.hathitrust.org/Record/000386127")</f>
        <v>http://catalog.hathitrust.org/Record/000386127</v>
      </c>
      <c r="J268" s="1">
        <v>1921</v>
      </c>
      <c r="K268" t="s">
        <v>20326</v>
      </c>
      <c r="L268" t="s">
        <v>20327</v>
      </c>
    </row>
    <row r="269" spans="1:12">
      <c r="A269" t="s">
        <v>20328</v>
      </c>
      <c r="B269" s="1" t="s">
        <v>20329</v>
      </c>
      <c r="E269">
        <v>1</v>
      </c>
      <c r="G269" t="str">
        <f>HYPERLINK("http://babel.hathitrust.org/cgi/pt?id=miun.abr5348.0001.001")</f>
        <v>http://babel.hathitrust.org/cgi/pt?id=miun.abr5348.0001.001</v>
      </c>
      <c r="H269" t="str">
        <f>HYPERLINK("http://catalog.hathitrust.org/Record/000387262")</f>
        <v>http://catalog.hathitrust.org/Record/000387262</v>
      </c>
      <c r="J269" s="1">
        <v>1924</v>
      </c>
      <c r="K269" t="s">
        <v>20330</v>
      </c>
      <c r="L269" t="s">
        <v>20331</v>
      </c>
    </row>
    <row r="270" spans="1:12">
      <c r="A270" t="s">
        <v>20332</v>
      </c>
      <c r="B270" s="1" t="s">
        <v>20333</v>
      </c>
      <c r="E270">
        <v>1</v>
      </c>
      <c r="G270" t="str">
        <f>HYPERLINK("http://babel.hathitrust.org/cgi/pt?id=mdp.39015004036532")</f>
        <v>http://babel.hathitrust.org/cgi/pt?id=mdp.39015004036532</v>
      </c>
      <c r="H270" t="str">
        <f>HYPERLINK("http://catalog.hathitrust.org/Record/000391579")</f>
        <v>http://catalog.hathitrust.org/Record/000391579</v>
      </c>
      <c r="J270" s="1">
        <v>1883</v>
      </c>
      <c r="K270" t="s">
        <v>20334</v>
      </c>
      <c r="L270" t="s">
        <v>20331</v>
      </c>
    </row>
    <row r="271" spans="1:12">
      <c r="A271" t="s">
        <v>20335</v>
      </c>
      <c r="B271" s="1" t="s">
        <v>20336</v>
      </c>
      <c r="D271">
        <v>1</v>
      </c>
      <c r="G271" t="str">
        <f>HYPERLINK("http://babel.hathitrust.org/cgi/pt?id=nyp.33433066585724")</f>
        <v>http://babel.hathitrust.org/cgi/pt?id=nyp.33433066585724</v>
      </c>
      <c r="H271" t="str">
        <f>HYPERLINK("http://catalog.hathitrust.org/Record/000394083")</f>
        <v>http://catalog.hathitrust.org/Record/000394083</v>
      </c>
      <c r="I271" s="1" t="s">
        <v>20796</v>
      </c>
      <c r="J271" s="1">
        <v>1847</v>
      </c>
      <c r="K271" t="s">
        <v>20255</v>
      </c>
      <c r="L271" t="s">
        <v>20256</v>
      </c>
    </row>
    <row r="272" spans="1:12">
      <c r="A272" t="s">
        <v>20257</v>
      </c>
      <c r="B272" s="1" t="s">
        <v>20336</v>
      </c>
      <c r="D272">
        <v>1</v>
      </c>
      <c r="G272" t="str">
        <f>HYPERLINK("http://babel.hathitrust.org/cgi/pt?id=nyp.33433082502943")</f>
        <v>http://babel.hathitrust.org/cgi/pt?id=nyp.33433082502943</v>
      </c>
      <c r="H272" t="str">
        <f>HYPERLINK("http://catalog.hathitrust.org/Record/000394083")</f>
        <v>http://catalog.hathitrust.org/Record/000394083</v>
      </c>
      <c r="I272" s="1" t="s">
        <v>20799</v>
      </c>
      <c r="J272" s="1">
        <v>1847</v>
      </c>
      <c r="K272" t="s">
        <v>20255</v>
      </c>
      <c r="L272" t="s">
        <v>20256</v>
      </c>
    </row>
    <row r="273" spans="1:12">
      <c r="A273" t="s">
        <v>20258</v>
      </c>
      <c r="B273" s="1" t="s">
        <v>20259</v>
      </c>
      <c r="F273">
        <v>1</v>
      </c>
      <c r="G273" t="str">
        <f>HYPERLINK("http://babel.hathitrust.org/cgi/pt?id=mdp.39015047664308")</f>
        <v>http://babel.hathitrust.org/cgi/pt?id=mdp.39015047664308</v>
      </c>
      <c r="H273" t="str">
        <f>HYPERLINK("http://catalog.hathitrust.org/Record/000394758")</f>
        <v>http://catalog.hathitrust.org/Record/000394758</v>
      </c>
      <c r="J273" s="1">
        <v>1880</v>
      </c>
      <c r="K273" t="s">
        <v>20260</v>
      </c>
      <c r="L273" t="s">
        <v>20261</v>
      </c>
    </row>
    <row r="274" spans="1:12">
      <c r="A274" t="s">
        <v>20262</v>
      </c>
      <c r="B274" s="1" t="s">
        <v>20263</v>
      </c>
      <c r="E274">
        <v>1</v>
      </c>
      <c r="G274" t="str">
        <f>HYPERLINK("http://babel.hathitrust.org/cgi/pt?id=mdp.39015014145380")</f>
        <v>http://babel.hathitrust.org/cgi/pt?id=mdp.39015014145380</v>
      </c>
      <c r="H274" t="str">
        <f>HYPERLINK("http://catalog.hathitrust.org/Record/000426592")</f>
        <v>http://catalog.hathitrust.org/Record/000426592</v>
      </c>
      <c r="J274" s="1">
        <v>1891</v>
      </c>
      <c r="K274" t="s">
        <v>20334</v>
      </c>
      <c r="L274" t="s">
        <v>20331</v>
      </c>
    </row>
    <row r="275" spans="1:12">
      <c r="A275" t="s">
        <v>20264</v>
      </c>
      <c r="B275" s="1" t="s">
        <v>20265</v>
      </c>
      <c r="F275">
        <v>1</v>
      </c>
      <c r="G275" t="str">
        <f>HYPERLINK("http://babel.hathitrust.org/cgi/pt?id=uc1.b4593676")</f>
        <v>http://babel.hathitrust.org/cgi/pt?id=uc1.b4593676</v>
      </c>
      <c r="H275" t="str">
        <f>HYPERLINK("http://catalog.hathitrust.org/Record/000426776")</f>
        <v>http://catalog.hathitrust.org/Record/000426776</v>
      </c>
      <c r="J275" s="1">
        <v>1912</v>
      </c>
      <c r="K275" t="s">
        <v>20266</v>
      </c>
      <c r="L275" t="s">
        <v>20267</v>
      </c>
    </row>
    <row r="276" spans="1:12">
      <c r="A276" t="s">
        <v>20268</v>
      </c>
      <c r="B276" s="1" t="s">
        <v>20265</v>
      </c>
      <c r="F276">
        <v>1</v>
      </c>
      <c r="G276" t="str">
        <f>HYPERLINK("http://babel.hathitrust.org/cgi/pt?id=uc2.ark:/13960/t9571nm9w")</f>
        <v>http://babel.hathitrust.org/cgi/pt?id=uc2.ark:/13960/t9571nm9w</v>
      </c>
      <c r="H276" t="str">
        <f>HYPERLINK("http://catalog.hathitrust.org/Record/000426776")</f>
        <v>http://catalog.hathitrust.org/Record/000426776</v>
      </c>
      <c r="J276" s="1">
        <v>1912</v>
      </c>
      <c r="K276" t="s">
        <v>20266</v>
      </c>
      <c r="L276" t="s">
        <v>20267</v>
      </c>
    </row>
    <row r="277" spans="1:12">
      <c r="A277" t="s">
        <v>20269</v>
      </c>
      <c r="B277" s="1" t="s">
        <v>20270</v>
      </c>
      <c r="E277">
        <v>1</v>
      </c>
      <c r="G277" t="str">
        <f>HYPERLINK("http://babel.hathitrust.org/cgi/pt?id=mdp.39015030947314")</f>
        <v>http://babel.hathitrust.org/cgi/pt?id=mdp.39015030947314</v>
      </c>
      <c r="H277" t="str">
        <f>HYPERLINK("http://catalog.hathitrust.org/Record/000427243")</f>
        <v>http://catalog.hathitrust.org/Record/000427243</v>
      </c>
      <c r="J277" s="1">
        <v>1896</v>
      </c>
      <c r="K277" t="s">
        <v>20271</v>
      </c>
      <c r="L277" t="s">
        <v>20331</v>
      </c>
    </row>
    <row r="278" spans="1:12">
      <c r="A278" t="s">
        <v>20272</v>
      </c>
      <c r="B278" s="1" t="s">
        <v>20273</v>
      </c>
      <c r="D278">
        <v>1</v>
      </c>
      <c r="G278" t="str">
        <f>HYPERLINK("http://babel.hathitrust.org/cgi/pt?id=njp.32101067567584")</f>
        <v>http://babel.hathitrust.org/cgi/pt?id=njp.32101067567584</v>
      </c>
      <c r="H278" t="str">
        <f>HYPERLINK("http://catalog.hathitrust.org/Record/000428826")</f>
        <v>http://catalog.hathitrust.org/Record/000428826</v>
      </c>
      <c r="J278" s="1">
        <v>1779</v>
      </c>
      <c r="K278" t="s">
        <v>20274</v>
      </c>
      <c r="L278" t="s">
        <v>20275</v>
      </c>
    </row>
    <row r="279" spans="1:12">
      <c r="A279" t="s">
        <v>20276</v>
      </c>
      <c r="B279" s="1" t="s">
        <v>20277</v>
      </c>
      <c r="D279">
        <v>1</v>
      </c>
      <c r="G279" t="str">
        <f>HYPERLINK("http://babel.hathitrust.org/cgi/pt?id=mdp.39015026437072")</f>
        <v>http://babel.hathitrust.org/cgi/pt?id=mdp.39015026437072</v>
      </c>
      <c r="H279" t="str">
        <f>HYPERLINK("http://catalog.hathitrust.org/Record/000430520")</f>
        <v>http://catalog.hathitrust.org/Record/000430520</v>
      </c>
      <c r="J279" s="1">
        <v>1902</v>
      </c>
      <c r="K279" t="s">
        <v>20278</v>
      </c>
      <c r="L279" t="s">
        <v>20279</v>
      </c>
    </row>
    <row r="280" spans="1:12">
      <c r="A280" t="s">
        <v>20280</v>
      </c>
      <c r="B280" s="1" t="s">
        <v>20277</v>
      </c>
      <c r="F280">
        <v>1</v>
      </c>
      <c r="G280" t="str">
        <f>HYPERLINK("http://babel.hathitrust.org/cgi/pt?id=mdp.39015055310430")</f>
        <v>http://babel.hathitrust.org/cgi/pt?id=mdp.39015055310430</v>
      </c>
      <c r="H280" t="str">
        <f>HYPERLINK("http://catalog.hathitrust.org/Record/000430520")</f>
        <v>http://catalog.hathitrust.org/Record/000430520</v>
      </c>
      <c r="J280" s="1">
        <v>1902</v>
      </c>
      <c r="K280" t="s">
        <v>20278</v>
      </c>
      <c r="L280" t="s">
        <v>20279</v>
      </c>
    </row>
    <row r="281" spans="1:12">
      <c r="A281" t="s">
        <v>20281</v>
      </c>
      <c r="B281" s="1" t="s">
        <v>20282</v>
      </c>
      <c r="F281">
        <v>1</v>
      </c>
      <c r="G281" t="str">
        <f>HYPERLINK("http://babel.hathitrust.org/cgi/pt?id=mdp.39015011051516")</f>
        <v>http://babel.hathitrust.org/cgi/pt?id=mdp.39015011051516</v>
      </c>
      <c r="H281" t="str">
        <f>HYPERLINK("http://catalog.hathitrust.org/Record/000433496")</f>
        <v>http://catalog.hathitrust.org/Record/000433496</v>
      </c>
      <c r="J281" s="1">
        <v>1905</v>
      </c>
      <c r="K281" t="s">
        <v>20283</v>
      </c>
      <c r="L281" t="s">
        <v>20284</v>
      </c>
    </row>
    <row r="282" spans="1:12">
      <c r="A282" t="s">
        <v>20285</v>
      </c>
      <c r="B282" s="1" t="s">
        <v>20286</v>
      </c>
      <c r="E282">
        <v>1</v>
      </c>
      <c r="F282">
        <v>1</v>
      </c>
      <c r="G282" t="str">
        <f>HYPERLINK("http://babel.hathitrust.org/cgi/pt?id=mdp.39015003633594")</f>
        <v>http://babel.hathitrust.org/cgi/pt?id=mdp.39015003633594</v>
      </c>
      <c r="H282" t="str">
        <f>HYPERLINK("http://catalog.hathitrust.org/Record/000433501")</f>
        <v>http://catalog.hathitrust.org/Record/000433501</v>
      </c>
      <c r="J282" s="1">
        <v>1868</v>
      </c>
      <c r="K282" t="s">
        <v>20287</v>
      </c>
      <c r="L282" t="s">
        <v>20288</v>
      </c>
    </row>
    <row r="283" spans="1:12">
      <c r="A283" t="s">
        <v>20289</v>
      </c>
      <c r="B283" s="1" t="s">
        <v>20286</v>
      </c>
      <c r="F283">
        <v>1</v>
      </c>
      <c r="G283" t="str">
        <f>HYPERLINK("http://babel.hathitrust.org/cgi/pt?id=uc2.ark:/13960/t6m04184g")</f>
        <v>http://babel.hathitrust.org/cgi/pt?id=uc2.ark:/13960/t6m04184g</v>
      </c>
      <c r="H283" t="str">
        <f>HYPERLINK("http://catalog.hathitrust.org/Record/000433501")</f>
        <v>http://catalog.hathitrust.org/Record/000433501</v>
      </c>
      <c r="J283" s="1">
        <v>1868</v>
      </c>
      <c r="K283" t="s">
        <v>20287</v>
      </c>
      <c r="L283" t="s">
        <v>20288</v>
      </c>
    </row>
    <row r="284" spans="1:12">
      <c r="A284" t="s">
        <v>20290</v>
      </c>
      <c r="B284" s="1" t="s">
        <v>20291</v>
      </c>
      <c r="E284">
        <v>1</v>
      </c>
      <c r="G284" t="str">
        <f>HYPERLINK("http://babel.hathitrust.org/cgi/pt?id=mdp.39015031239877")</f>
        <v>http://babel.hathitrust.org/cgi/pt?id=mdp.39015031239877</v>
      </c>
      <c r="H284" t="str">
        <f>HYPERLINK("http://catalog.hathitrust.org/Record/000433802")</f>
        <v>http://catalog.hathitrust.org/Record/000433802</v>
      </c>
      <c r="J284" s="1">
        <v>1917</v>
      </c>
      <c r="K284" t="s">
        <v>20292</v>
      </c>
      <c r="L284" t="s">
        <v>20293</v>
      </c>
    </row>
    <row r="285" spans="1:12">
      <c r="A285" t="s">
        <v>20294</v>
      </c>
      <c r="B285" s="1" t="s">
        <v>20295</v>
      </c>
      <c r="E285">
        <v>1</v>
      </c>
      <c r="F285">
        <v>1</v>
      </c>
      <c r="G285" t="str">
        <f>HYPERLINK("http://babel.hathitrust.org/cgi/pt?id=mdp.39015019373771")</f>
        <v>http://babel.hathitrust.org/cgi/pt?id=mdp.39015019373771</v>
      </c>
      <c r="H285" t="str">
        <f>HYPERLINK("http://catalog.hathitrust.org/Record/000435586")</f>
        <v>http://catalog.hathitrust.org/Record/000435586</v>
      </c>
      <c r="J285" s="1">
        <v>1892</v>
      </c>
      <c r="K285" t="s">
        <v>20296</v>
      </c>
      <c r="L285" t="s">
        <v>20297</v>
      </c>
    </row>
    <row r="286" spans="1:12">
      <c r="A286" t="s">
        <v>20298</v>
      </c>
      <c r="B286" s="1" t="s">
        <v>20299</v>
      </c>
      <c r="F286">
        <v>1</v>
      </c>
      <c r="G286" t="str">
        <f>HYPERLINK("http://babel.hathitrust.org/cgi/pt?id=mdp.39015011051094")</f>
        <v>http://babel.hathitrust.org/cgi/pt?id=mdp.39015011051094</v>
      </c>
      <c r="H286" t="str">
        <f>HYPERLINK("http://catalog.hathitrust.org/Record/000439004")</f>
        <v>http://catalog.hathitrust.org/Record/000439004</v>
      </c>
      <c r="J286" s="1">
        <v>1919</v>
      </c>
      <c r="K286" t="s">
        <v>20300</v>
      </c>
      <c r="L286" t="s">
        <v>20301</v>
      </c>
    </row>
    <row r="287" spans="1:12">
      <c r="A287" t="s">
        <v>20302</v>
      </c>
      <c r="B287" s="1" t="s">
        <v>20299</v>
      </c>
      <c r="F287">
        <v>1</v>
      </c>
      <c r="G287" t="str">
        <f>HYPERLINK("http://babel.hathitrust.org/cgi/pt?id=uc2.ark:/13960/t4fn13567")</f>
        <v>http://babel.hathitrust.org/cgi/pt?id=uc2.ark:/13960/t4fn13567</v>
      </c>
      <c r="H287" t="str">
        <f>HYPERLINK("http://catalog.hathitrust.org/Record/000439004")</f>
        <v>http://catalog.hathitrust.org/Record/000439004</v>
      </c>
      <c r="J287" s="1">
        <v>1919</v>
      </c>
      <c r="K287" t="s">
        <v>20300</v>
      </c>
      <c r="L287" t="s">
        <v>20301</v>
      </c>
    </row>
    <row r="288" spans="1:12">
      <c r="A288" t="s">
        <v>20303</v>
      </c>
      <c r="B288" s="1" t="s">
        <v>20179</v>
      </c>
      <c r="F288">
        <v>1</v>
      </c>
      <c r="G288" t="str">
        <f>HYPERLINK("http://babel.hathitrust.org/cgi/pt?id=miun.abw8036.0001.001")</f>
        <v>http://babel.hathitrust.org/cgi/pt?id=miun.abw8036.0001.001</v>
      </c>
      <c r="H288" t="str">
        <f>HYPERLINK("http://catalog.hathitrust.org/Record/000439075")</f>
        <v>http://catalog.hathitrust.org/Record/000439075</v>
      </c>
      <c r="J288" s="1">
        <v>1930</v>
      </c>
      <c r="K288" t="s">
        <v>20180</v>
      </c>
      <c r="L288" t="s">
        <v>20181</v>
      </c>
    </row>
    <row r="289" spans="1:12">
      <c r="A289" t="s">
        <v>20182</v>
      </c>
      <c r="B289" s="1" t="s">
        <v>20179</v>
      </c>
      <c r="F289">
        <v>1</v>
      </c>
      <c r="G289" t="str">
        <f>HYPERLINK("http://babel.hathitrust.org/cgi/pt?id=uc1.b3049094")</f>
        <v>http://babel.hathitrust.org/cgi/pt?id=uc1.b3049094</v>
      </c>
      <c r="H289" t="str">
        <f>HYPERLINK("http://catalog.hathitrust.org/Record/000439075")</f>
        <v>http://catalog.hathitrust.org/Record/000439075</v>
      </c>
      <c r="I289" s="1" t="s">
        <v>20183</v>
      </c>
      <c r="J289" s="1">
        <v>1930</v>
      </c>
      <c r="K289" t="s">
        <v>20180</v>
      </c>
      <c r="L289" t="s">
        <v>20181</v>
      </c>
    </row>
    <row r="290" spans="1:12">
      <c r="A290" t="s">
        <v>20184</v>
      </c>
      <c r="B290" s="1" t="s">
        <v>20185</v>
      </c>
      <c r="F290">
        <v>1</v>
      </c>
      <c r="G290" t="str">
        <f>HYPERLINK("http://babel.hathitrust.org/cgi/pt?id=mdp.39015022407756")</f>
        <v>http://babel.hathitrust.org/cgi/pt?id=mdp.39015022407756</v>
      </c>
      <c r="H290" t="str">
        <f>HYPERLINK("http://catalog.hathitrust.org/Record/000440099")</f>
        <v>http://catalog.hathitrust.org/Record/000440099</v>
      </c>
      <c r="J290" s="1">
        <v>1920</v>
      </c>
      <c r="K290" t="s">
        <v>20186</v>
      </c>
      <c r="L290" t="s">
        <v>20187</v>
      </c>
    </row>
    <row r="291" spans="1:12">
      <c r="A291" t="s">
        <v>20188</v>
      </c>
      <c r="B291" s="1" t="s">
        <v>20185</v>
      </c>
      <c r="F291">
        <v>1</v>
      </c>
      <c r="G291" t="str">
        <f>HYPERLINK("http://babel.hathitrust.org/cgi/pt?id=uc1.b31602")</f>
        <v>http://babel.hathitrust.org/cgi/pt?id=uc1.b31602</v>
      </c>
      <c r="H291" t="str">
        <f>HYPERLINK("http://catalog.hathitrust.org/Record/000440099")</f>
        <v>http://catalog.hathitrust.org/Record/000440099</v>
      </c>
      <c r="J291" s="1">
        <v>1920</v>
      </c>
      <c r="K291" t="s">
        <v>20186</v>
      </c>
      <c r="L291" t="s">
        <v>20187</v>
      </c>
    </row>
    <row r="292" spans="1:12">
      <c r="A292" t="s">
        <v>20189</v>
      </c>
      <c r="B292" s="1" t="s">
        <v>20185</v>
      </c>
      <c r="F292">
        <v>1</v>
      </c>
      <c r="G292" t="str">
        <f>HYPERLINK("http://babel.hathitrust.org/cgi/pt?id=uc2.ark:/13960/t38052b85")</f>
        <v>http://babel.hathitrust.org/cgi/pt?id=uc2.ark:/13960/t38052b85</v>
      </c>
      <c r="H292" t="str">
        <f>HYPERLINK("http://catalog.hathitrust.org/Record/000440099")</f>
        <v>http://catalog.hathitrust.org/Record/000440099</v>
      </c>
      <c r="J292" s="1">
        <v>1920</v>
      </c>
      <c r="K292" t="s">
        <v>20186</v>
      </c>
      <c r="L292" t="s">
        <v>20187</v>
      </c>
    </row>
    <row r="293" spans="1:12">
      <c r="A293" t="s">
        <v>20190</v>
      </c>
      <c r="B293" s="1" t="s">
        <v>20191</v>
      </c>
      <c r="F293">
        <v>1</v>
      </c>
      <c r="G293" t="str">
        <f>HYPERLINK("http://babel.hathitrust.org/cgi/pt?id=mdp.39015040120563")</f>
        <v>http://babel.hathitrust.org/cgi/pt?id=mdp.39015040120563</v>
      </c>
      <c r="H293" t="str">
        <f>HYPERLINK("http://catalog.hathitrust.org/Record/000440795")</f>
        <v>http://catalog.hathitrust.org/Record/000440795</v>
      </c>
      <c r="J293" s="1">
        <v>1924</v>
      </c>
      <c r="K293" t="s">
        <v>20192</v>
      </c>
      <c r="L293" t="s">
        <v>20193</v>
      </c>
    </row>
    <row r="294" spans="1:12">
      <c r="A294" t="s">
        <v>20194</v>
      </c>
      <c r="B294" s="1" t="s">
        <v>20195</v>
      </c>
      <c r="F294">
        <v>1</v>
      </c>
      <c r="G294" t="str">
        <f>HYPERLINK("http://babel.hathitrust.org/cgi/pt?id=miun.abx8285.0001.001")</f>
        <v>http://babel.hathitrust.org/cgi/pt?id=miun.abx8285.0001.001</v>
      </c>
      <c r="H294" t="str">
        <f>HYPERLINK("http://catalog.hathitrust.org/Record/000449212")</f>
        <v>http://catalog.hathitrust.org/Record/000449212</v>
      </c>
      <c r="J294" s="1">
        <v>1852</v>
      </c>
      <c r="K294" t="s">
        <v>20196</v>
      </c>
      <c r="L294" t="s">
        <v>20197</v>
      </c>
    </row>
    <row r="295" spans="1:12">
      <c r="A295" t="s">
        <v>20198</v>
      </c>
      <c r="B295" s="1" t="s">
        <v>20199</v>
      </c>
      <c r="F295">
        <v>1</v>
      </c>
      <c r="G295" t="str">
        <f>HYPERLINK("http://babel.hathitrust.org/cgi/pt?id=loc.ark:/13960/t9h42b25h")</f>
        <v>http://babel.hathitrust.org/cgi/pt?id=loc.ark:/13960/t9h42b25h</v>
      </c>
      <c r="H295" t="str">
        <f>HYPERLINK("http://catalog.hathitrust.org/Record/000449821")</f>
        <v>http://catalog.hathitrust.org/Record/000449821</v>
      </c>
      <c r="J295" s="1">
        <v>1916</v>
      </c>
      <c r="K295" t="s">
        <v>20200</v>
      </c>
      <c r="L295" t="s">
        <v>20201</v>
      </c>
    </row>
    <row r="296" spans="1:12">
      <c r="A296" t="s">
        <v>20202</v>
      </c>
      <c r="B296" s="1" t="s">
        <v>20199</v>
      </c>
      <c r="F296">
        <v>1</v>
      </c>
      <c r="G296" t="str">
        <f>HYPERLINK("http://babel.hathitrust.org/cgi/pt?id=mdp.39015063739570")</f>
        <v>http://babel.hathitrust.org/cgi/pt?id=mdp.39015063739570</v>
      </c>
      <c r="H296" t="str">
        <f>HYPERLINK("http://catalog.hathitrust.org/Record/000449821")</f>
        <v>http://catalog.hathitrust.org/Record/000449821</v>
      </c>
      <c r="J296" s="1">
        <v>1916</v>
      </c>
      <c r="K296" t="s">
        <v>20200</v>
      </c>
      <c r="L296" t="s">
        <v>20201</v>
      </c>
    </row>
    <row r="297" spans="1:12">
      <c r="A297" t="s">
        <v>20203</v>
      </c>
      <c r="B297" s="1" t="s">
        <v>20199</v>
      </c>
      <c r="F297">
        <v>1</v>
      </c>
      <c r="G297" t="str">
        <f>HYPERLINK("http://babel.hathitrust.org/cgi/pt?id=uc2.ark:/13960/t8kd1t26h")</f>
        <v>http://babel.hathitrust.org/cgi/pt?id=uc2.ark:/13960/t8kd1t26h</v>
      </c>
      <c r="H297" t="str">
        <f>HYPERLINK("http://catalog.hathitrust.org/Record/000449821")</f>
        <v>http://catalog.hathitrust.org/Record/000449821</v>
      </c>
      <c r="J297" s="1">
        <v>1916</v>
      </c>
      <c r="K297" t="s">
        <v>20200</v>
      </c>
      <c r="L297" t="s">
        <v>20201</v>
      </c>
    </row>
    <row r="298" spans="1:12">
      <c r="A298" t="s">
        <v>20204</v>
      </c>
      <c r="B298" s="1" t="s">
        <v>20205</v>
      </c>
      <c r="E298">
        <v>1</v>
      </c>
      <c r="G298" t="str">
        <f>HYPERLINK("http://babel.hathitrust.org/cgi/pt?id=mdp.39015004849694")</f>
        <v>http://babel.hathitrust.org/cgi/pt?id=mdp.39015004849694</v>
      </c>
      <c r="H298" t="str">
        <f>HYPERLINK("http://catalog.hathitrust.org/Record/000472633")</f>
        <v>http://catalog.hathitrust.org/Record/000472633</v>
      </c>
      <c r="J298" s="1">
        <v>1923</v>
      </c>
      <c r="K298" t="s">
        <v>20206</v>
      </c>
    </row>
    <row r="299" spans="1:12">
      <c r="A299" t="s">
        <v>20207</v>
      </c>
      <c r="B299" s="1" t="s">
        <v>20208</v>
      </c>
      <c r="D299">
        <v>1</v>
      </c>
      <c r="G299" t="str">
        <f>HYPERLINK("http://babel.hathitrust.org/cgi/pt?id=mdp.39015027522609")</f>
        <v>http://babel.hathitrust.org/cgi/pt?id=mdp.39015027522609</v>
      </c>
      <c r="H299" t="str">
        <f>HYPERLINK("http://catalog.hathitrust.org/Record/000476644")</f>
        <v>http://catalog.hathitrust.org/Record/000476644</v>
      </c>
      <c r="J299" s="1">
        <v>1916</v>
      </c>
      <c r="K299" t="s">
        <v>20209</v>
      </c>
      <c r="L299" t="s">
        <v>20925</v>
      </c>
    </row>
    <row r="300" spans="1:12">
      <c r="A300" t="s">
        <v>20210</v>
      </c>
      <c r="B300" s="1" t="s">
        <v>20211</v>
      </c>
      <c r="F300">
        <v>1</v>
      </c>
      <c r="G300" t="str">
        <f>HYPERLINK("http://babel.hathitrust.org/cgi/pt?id=mdp.39015040355219")</f>
        <v>http://babel.hathitrust.org/cgi/pt?id=mdp.39015040355219</v>
      </c>
      <c r="H300" t="str">
        <f>HYPERLINK("http://catalog.hathitrust.org/Record/000481114")</f>
        <v>http://catalog.hathitrust.org/Record/000481114</v>
      </c>
      <c r="J300" s="1">
        <v>1905</v>
      </c>
      <c r="K300" t="s">
        <v>20212</v>
      </c>
      <c r="L300" t="s">
        <v>20213</v>
      </c>
    </row>
    <row r="301" spans="1:12">
      <c r="A301" t="s">
        <v>20214</v>
      </c>
      <c r="B301" s="1" t="s">
        <v>20215</v>
      </c>
      <c r="F301">
        <v>1</v>
      </c>
      <c r="G301" t="str">
        <f>HYPERLINK("http://babel.hathitrust.org/cgi/pt?id=mdp.39015030675683")</f>
        <v>http://babel.hathitrust.org/cgi/pt?id=mdp.39015030675683</v>
      </c>
      <c r="H301" t="str">
        <f>HYPERLINK("http://catalog.hathitrust.org/Record/000489782")</f>
        <v>http://catalog.hathitrust.org/Record/000489782</v>
      </c>
      <c r="J301" s="1">
        <v>1943</v>
      </c>
      <c r="K301" t="s">
        <v>20216</v>
      </c>
      <c r="L301" t="s">
        <v>20217</v>
      </c>
    </row>
    <row r="302" spans="1:12">
      <c r="A302" t="s">
        <v>20218</v>
      </c>
      <c r="B302" s="1" t="s">
        <v>20215</v>
      </c>
      <c r="F302">
        <v>1</v>
      </c>
      <c r="G302" t="str">
        <f>HYPERLINK("http://babel.hathitrust.org/cgi/pt?id=uc1.b4091671")</f>
        <v>http://babel.hathitrust.org/cgi/pt?id=uc1.b4091671</v>
      </c>
      <c r="H302" t="str">
        <f>HYPERLINK("http://catalog.hathitrust.org/Record/000489782")</f>
        <v>http://catalog.hathitrust.org/Record/000489782</v>
      </c>
      <c r="J302" s="1">
        <v>1943</v>
      </c>
      <c r="K302" t="s">
        <v>20216</v>
      </c>
      <c r="L302" t="s">
        <v>20217</v>
      </c>
    </row>
    <row r="303" spans="1:12">
      <c r="A303" t="s">
        <v>20219</v>
      </c>
      <c r="B303" s="1" t="s">
        <v>20220</v>
      </c>
      <c r="D303">
        <v>1</v>
      </c>
      <c r="G303" t="str">
        <f>HYPERLINK("http://babel.hathitrust.org/cgi/pt?id=uc1.b276186")</f>
        <v>http://babel.hathitrust.org/cgi/pt?id=uc1.b276186</v>
      </c>
      <c r="H303" t="str">
        <f>HYPERLINK("http://catalog.hathitrust.org/Record/000490420")</f>
        <v>http://catalog.hathitrust.org/Record/000490420</v>
      </c>
      <c r="J303" s="1">
        <v>1910</v>
      </c>
      <c r="K303" t="s">
        <v>20221</v>
      </c>
      <c r="L303" t="s">
        <v>20222</v>
      </c>
    </row>
    <row r="304" spans="1:12">
      <c r="A304" t="s">
        <v>20223</v>
      </c>
      <c r="B304" s="1" t="s">
        <v>20224</v>
      </c>
      <c r="D304">
        <v>1</v>
      </c>
      <c r="G304" t="str">
        <f>HYPERLINK("http://babel.hathitrust.org/cgi/pt?id=uc1.b31655")</f>
        <v>http://babel.hathitrust.org/cgi/pt?id=uc1.b31655</v>
      </c>
      <c r="H304" t="str">
        <f>HYPERLINK("http://catalog.hathitrust.org/Record/000490424")</f>
        <v>http://catalog.hathitrust.org/Record/000490424</v>
      </c>
      <c r="J304" s="1">
        <v>1904</v>
      </c>
      <c r="K304" t="s">
        <v>20225</v>
      </c>
      <c r="L304" t="s">
        <v>20226</v>
      </c>
    </row>
    <row r="305" spans="1:12">
      <c r="A305" t="s">
        <v>20227</v>
      </c>
      <c r="B305" s="1" t="s">
        <v>20224</v>
      </c>
      <c r="F305">
        <v>1</v>
      </c>
      <c r="G305" t="str">
        <f>HYPERLINK("http://babel.hathitrust.org/cgi/pt?id=uc2.ark:/13960/t46q1vk29")</f>
        <v>http://babel.hathitrust.org/cgi/pt?id=uc2.ark:/13960/t46q1vk29</v>
      </c>
      <c r="H305" t="str">
        <f>HYPERLINK("http://catalog.hathitrust.org/Record/000490424")</f>
        <v>http://catalog.hathitrust.org/Record/000490424</v>
      </c>
      <c r="J305" s="1">
        <v>1904</v>
      </c>
      <c r="K305" t="s">
        <v>20225</v>
      </c>
      <c r="L305" t="s">
        <v>20226</v>
      </c>
    </row>
    <row r="306" spans="1:12">
      <c r="A306" t="s">
        <v>20228</v>
      </c>
      <c r="B306" s="1" t="s">
        <v>20229</v>
      </c>
      <c r="F306">
        <v>1</v>
      </c>
      <c r="G306" t="str">
        <f>HYPERLINK("http://babel.hathitrust.org/cgi/pt?id=mdp.39015059397904")</f>
        <v>http://babel.hathitrust.org/cgi/pt?id=mdp.39015059397904</v>
      </c>
      <c r="H306" t="str">
        <f t="shared" ref="H306:H313" si="4">HYPERLINK("http://catalog.hathitrust.org/Record/000502291")</f>
        <v>http://catalog.hathitrust.org/Record/000502291</v>
      </c>
      <c r="I306" s="1" t="s">
        <v>20231</v>
      </c>
      <c r="J306" s="1">
        <v>1918</v>
      </c>
      <c r="K306" t="s">
        <v>20230</v>
      </c>
    </row>
    <row r="307" spans="1:12">
      <c r="A307" t="s">
        <v>20232</v>
      </c>
      <c r="B307" s="1" t="s">
        <v>20229</v>
      </c>
      <c r="F307">
        <v>1</v>
      </c>
      <c r="G307" t="str">
        <f>HYPERLINK("http://babel.hathitrust.org/cgi/pt?id=mdp.39015059397912")</f>
        <v>http://babel.hathitrust.org/cgi/pt?id=mdp.39015059397912</v>
      </c>
      <c r="H307" t="str">
        <f t="shared" si="4"/>
        <v>http://catalog.hathitrust.org/Record/000502291</v>
      </c>
      <c r="I307" s="1" t="s">
        <v>20233</v>
      </c>
      <c r="J307" s="1">
        <v>1918</v>
      </c>
      <c r="K307" t="s">
        <v>20230</v>
      </c>
    </row>
    <row r="308" spans="1:12">
      <c r="A308" t="s">
        <v>20234</v>
      </c>
      <c r="B308" s="1" t="s">
        <v>20229</v>
      </c>
      <c r="F308">
        <v>1</v>
      </c>
      <c r="G308" t="str">
        <f>HYPERLINK("http://babel.hathitrust.org/cgi/pt?id=mdp.39015059397920")</f>
        <v>http://babel.hathitrust.org/cgi/pt?id=mdp.39015059397920</v>
      </c>
      <c r="H308" t="str">
        <f t="shared" si="4"/>
        <v>http://catalog.hathitrust.org/Record/000502291</v>
      </c>
      <c r="I308" s="1" t="s">
        <v>20235</v>
      </c>
      <c r="J308" s="1">
        <v>1918</v>
      </c>
      <c r="K308" t="s">
        <v>20230</v>
      </c>
    </row>
    <row r="309" spans="1:12">
      <c r="A309" t="s">
        <v>20236</v>
      </c>
      <c r="B309" s="1" t="s">
        <v>20229</v>
      </c>
      <c r="F309">
        <v>1</v>
      </c>
      <c r="G309" t="str">
        <f>HYPERLINK("http://babel.hathitrust.org/cgi/pt?id=mdp.39015059398332")</f>
        <v>http://babel.hathitrust.org/cgi/pt?id=mdp.39015059398332</v>
      </c>
      <c r="H309" t="str">
        <f t="shared" si="4"/>
        <v>http://catalog.hathitrust.org/Record/000502291</v>
      </c>
      <c r="I309" s="1" t="s">
        <v>20237</v>
      </c>
      <c r="J309" s="1">
        <v>1918</v>
      </c>
      <c r="K309" t="s">
        <v>20230</v>
      </c>
    </row>
    <row r="310" spans="1:12">
      <c r="A310" t="s">
        <v>20238</v>
      </c>
      <c r="B310" s="1" t="s">
        <v>20229</v>
      </c>
      <c r="F310">
        <v>1</v>
      </c>
      <c r="G310" t="str">
        <f>HYPERLINK("http://babel.hathitrust.org/cgi/pt?id=mdp.39015059398340")</f>
        <v>http://babel.hathitrust.org/cgi/pt?id=mdp.39015059398340</v>
      </c>
      <c r="H310" t="str">
        <f t="shared" si="4"/>
        <v>http://catalog.hathitrust.org/Record/000502291</v>
      </c>
      <c r="I310" s="1" t="s">
        <v>20239</v>
      </c>
      <c r="J310" s="1">
        <v>1918</v>
      </c>
      <c r="K310" t="s">
        <v>20230</v>
      </c>
    </row>
    <row r="311" spans="1:12">
      <c r="A311" t="s">
        <v>20240</v>
      </c>
      <c r="B311" s="1" t="s">
        <v>20229</v>
      </c>
      <c r="F311">
        <v>1</v>
      </c>
      <c r="G311" t="str">
        <f>HYPERLINK("http://babel.hathitrust.org/cgi/pt?id=uc1.b2960380")</f>
        <v>http://babel.hathitrust.org/cgi/pt?id=uc1.b2960380</v>
      </c>
      <c r="H311" t="str">
        <f t="shared" si="4"/>
        <v>http://catalog.hathitrust.org/Record/000502291</v>
      </c>
      <c r="I311" s="1" t="s">
        <v>20241</v>
      </c>
      <c r="J311" s="1">
        <v>1918</v>
      </c>
      <c r="K311" t="s">
        <v>20230</v>
      </c>
    </row>
    <row r="312" spans="1:12">
      <c r="A312" t="s">
        <v>20242</v>
      </c>
      <c r="B312" s="1" t="s">
        <v>20229</v>
      </c>
      <c r="F312">
        <v>1</v>
      </c>
      <c r="G312" t="str">
        <f>HYPERLINK("http://babel.hathitrust.org/cgi/pt?id=uc1.b2960383")</f>
        <v>http://babel.hathitrust.org/cgi/pt?id=uc1.b2960383</v>
      </c>
      <c r="H312" t="str">
        <f t="shared" si="4"/>
        <v>http://catalog.hathitrust.org/Record/000502291</v>
      </c>
      <c r="I312" s="1" t="s">
        <v>20243</v>
      </c>
      <c r="J312" s="1">
        <v>1918</v>
      </c>
      <c r="K312" t="s">
        <v>20230</v>
      </c>
    </row>
    <row r="313" spans="1:12">
      <c r="A313" t="s">
        <v>20244</v>
      </c>
      <c r="B313" s="1" t="s">
        <v>20229</v>
      </c>
      <c r="F313">
        <v>1</v>
      </c>
      <c r="G313" t="str">
        <f>HYPERLINK("http://babel.hathitrust.org/cgi/pt?id=uc1.b3437505")</f>
        <v>http://babel.hathitrust.org/cgi/pt?id=uc1.b3437505</v>
      </c>
      <c r="H313" t="str">
        <f t="shared" si="4"/>
        <v>http://catalog.hathitrust.org/Record/000502291</v>
      </c>
      <c r="I313" s="1" t="s">
        <v>20245</v>
      </c>
      <c r="J313" s="1">
        <v>1918</v>
      </c>
      <c r="K313" t="s">
        <v>20230</v>
      </c>
    </row>
    <row r="314" spans="1:12">
      <c r="A314" t="s">
        <v>20246</v>
      </c>
      <c r="B314" s="1" t="s">
        <v>20247</v>
      </c>
      <c r="F314">
        <v>1</v>
      </c>
      <c r="G314" t="str">
        <f>HYPERLINK("http://babel.hathitrust.org/cgi/pt?id=mdp.39015059398308")</f>
        <v>http://babel.hathitrust.org/cgi/pt?id=mdp.39015059398308</v>
      </c>
      <c r="H314" t="str">
        <f>HYPERLINK("http://catalog.hathitrust.org/Record/000502292")</f>
        <v>http://catalog.hathitrust.org/Record/000502292</v>
      </c>
      <c r="I314" s="1" t="s">
        <v>20249</v>
      </c>
      <c r="J314" s="1">
        <v>1915</v>
      </c>
      <c r="K314" t="s">
        <v>20248</v>
      </c>
    </row>
    <row r="315" spans="1:12">
      <c r="A315" t="s">
        <v>20250</v>
      </c>
      <c r="B315" s="1" t="s">
        <v>20247</v>
      </c>
      <c r="F315">
        <v>1</v>
      </c>
      <c r="G315" t="str">
        <f>HYPERLINK("http://babel.hathitrust.org/cgi/pt?id=mdp.39015059398316")</f>
        <v>http://babel.hathitrust.org/cgi/pt?id=mdp.39015059398316</v>
      </c>
      <c r="H315" t="str">
        <f>HYPERLINK("http://catalog.hathitrust.org/Record/000502292")</f>
        <v>http://catalog.hathitrust.org/Record/000502292</v>
      </c>
      <c r="I315" s="1" t="s">
        <v>20251</v>
      </c>
      <c r="J315" s="1">
        <v>1915</v>
      </c>
      <c r="K315" t="s">
        <v>20248</v>
      </c>
    </row>
    <row r="316" spans="1:12">
      <c r="A316" t="s">
        <v>20252</v>
      </c>
      <c r="B316" s="1" t="s">
        <v>20247</v>
      </c>
      <c r="F316">
        <v>1</v>
      </c>
      <c r="G316" t="str">
        <f>HYPERLINK("http://babel.hathitrust.org/cgi/pt?id=mdp.39015059398324")</f>
        <v>http://babel.hathitrust.org/cgi/pt?id=mdp.39015059398324</v>
      </c>
      <c r="H316" t="str">
        <f>HYPERLINK("http://catalog.hathitrust.org/Record/000502292")</f>
        <v>http://catalog.hathitrust.org/Record/000502292</v>
      </c>
      <c r="I316" s="1" t="s">
        <v>20253</v>
      </c>
      <c r="J316" s="1">
        <v>1915</v>
      </c>
      <c r="K316" t="s">
        <v>20248</v>
      </c>
    </row>
    <row r="317" spans="1:12">
      <c r="A317" t="s">
        <v>20254</v>
      </c>
      <c r="B317" s="1" t="s">
        <v>20100</v>
      </c>
      <c r="F317">
        <v>1</v>
      </c>
      <c r="G317" t="str">
        <f>HYPERLINK("http://babel.hathitrust.org/cgi/pt?id=mdp.39015070199933")</f>
        <v>http://babel.hathitrust.org/cgi/pt?id=mdp.39015070199933</v>
      </c>
      <c r="H317" t="str">
        <f>HYPERLINK("http://catalog.hathitrust.org/Record/000521158")</f>
        <v>http://catalog.hathitrust.org/Record/000521158</v>
      </c>
      <c r="I317" s="1" t="s">
        <v>20102</v>
      </c>
      <c r="J317" s="1">
        <v>1911</v>
      </c>
      <c r="K317" t="s">
        <v>20101</v>
      </c>
    </row>
    <row r="318" spans="1:12">
      <c r="A318" t="s">
        <v>20103</v>
      </c>
      <c r="B318" s="1" t="s">
        <v>20100</v>
      </c>
      <c r="F318">
        <v>1</v>
      </c>
      <c r="G318" t="str">
        <f>HYPERLINK("http://babel.hathitrust.org/cgi/pt?id=mdp.39015070200095")</f>
        <v>http://babel.hathitrust.org/cgi/pt?id=mdp.39015070200095</v>
      </c>
      <c r="H318" t="str">
        <f>HYPERLINK("http://catalog.hathitrust.org/Record/000521158")</f>
        <v>http://catalog.hathitrust.org/Record/000521158</v>
      </c>
      <c r="I318" s="1" t="s">
        <v>20104</v>
      </c>
      <c r="J318" s="1">
        <v>1911</v>
      </c>
      <c r="K318" t="s">
        <v>20101</v>
      </c>
    </row>
    <row r="319" spans="1:12">
      <c r="A319" t="s">
        <v>20105</v>
      </c>
      <c r="B319" s="1" t="s">
        <v>20100</v>
      </c>
      <c r="F319">
        <v>1</v>
      </c>
      <c r="G319" t="str">
        <f>HYPERLINK("http://babel.hathitrust.org/cgi/pt?id=njp.32101067483352")</f>
        <v>http://babel.hathitrust.org/cgi/pt?id=njp.32101067483352</v>
      </c>
      <c r="H319" t="str">
        <f>HYPERLINK("http://catalog.hathitrust.org/Record/000521158")</f>
        <v>http://catalog.hathitrust.org/Record/000521158</v>
      </c>
      <c r="I319" s="1" t="s">
        <v>20916</v>
      </c>
      <c r="J319" s="1">
        <v>1911</v>
      </c>
      <c r="K319" t="s">
        <v>20101</v>
      </c>
    </row>
    <row r="320" spans="1:12">
      <c r="A320" t="s">
        <v>20106</v>
      </c>
      <c r="B320" s="1" t="s">
        <v>20100</v>
      </c>
      <c r="F320">
        <v>1</v>
      </c>
      <c r="G320" t="str">
        <f>HYPERLINK("http://babel.hathitrust.org/cgi/pt?id=njp.32101067483360")</f>
        <v>http://babel.hathitrust.org/cgi/pt?id=njp.32101067483360</v>
      </c>
      <c r="H320" t="str">
        <f>HYPERLINK("http://catalog.hathitrust.org/Record/000521158")</f>
        <v>http://catalog.hathitrust.org/Record/000521158</v>
      </c>
      <c r="I320" s="1" t="s">
        <v>20755</v>
      </c>
      <c r="J320" s="1">
        <v>1911</v>
      </c>
      <c r="K320" t="s">
        <v>20101</v>
      </c>
    </row>
    <row r="321" spans="1:11">
      <c r="A321" t="s">
        <v>20107</v>
      </c>
      <c r="B321" s="1" t="s">
        <v>20100</v>
      </c>
      <c r="F321">
        <v>1</v>
      </c>
      <c r="G321" t="str">
        <f>HYPERLINK("http://babel.hathitrust.org/cgi/pt?id=njp.32101067483378")</f>
        <v>http://babel.hathitrust.org/cgi/pt?id=njp.32101067483378</v>
      </c>
      <c r="H321" t="str">
        <f>HYPERLINK("http://catalog.hathitrust.org/Record/000521158")</f>
        <v>http://catalog.hathitrust.org/Record/000521158</v>
      </c>
      <c r="I321" s="1" t="s">
        <v>20108</v>
      </c>
      <c r="J321" s="1">
        <v>1911</v>
      </c>
      <c r="K321" t="s">
        <v>20101</v>
      </c>
    </row>
    <row r="322" spans="1:11">
      <c r="A322" t="s">
        <v>20109</v>
      </c>
      <c r="B322" s="1" t="s">
        <v>20110</v>
      </c>
      <c r="F322">
        <v>1</v>
      </c>
      <c r="G322" t="str">
        <f>HYPERLINK("http://babel.hathitrust.org/cgi/pt?id=hvd.ah6mxx")</f>
        <v>http://babel.hathitrust.org/cgi/pt?id=hvd.ah6mxx</v>
      </c>
      <c r="H322" t="str">
        <f t="shared" ref="H322:H344" si="5">HYPERLINK("http://catalog.hathitrust.org/Record/000531479")</f>
        <v>http://catalog.hathitrust.org/Record/000531479</v>
      </c>
      <c r="I322" s="1" t="s">
        <v>20112</v>
      </c>
      <c r="J322" s="1">
        <v>1861</v>
      </c>
      <c r="K322" t="s">
        <v>20111</v>
      </c>
    </row>
    <row r="323" spans="1:11">
      <c r="A323" t="s">
        <v>20113</v>
      </c>
      <c r="B323" s="1" t="s">
        <v>20110</v>
      </c>
      <c r="F323">
        <v>1</v>
      </c>
      <c r="G323" t="str">
        <f>HYPERLINK("http://babel.hathitrust.org/cgi/pt?id=hvd.ah6mxy")</f>
        <v>http://babel.hathitrust.org/cgi/pt?id=hvd.ah6mxy</v>
      </c>
      <c r="H323" t="str">
        <f t="shared" si="5"/>
        <v>http://catalog.hathitrust.org/Record/000531479</v>
      </c>
      <c r="I323" s="1" t="s">
        <v>20114</v>
      </c>
      <c r="J323" s="1">
        <v>1861</v>
      </c>
      <c r="K323" t="s">
        <v>20111</v>
      </c>
    </row>
    <row r="324" spans="1:11">
      <c r="A324" t="s">
        <v>20115</v>
      </c>
      <c r="B324" s="1" t="s">
        <v>20110</v>
      </c>
      <c r="F324">
        <v>1</v>
      </c>
      <c r="G324" t="str">
        <f>HYPERLINK("http://babel.hathitrust.org/cgi/pt?id=hvd.ah6mxz")</f>
        <v>http://babel.hathitrust.org/cgi/pt?id=hvd.ah6mxz</v>
      </c>
      <c r="H324" t="str">
        <f t="shared" si="5"/>
        <v>http://catalog.hathitrust.org/Record/000531479</v>
      </c>
      <c r="I324" s="1" t="s">
        <v>20116</v>
      </c>
      <c r="J324" s="1">
        <v>1861</v>
      </c>
      <c r="K324" t="s">
        <v>20111</v>
      </c>
    </row>
    <row r="325" spans="1:11">
      <c r="A325" t="s">
        <v>20117</v>
      </c>
      <c r="B325" s="1" t="s">
        <v>20110</v>
      </c>
      <c r="F325">
        <v>1</v>
      </c>
      <c r="G325" t="str">
        <f>HYPERLINK("http://babel.hathitrust.org/cgi/pt?id=hvd.ah6my1")</f>
        <v>http://babel.hathitrust.org/cgi/pt?id=hvd.ah6my1</v>
      </c>
      <c r="H325" t="str">
        <f t="shared" si="5"/>
        <v>http://catalog.hathitrust.org/Record/000531479</v>
      </c>
      <c r="I325" s="1" t="s">
        <v>20118</v>
      </c>
      <c r="J325" s="1">
        <v>1861</v>
      </c>
      <c r="K325" t="s">
        <v>20111</v>
      </c>
    </row>
    <row r="326" spans="1:11">
      <c r="A326" t="s">
        <v>20119</v>
      </c>
      <c r="B326" s="1" t="s">
        <v>20110</v>
      </c>
      <c r="F326">
        <v>1</v>
      </c>
      <c r="G326" t="str">
        <f>HYPERLINK("http://babel.hathitrust.org/cgi/pt?id=hvd.ah6my2")</f>
        <v>http://babel.hathitrust.org/cgi/pt?id=hvd.ah6my2</v>
      </c>
      <c r="H326" t="str">
        <f t="shared" si="5"/>
        <v>http://catalog.hathitrust.org/Record/000531479</v>
      </c>
      <c r="I326" s="1" t="s">
        <v>20120</v>
      </c>
      <c r="J326" s="1">
        <v>1861</v>
      </c>
      <c r="K326" t="s">
        <v>20111</v>
      </c>
    </row>
    <row r="327" spans="1:11">
      <c r="A327" t="s">
        <v>20121</v>
      </c>
      <c r="B327" s="1" t="s">
        <v>20110</v>
      </c>
      <c r="F327">
        <v>1</v>
      </c>
      <c r="G327" t="str">
        <f>HYPERLINK("http://babel.hathitrust.org/cgi/pt?id=hvd.hnssji")</f>
        <v>http://babel.hathitrust.org/cgi/pt?id=hvd.hnssji</v>
      </c>
      <c r="H327" t="str">
        <f t="shared" si="5"/>
        <v>http://catalog.hathitrust.org/Record/000531479</v>
      </c>
      <c r="I327" s="1" t="s">
        <v>20120</v>
      </c>
      <c r="J327" s="1">
        <v>1861</v>
      </c>
      <c r="K327" t="s">
        <v>20111</v>
      </c>
    </row>
    <row r="328" spans="1:11">
      <c r="A328" t="s">
        <v>20122</v>
      </c>
      <c r="B328" s="1" t="s">
        <v>20110</v>
      </c>
      <c r="F328">
        <v>1</v>
      </c>
      <c r="G328" t="str">
        <f>HYPERLINK("http://babel.hathitrust.org/cgi/pt?id=hvd.hnssjq")</f>
        <v>http://babel.hathitrust.org/cgi/pt?id=hvd.hnssjq</v>
      </c>
      <c r="H328" t="str">
        <f t="shared" si="5"/>
        <v>http://catalog.hathitrust.org/Record/000531479</v>
      </c>
      <c r="I328" s="1" t="s">
        <v>20116</v>
      </c>
      <c r="J328" s="1">
        <v>1861</v>
      </c>
      <c r="K328" t="s">
        <v>20111</v>
      </c>
    </row>
    <row r="329" spans="1:11">
      <c r="A329" t="s">
        <v>20123</v>
      </c>
      <c r="B329" s="1" t="s">
        <v>20110</v>
      </c>
      <c r="F329">
        <v>1</v>
      </c>
      <c r="G329" t="str">
        <f>HYPERLINK("http://babel.hathitrust.org/cgi/pt?id=mdp.39015006951084")</f>
        <v>http://babel.hathitrust.org/cgi/pt?id=mdp.39015006951084</v>
      </c>
      <c r="H329" t="str">
        <f t="shared" si="5"/>
        <v>http://catalog.hathitrust.org/Record/000531479</v>
      </c>
      <c r="I329" s="1" t="s">
        <v>20124</v>
      </c>
      <c r="J329" s="1">
        <v>1861</v>
      </c>
      <c r="K329" t="s">
        <v>20111</v>
      </c>
    </row>
    <row r="330" spans="1:11">
      <c r="A330" t="s">
        <v>20125</v>
      </c>
      <c r="B330" s="1" t="s">
        <v>20110</v>
      </c>
      <c r="F330">
        <v>1</v>
      </c>
      <c r="G330" t="str">
        <f>HYPERLINK("http://babel.hathitrust.org/cgi/pt?id=mdp.39015006951092")</f>
        <v>http://babel.hathitrust.org/cgi/pt?id=mdp.39015006951092</v>
      </c>
      <c r="H330" t="str">
        <f t="shared" si="5"/>
        <v>http://catalog.hathitrust.org/Record/000531479</v>
      </c>
      <c r="I330" s="1" t="s">
        <v>20126</v>
      </c>
      <c r="J330" s="1">
        <v>1861</v>
      </c>
      <c r="K330" t="s">
        <v>20111</v>
      </c>
    </row>
    <row r="331" spans="1:11">
      <c r="A331" t="s">
        <v>20127</v>
      </c>
      <c r="B331" s="1" t="s">
        <v>20110</v>
      </c>
      <c r="F331">
        <v>1</v>
      </c>
      <c r="G331" t="str">
        <f>HYPERLINK("http://babel.hathitrust.org/cgi/pt?id=mdp.39015006993615")</f>
        <v>http://babel.hathitrust.org/cgi/pt?id=mdp.39015006993615</v>
      </c>
      <c r="H331" t="str">
        <f t="shared" si="5"/>
        <v>http://catalog.hathitrust.org/Record/000531479</v>
      </c>
      <c r="I331" s="1" t="s">
        <v>20128</v>
      </c>
      <c r="J331" s="1">
        <v>1861</v>
      </c>
      <c r="K331" t="s">
        <v>20111</v>
      </c>
    </row>
    <row r="332" spans="1:11">
      <c r="A332" t="s">
        <v>20129</v>
      </c>
      <c r="B332" s="1" t="s">
        <v>20110</v>
      </c>
      <c r="F332">
        <v>1</v>
      </c>
      <c r="G332" t="str">
        <f>HYPERLINK("http://babel.hathitrust.org/cgi/pt?id=mdp.39015008270319")</f>
        <v>http://babel.hathitrust.org/cgi/pt?id=mdp.39015008270319</v>
      </c>
      <c r="H332" t="str">
        <f t="shared" si="5"/>
        <v>http://catalog.hathitrust.org/Record/000531479</v>
      </c>
      <c r="I332" s="1" t="s">
        <v>20130</v>
      </c>
      <c r="J332" s="1">
        <v>1861</v>
      </c>
      <c r="K332" t="s">
        <v>20111</v>
      </c>
    </row>
    <row r="333" spans="1:11">
      <c r="A333" t="s">
        <v>20131</v>
      </c>
      <c r="B333" s="1" t="s">
        <v>20110</v>
      </c>
      <c r="F333">
        <v>1</v>
      </c>
      <c r="G333" t="str">
        <f>HYPERLINK("http://babel.hathitrust.org/cgi/pt?id=mdp.39015009236038")</f>
        <v>http://babel.hathitrust.org/cgi/pt?id=mdp.39015009236038</v>
      </c>
      <c r="H333" t="str">
        <f t="shared" si="5"/>
        <v>http://catalog.hathitrust.org/Record/000531479</v>
      </c>
      <c r="I333" s="1" t="s">
        <v>20132</v>
      </c>
      <c r="J333" s="1">
        <v>1861</v>
      </c>
      <c r="K333" t="s">
        <v>20111</v>
      </c>
    </row>
    <row r="334" spans="1:11">
      <c r="A334" t="s">
        <v>20133</v>
      </c>
      <c r="B334" s="1" t="s">
        <v>20110</v>
      </c>
      <c r="F334">
        <v>1</v>
      </c>
      <c r="G334" t="str">
        <f>HYPERLINK("http://babel.hathitrust.org/cgi/pt?id=mdp.39015030530821")</f>
        <v>http://babel.hathitrust.org/cgi/pt?id=mdp.39015030530821</v>
      </c>
      <c r="H334" t="str">
        <f t="shared" si="5"/>
        <v>http://catalog.hathitrust.org/Record/000531479</v>
      </c>
      <c r="I334" s="1" t="s">
        <v>20134</v>
      </c>
      <c r="J334" s="1">
        <v>1861</v>
      </c>
      <c r="K334" t="s">
        <v>20111</v>
      </c>
    </row>
    <row r="335" spans="1:11">
      <c r="A335" t="s">
        <v>20135</v>
      </c>
      <c r="B335" s="1" t="s">
        <v>20110</v>
      </c>
      <c r="F335">
        <v>1</v>
      </c>
      <c r="G335" t="str">
        <f>HYPERLINK("http://babel.hathitrust.org/cgi/pt?id=mdp.39015039303873")</f>
        <v>http://babel.hathitrust.org/cgi/pt?id=mdp.39015039303873</v>
      </c>
      <c r="H335" t="str">
        <f t="shared" si="5"/>
        <v>http://catalog.hathitrust.org/Record/000531479</v>
      </c>
      <c r="I335" s="1" t="s">
        <v>20136</v>
      </c>
      <c r="J335" s="1">
        <v>1861</v>
      </c>
      <c r="K335" t="s">
        <v>20111</v>
      </c>
    </row>
    <row r="336" spans="1:11">
      <c r="A336" t="s">
        <v>20137</v>
      </c>
      <c r="B336" s="1" t="s">
        <v>20110</v>
      </c>
      <c r="F336">
        <v>1</v>
      </c>
      <c r="G336" t="str">
        <f>HYPERLINK("http://babel.hathitrust.org/cgi/pt?id=mdp.39015039785772")</f>
        <v>http://babel.hathitrust.org/cgi/pt?id=mdp.39015039785772</v>
      </c>
      <c r="H336" t="str">
        <f t="shared" si="5"/>
        <v>http://catalog.hathitrust.org/Record/000531479</v>
      </c>
      <c r="I336" s="1" t="s">
        <v>20138</v>
      </c>
      <c r="J336" s="1">
        <v>1861</v>
      </c>
      <c r="K336" t="s">
        <v>20111</v>
      </c>
    </row>
    <row r="337" spans="1:12">
      <c r="A337" t="s">
        <v>20139</v>
      </c>
      <c r="B337" s="1" t="s">
        <v>20110</v>
      </c>
      <c r="F337">
        <v>1</v>
      </c>
      <c r="G337" t="str">
        <f>HYPERLINK("http://babel.hathitrust.org/cgi/pt?id=mdp.39015039785780")</f>
        <v>http://babel.hathitrust.org/cgi/pt?id=mdp.39015039785780</v>
      </c>
      <c r="H337" t="str">
        <f t="shared" si="5"/>
        <v>http://catalog.hathitrust.org/Record/000531479</v>
      </c>
      <c r="I337" s="1" t="s">
        <v>20140</v>
      </c>
      <c r="J337" s="1">
        <v>1861</v>
      </c>
      <c r="K337" t="s">
        <v>20111</v>
      </c>
    </row>
    <row r="338" spans="1:12">
      <c r="A338" t="s">
        <v>20141</v>
      </c>
      <c r="B338" s="1" t="s">
        <v>20110</v>
      </c>
      <c r="F338">
        <v>1</v>
      </c>
      <c r="G338" t="str">
        <f>HYPERLINK("http://babel.hathitrust.org/cgi/pt?id=mdp.39015067955503")</f>
        <v>http://babel.hathitrust.org/cgi/pt?id=mdp.39015067955503</v>
      </c>
      <c r="H338" t="str">
        <f t="shared" si="5"/>
        <v>http://catalog.hathitrust.org/Record/000531479</v>
      </c>
      <c r="I338" s="1" t="s">
        <v>20142</v>
      </c>
      <c r="J338" s="1">
        <v>1861</v>
      </c>
      <c r="K338" t="s">
        <v>20111</v>
      </c>
    </row>
    <row r="339" spans="1:12">
      <c r="A339" t="s">
        <v>20143</v>
      </c>
      <c r="B339" s="1" t="s">
        <v>20110</v>
      </c>
      <c r="F339">
        <v>1</v>
      </c>
      <c r="G339" t="str">
        <f>HYPERLINK("http://babel.hathitrust.org/cgi/pt?id=mdp.39015067955511")</f>
        <v>http://babel.hathitrust.org/cgi/pt?id=mdp.39015067955511</v>
      </c>
      <c r="H339" t="str">
        <f t="shared" si="5"/>
        <v>http://catalog.hathitrust.org/Record/000531479</v>
      </c>
      <c r="I339" s="1" t="s">
        <v>20144</v>
      </c>
      <c r="J339" s="1">
        <v>1861</v>
      </c>
      <c r="K339" t="s">
        <v>20111</v>
      </c>
    </row>
    <row r="340" spans="1:12">
      <c r="A340" t="s">
        <v>20145</v>
      </c>
      <c r="B340" s="1" t="s">
        <v>20110</v>
      </c>
      <c r="F340">
        <v>1</v>
      </c>
      <c r="G340" t="str">
        <f>HYPERLINK("http://babel.hathitrust.org/cgi/pt?id=nyp.33433069134041")</f>
        <v>http://babel.hathitrust.org/cgi/pt?id=nyp.33433069134041</v>
      </c>
      <c r="H340" t="str">
        <f t="shared" si="5"/>
        <v>http://catalog.hathitrust.org/Record/000531479</v>
      </c>
      <c r="I340" s="1" t="s">
        <v>20146</v>
      </c>
      <c r="J340" s="1">
        <v>1861</v>
      </c>
      <c r="K340" t="s">
        <v>20111</v>
      </c>
    </row>
    <row r="341" spans="1:12">
      <c r="A341" t="s">
        <v>20147</v>
      </c>
      <c r="B341" s="1" t="s">
        <v>20110</v>
      </c>
      <c r="F341">
        <v>1</v>
      </c>
      <c r="G341" t="str">
        <f>HYPERLINK("http://babel.hathitrust.org/cgi/pt?id=nyp.33433069134058")</f>
        <v>http://babel.hathitrust.org/cgi/pt?id=nyp.33433069134058</v>
      </c>
      <c r="H341" t="str">
        <f t="shared" si="5"/>
        <v>http://catalog.hathitrust.org/Record/000531479</v>
      </c>
      <c r="I341" s="1" t="s">
        <v>20148</v>
      </c>
      <c r="J341" s="1">
        <v>1861</v>
      </c>
      <c r="K341" t="s">
        <v>20111</v>
      </c>
    </row>
    <row r="342" spans="1:12">
      <c r="A342" t="s">
        <v>20149</v>
      </c>
      <c r="B342" s="1" t="s">
        <v>20110</v>
      </c>
      <c r="F342">
        <v>1</v>
      </c>
      <c r="G342" t="str">
        <f>HYPERLINK("http://babel.hathitrust.org/cgi/pt?id=nyp.33433069134066")</f>
        <v>http://babel.hathitrust.org/cgi/pt?id=nyp.33433069134066</v>
      </c>
      <c r="H342" t="str">
        <f t="shared" si="5"/>
        <v>http://catalog.hathitrust.org/Record/000531479</v>
      </c>
      <c r="I342" s="1" t="s">
        <v>20150</v>
      </c>
      <c r="J342" s="1">
        <v>1861</v>
      </c>
      <c r="K342" t="s">
        <v>20111</v>
      </c>
    </row>
    <row r="343" spans="1:12">
      <c r="A343" t="s">
        <v>20151</v>
      </c>
      <c r="B343" s="1" t="s">
        <v>20110</v>
      </c>
      <c r="F343">
        <v>1</v>
      </c>
      <c r="G343" t="str">
        <f>HYPERLINK("http://babel.hathitrust.org/cgi/pt?id=nyp.33433069134074")</f>
        <v>http://babel.hathitrust.org/cgi/pt?id=nyp.33433069134074</v>
      </c>
      <c r="H343" t="str">
        <f t="shared" si="5"/>
        <v>http://catalog.hathitrust.org/Record/000531479</v>
      </c>
      <c r="I343" s="1" t="s">
        <v>20152</v>
      </c>
      <c r="J343" s="1">
        <v>1861</v>
      </c>
      <c r="K343" t="s">
        <v>20111</v>
      </c>
    </row>
    <row r="344" spans="1:12">
      <c r="A344" t="s">
        <v>20153</v>
      </c>
      <c r="B344" s="1" t="s">
        <v>20110</v>
      </c>
      <c r="F344">
        <v>1</v>
      </c>
      <c r="G344" t="str">
        <f>HYPERLINK("http://babel.hathitrust.org/cgi/pt?id=nyp.33433069134082")</f>
        <v>http://babel.hathitrust.org/cgi/pt?id=nyp.33433069134082</v>
      </c>
      <c r="H344" t="str">
        <f t="shared" si="5"/>
        <v>http://catalog.hathitrust.org/Record/000531479</v>
      </c>
      <c r="I344" s="1" t="s">
        <v>20154</v>
      </c>
      <c r="J344" s="1">
        <v>1861</v>
      </c>
      <c r="K344" t="s">
        <v>20111</v>
      </c>
    </row>
    <row r="345" spans="1:12">
      <c r="A345" t="s">
        <v>20155</v>
      </c>
      <c r="B345" s="1" t="s">
        <v>20156</v>
      </c>
      <c r="F345">
        <v>1</v>
      </c>
      <c r="G345" t="str">
        <f>HYPERLINK("http://babel.hathitrust.org/cgi/pt?id=mdp.39015066594048")</f>
        <v>http://babel.hathitrust.org/cgi/pt?id=mdp.39015066594048</v>
      </c>
      <c r="H345" t="str">
        <f>HYPERLINK("http://catalog.hathitrust.org/Record/000534532")</f>
        <v>http://catalog.hathitrust.org/Record/000534532</v>
      </c>
      <c r="I345" s="1" t="s">
        <v>20158</v>
      </c>
      <c r="J345" s="1">
        <v>1920</v>
      </c>
      <c r="K345" t="s">
        <v>20157</v>
      </c>
    </row>
    <row r="346" spans="1:12">
      <c r="A346" t="s">
        <v>20159</v>
      </c>
      <c r="B346" s="1" t="s">
        <v>20156</v>
      </c>
      <c r="F346">
        <v>1</v>
      </c>
      <c r="G346" t="str">
        <f>HYPERLINK("http://babel.hathitrust.org/cgi/pt?id=uc1.$b419247")</f>
        <v>http://babel.hathitrust.org/cgi/pt?id=uc1.$b419247</v>
      </c>
      <c r="H346" t="str">
        <f>HYPERLINK("http://catalog.hathitrust.org/Record/000534532")</f>
        <v>http://catalog.hathitrust.org/Record/000534532</v>
      </c>
      <c r="I346" s="1">
        <v>1920</v>
      </c>
      <c r="J346" s="1">
        <v>1920</v>
      </c>
      <c r="K346" t="s">
        <v>20157</v>
      </c>
    </row>
    <row r="347" spans="1:12">
      <c r="A347" t="s">
        <v>20160</v>
      </c>
      <c r="B347" s="1" t="s">
        <v>20156</v>
      </c>
      <c r="F347">
        <v>1</v>
      </c>
      <c r="G347" t="str">
        <f>HYPERLINK("http://babel.hathitrust.org/cgi/pt?id=uc1.$b419248")</f>
        <v>http://babel.hathitrust.org/cgi/pt?id=uc1.$b419248</v>
      </c>
      <c r="H347" t="str">
        <f>HYPERLINK("http://catalog.hathitrust.org/Record/000534532")</f>
        <v>http://catalog.hathitrust.org/Record/000534532</v>
      </c>
      <c r="I347" s="1">
        <v>1921</v>
      </c>
      <c r="J347" s="1">
        <v>1920</v>
      </c>
      <c r="K347" t="s">
        <v>20157</v>
      </c>
    </row>
    <row r="348" spans="1:12">
      <c r="A348" t="s">
        <v>20161</v>
      </c>
      <c r="B348" s="1" t="s">
        <v>20162</v>
      </c>
      <c r="F348">
        <v>1</v>
      </c>
      <c r="G348" t="str">
        <f>HYPERLINK("http://babel.hathitrust.org/cgi/pt?id=mdp.39015070461820")</f>
        <v>http://babel.hathitrust.org/cgi/pt?id=mdp.39015070461820</v>
      </c>
      <c r="H348" t="str">
        <f>HYPERLINK("http://catalog.hathitrust.org/Record/000535541")</f>
        <v>http://catalog.hathitrust.org/Record/000535541</v>
      </c>
      <c r="I348" s="1">
        <v>1880</v>
      </c>
      <c r="J348" s="1">
        <v>1879</v>
      </c>
      <c r="K348" t="s">
        <v>20163</v>
      </c>
    </row>
    <row r="349" spans="1:12">
      <c r="A349" t="s">
        <v>20164</v>
      </c>
      <c r="B349" s="1" t="s">
        <v>20162</v>
      </c>
      <c r="F349">
        <v>1</v>
      </c>
      <c r="G349" t="str">
        <f>HYPERLINK("http://babel.hathitrust.org/cgi/pt?id=mdp.39015070461838")</f>
        <v>http://babel.hathitrust.org/cgi/pt?id=mdp.39015070461838</v>
      </c>
      <c r="H349" t="str">
        <f>HYPERLINK("http://catalog.hathitrust.org/Record/000535541")</f>
        <v>http://catalog.hathitrust.org/Record/000535541</v>
      </c>
      <c r="I349" s="1" t="s">
        <v>20679</v>
      </c>
      <c r="J349" s="1">
        <v>1879</v>
      </c>
      <c r="K349" t="s">
        <v>20163</v>
      </c>
    </row>
    <row r="350" spans="1:12">
      <c r="A350" t="s">
        <v>20165</v>
      </c>
      <c r="B350" s="1" t="s">
        <v>20166</v>
      </c>
      <c r="F350">
        <v>1</v>
      </c>
      <c r="G350" t="str">
        <f>HYPERLINK("http://babel.hathitrust.org/cgi/pt?id=mdp.39015000631187")</f>
        <v>http://babel.hathitrust.org/cgi/pt?id=mdp.39015000631187</v>
      </c>
      <c r="H350" t="str">
        <f>HYPERLINK("http://catalog.hathitrust.org/Record/000537573")</f>
        <v>http://catalog.hathitrust.org/Record/000537573</v>
      </c>
      <c r="J350" s="1">
        <v>1887</v>
      </c>
      <c r="K350" t="s">
        <v>20167</v>
      </c>
      <c r="L350" t="s">
        <v>20168</v>
      </c>
    </row>
    <row r="351" spans="1:12">
      <c r="A351" t="s">
        <v>20169</v>
      </c>
      <c r="B351" s="1" t="s">
        <v>20166</v>
      </c>
      <c r="F351">
        <v>1</v>
      </c>
      <c r="G351" t="str">
        <f>HYPERLINK("http://babel.hathitrust.org/cgi/pt?id=uc1.b261609")</f>
        <v>http://babel.hathitrust.org/cgi/pt?id=uc1.b261609</v>
      </c>
      <c r="H351" t="str">
        <f>HYPERLINK("http://catalog.hathitrust.org/Record/000537573")</f>
        <v>http://catalog.hathitrust.org/Record/000537573</v>
      </c>
      <c r="J351" s="1">
        <v>1887</v>
      </c>
      <c r="K351" t="s">
        <v>20167</v>
      </c>
      <c r="L351" t="s">
        <v>20168</v>
      </c>
    </row>
    <row r="352" spans="1:12">
      <c r="A352" t="s">
        <v>20170</v>
      </c>
      <c r="B352" s="1" t="s">
        <v>20166</v>
      </c>
      <c r="F352">
        <v>1</v>
      </c>
      <c r="G352" t="str">
        <f>HYPERLINK("http://babel.hathitrust.org/cgi/pt?id=uc2.ark:/13960/t0dv1g66w")</f>
        <v>http://babel.hathitrust.org/cgi/pt?id=uc2.ark:/13960/t0dv1g66w</v>
      </c>
      <c r="H352" t="str">
        <f>HYPERLINK("http://catalog.hathitrust.org/Record/000537573")</f>
        <v>http://catalog.hathitrust.org/Record/000537573</v>
      </c>
      <c r="J352" s="1">
        <v>1887</v>
      </c>
      <c r="K352" t="s">
        <v>20167</v>
      </c>
      <c r="L352" t="s">
        <v>20168</v>
      </c>
    </row>
    <row r="353" spans="1:12">
      <c r="A353" t="s">
        <v>20171</v>
      </c>
      <c r="B353" s="1" t="s">
        <v>20172</v>
      </c>
      <c r="D353">
        <v>1</v>
      </c>
      <c r="G353" t="str">
        <f>HYPERLINK("http://babel.hathitrust.org/cgi/pt?id=mdp.39015003348201")</f>
        <v>http://babel.hathitrust.org/cgi/pt?id=mdp.39015003348201</v>
      </c>
      <c r="H353" t="str">
        <f>HYPERLINK("http://catalog.hathitrust.org/Record/000557743")</f>
        <v>http://catalog.hathitrust.org/Record/000557743</v>
      </c>
      <c r="I353" s="1" t="s">
        <v>20755</v>
      </c>
      <c r="J353" s="1">
        <v>1800</v>
      </c>
      <c r="K353" t="s">
        <v>20173</v>
      </c>
      <c r="L353" t="s">
        <v>20387</v>
      </c>
    </row>
    <row r="354" spans="1:12">
      <c r="A354" t="s">
        <v>20174</v>
      </c>
      <c r="B354" s="1" t="s">
        <v>20175</v>
      </c>
      <c r="E354">
        <v>1</v>
      </c>
      <c r="G354" t="str">
        <f>HYPERLINK("http://babel.hathitrust.org/cgi/pt?id=miun.acj8800.0001.001")</f>
        <v>http://babel.hathitrust.org/cgi/pt?id=miun.acj8800.0001.001</v>
      </c>
      <c r="H354" t="str">
        <f>HYPERLINK("http://catalog.hathitrust.org/Record/000557772")</f>
        <v>http://catalog.hathitrust.org/Record/000557772</v>
      </c>
      <c r="J354" s="1">
        <v>1883</v>
      </c>
      <c r="K354" t="s">
        <v>20176</v>
      </c>
      <c r="L354" t="s">
        <v>20387</v>
      </c>
    </row>
    <row r="355" spans="1:12">
      <c r="A355" t="s">
        <v>20177</v>
      </c>
      <c r="B355" s="1" t="s">
        <v>20178</v>
      </c>
      <c r="D355">
        <v>1</v>
      </c>
      <c r="G355" t="str">
        <f>HYPERLINK("http://babel.hathitrust.org/cgi/pt?id=mdp.39015058690267")</f>
        <v>http://babel.hathitrust.org/cgi/pt?id=mdp.39015058690267</v>
      </c>
      <c r="H355" t="str">
        <f>HYPERLINK("http://catalog.hathitrust.org/Record/000558584")</f>
        <v>http://catalog.hathitrust.org/Record/000558584</v>
      </c>
      <c r="J355" s="1">
        <v>1831</v>
      </c>
      <c r="K355" t="s">
        <v>20042</v>
      </c>
      <c r="L355" t="s">
        <v>20043</v>
      </c>
    </row>
    <row r="356" spans="1:12">
      <c r="A356" t="s">
        <v>20044</v>
      </c>
      <c r="B356" s="1" t="s">
        <v>20045</v>
      </c>
      <c r="F356">
        <v>1</v>
      </c>
      <c r="G356" t="str">
        <f>HYPERLINK("http://babel.hathitrust.org/cgi/pt?id=mdp.39015053659366")</f>
        <v>http://babel.hathitrust.org/cgi/pt?id=mdp.39015053659366</v>
      </c>
      <c r="H356" t="str">
        <f>HYPERLINK("http://catalog.hathitrust.org/Record/000559006")</f>
        <v>http://catalog.hathitrust.org/Record/000559006</v>
      </c>
      <c r="J356" s="1">
        <v>1908</v>
      </c>
      <c r="K356" t="s">
        <v>20046</v>
      </c>
      <c r="L356" t="s">
        <v>20047</v>
      </c>
    </row>
    <row r="357" spans="1:12">
      <c r="A357" t="s">
        <v>20048</v>
      </c>
      <c r="B357" s="1" t="s">
        <v>20049</v>
      </c>
      <c r="E357">
        <v>1</v>
      </c>
      <c r="F357">
        <v>1</v>
      </c>
      <c r="G357" t="str">
        <f>HYPERLINK("http://babel.hathitrust.org/cgi/pt?id=mdp.39015030315637")</f>
        <v>http://babel.hathitrust.org/cgi/pt?id=mdp.39015030315637</v>
      </c>
      <c r="H357" t="str">
        <f>HYPERLINK("http://catalog.hathitrust.org/Record/000559899")</f>
        <v>http://catalog.hathitrust.org/Record/000559899</v>
      </c>
      <c r="J357" s="1">
        <v>1902</v>
      </c>
      <c r="K357" t="s">
        <v>20050</v>
      </c>
      <c r="L357" t="s">
        <v>20051</v>
      </c>
    </row>
    <row r="358" spans="1:12">
      <c r="A358" t="s">
        <v>20052</v>
      </c>
      <c r="B358" s="1" t="s">
        <v>20049</v>
      </c>
      <c r="F358">
        <v>1</v>
      </c>
      <c r="G358" t="str">
        <f>HYPERLINK("http://babel.hathitrust.org/cgi/pt?id=uc1.b3514886")</f>
        <v>http://babel.hathitrust.org/cgi/pt?id=uc1.b3514886</v>
      </c>
      <c r="H358" t="str">
        <f>HYPERLINK("http://catalog.hathitrust.org/Record/000559899")</f>
        <v>http://catalog.hathitrust.org/Record/000559899</v>
      </c>
      <c r="J358" s="1">
        <v>1902</v>
      </c>
      <c r="K358" t="s">
        <v>20050</v>
      </c>
      <c r="L358" t="s">
        <v>20051</v>
      </c>
    </row>
    <row r="359" spans="1:12">
      <c r="A359" t="s">
        <v>20053</v>
      </c>
      <c r="B359" s="1" t="s">
        <v>20049</v>
      </c>
      <c r="F359">
        <v>1</v>
      </c>
      <c r="G359" t="str">
        <f>HYPERLINK("http://babel.hathitrust.org/cgi/pt?id=uc2.ark:/13960/t17m0cx60")</f>
        <v>http://babel.hathitrust.org/cgi/pt?id=uc2.ark:/13960/t17m0cx60</v>
      </c>
      <c r="H359" t="str">
        <f>HYPERLINK("http://catalog.hathitrust.org/Record/000559899")</f>
        <v>http://catalog.hathitrust.org/Record/000559899</v>
      </c>
      <c r="J359" s="1">
        <v>1902</v>
      </c>
      <c r="K359" t="s">
        <v>20050</v>
      </c>
      <c r="L359" t="s">
        <v>20051</v>
      </c>
    </row>
    <row r="360" spans="1:12">
      <c r="A360" t="s">
        <v>20054</v>
      </c>
      <c r="B360" s="1" t="s">
        <v>20055</v>
      </c>
      <c r="F360">
        <v>1</v>
      </c>
      <c r="G360" t="str">
        <f>HYPERLINK("http://babel.hathitrust.org/cgi/pt?id=mdp.39015065726914")</f>
        <v>http://babel.hathitrust.org/cgi/pt?id=mdp.39015065726914</v>
      </c>
      <c r="H360" t="str">
        <f>HYPERLINK("http://catalog.hathitrust.org/Record/000560674")</f>
        <v>http://catalog.hathitrust.org/Record/000560674</v>
      </c>
      <c r="J360" s="1">
        <v>1894</v>
      </c>
      <c r="K360" t="s">
        <v>20056</v>
      </c>
      <c r="L360" t="s">
        <v>20057</v>
      </c>
    </row>
    <row r="361" spans="1:12">
      <c r="A361" t="s">
        <v>20058</v>
      </c>
      <c r="B361" s="1" t="s">
        <v>20059</v>
      </c>
      <c r="D361">
        <v>1</v>
      </c>
      <c r="G361" t="str">
        <f>HYPERLINK("http://babel.hathitrust.org/cgi/pt?id=mdp.39015030850765")</f>
        <v>http://babel.hathitrust.org/cgi/pt?id=mdp.39015030850765</v>
      </c>
      <c r="H361" t="str">
        <f>HYPERLINK("http://catalog.hathitrust.org/Record/000582429")</f>
        <v>http://catalog.hathitrust.org/Record/000582429</v>
      </c>
      <c r="J361" s="1">
        <v>1914</v>
      </c>
      <c r="K361" t="s">
        <v>20060</v>
      </c>
      <c r="L361" t="s">
        <v>20061</v>
      </c>
    </row>
    <row r="362" spans="1:12">
      <c r="A362" t="s">
        <v>20062</v>
      </c>
      <c r="B362" s="1" t="s">
        <v>20063</v>
      </c>
      <c r="F362">
        <v>1</v>
      </c>
      <c r="G362" t="str">
        <f>HYPERLINK("http://babel.hathitrust.org/cgi/pt?id=hvd.hwilqm")</f>
        <v>http://babel.hathitrust.org/cgi/pt?id=hvd.hwilqm</v>
      </c>
      <c r="H362" t="str">
        <f>HYPERLINK("http://catalog.hathitrust.org/Record/000585858")</f>
        <v>http://catalog.hathitrust.org/Record/000585858</v>
      </c>
      <c r="J362" s="1">
        <v>1863</v>
      </c>
      <c r="K362" t="s">
        <v>20064</v>
      </c>
      <c r="L362" t="s">
        <v>20065</v>
      </c>
    </row>
    <row r="363" spans="1:12">
      <c r="A363" t="s">
        <v>20066</v>
      </c>
      <c r="B363" s="1" t="s">
        <v>20067</v>
      </c>
      <c r="F363">
        <v>1</v>
      </c>
      <c r="G363" t="str">
        <f>HYPERLINK("http://babel.hathitrust.org/cgi/pt?id=mdp.39015031213260")</f>
        <v>http://babel.hathitrust.org/cgi/pt?id=mdp.39015031213260</v>
      </c>
      <c r="H363" t="str">
        <f>HYPERLINK("http://catalog.hathitrust.org/Record/000585940")</f>
        <v>http://catalog.hathitrust.org/Record/000585940</v>
      </c>
      <c r="J363" s="1">
        <v>1928</v>
      </c>
      <c r="K363" t="s">
        <v>20068</v>
      </c>
      <c r="L363" t="s">
        <v>20069</v>
      </c>
    </row>
    <row r="364" spans="1:12">
      <c r="A364" t="s">
        <v>20070</v>
      </c>
      <c r="B364" s="1" t="s">
        <v>20071</v>
      </c>
      <c r="F364">
        <v>1</v>
      </c>
      <c r="G364" t="str">
        <f>HYPERLINK("http://babel.hathitrust.org/cgi/pt?id=miun.acm7365.0001.001")</f>
        <v>http://babel.hathitrust.org/cgi/pt?id=miun.acm7365.0001.001</v>
      </c>
      <c r="H364" t="str">
        <f>HYPERLINK("http://catalog.hathitrust.org/Record/000585944")</f>
        <v>http://catalog.hathitrust.org/Record/000585944</v>
      </c>
      <c r="J364" s="1">
        <v>1864</v>
      </c>
      <c r="K364" t="s">
        <v>20064</v>
      </c>
      <c r="L364" t="s">
        <v>20065</v>
      </c>
    </row>
    <row r="365" spans="1:12">
      <c r="A365" t="s">
        <v>20072</v>
      </c>
      <c r="B365" s="1" t="s">
        <v>20073</v>
      </c>
      <c r="E365">
        <v>1</v>
      </c>
      <c r="G365" t="str">
        <f>HYPERLINK("http://babel.hathitrust.org/cgi/pt?id=mdp.39015054069425")</f>
        <v>http://babel.hathitrust.org/cgi/pt?id=mdp.39015054069425</v>
      </c>
      <c r="H365" t="str">
        <f>HYPERLINK("http://catalog.hathitrust.org/Record/000586467")</f>
        <v>http://catalog.hathitrust.org/Record/000586467</v>
      </c>
      <c r="J365" s="1">
        <v>1915</v>
      </c>
      <c r="K365" t="s">
        <v>20074</v>
      </c>
      <c r="L365" t="s">
        <v>20485</v>
      </c>
    </row>
    <row r="366" spans="1:12">
      <c r="A366" t="s">
        <v>20075</v>
      </c>
      <c r="B366" s="1" t="s">
        <v>20076</v>
      </c>
      <c r="F366">
        <v>1</v>
      </c>
      <c r="G366" t="str">
        <f>HYPERLINK("http://babel.hathitrust.org/cgi/pt?id=mdp.39015001151714")</f>
        <v>http://babel.hathitrust.org/cgi/pt?id=mdp.39015001151714</v>
      </c>
      <c r="H366" t="str">
        <f>HYPERLINK("http://catalog.hathitrust.org/Record/000586611")</f>
        <v>http://catalog.hathitrust.org/Record/000586611</v>
      </c>
      <c r="J366" s="1">
        <v>1959</v>
      </c>
      <c r="K366" t="s">
        <v>20077</v>
      </c>
      <c r="L366" t="s">
        <v>20078</v>
      </c>
    </row>
    <row r="367" spans="1:12">
      <c r="A367" t="s">
        <v>20079</v>
      </c>
      <c r="B367" s="1" t="s">
        <v>20076</v>
      </c>
      <c r="F367">
        <v>1</v>
      </c>
      <c r="G367" t="str">
        <f>HYPERLINK("http://babel.hathitrust.org/cgi/pt?id=uc1.b4381446")</f>
        <v>http://babel.hathitrust.org/cgi/pt?id=uc1.b4381446</v>
      </c>
      <c r="H367" t="str">
        <f>HYPERLINK("http://catalog.hathitrust.org/Record/000586611")</f>
        <v>http://catalog.hathitrust.org/Record/000586611</v>
      </c>
      <c r="J367" s="1">
        <v>1959</v>
      </c>
      <c r="K367" t="s">
        <v>20077</v>
      </c>
      <c r="L367" t="s">
        <v>20078</v>
      </c>
    </row>
    <row r="368" spans="1:12">
      <c r="A368" t="s">
        <v>20080</v>
      </c>
      <c r="B368" s="1" t="s">
        <v>20081</v>
      </c>
      <c r="E368">
        <v>1</v>
      </c>
      <c r="G368" t="str">
        <f>HYPERLINK("http://babel.hathitrust.org/cgi/pt?id=mdp.39015066076467")</f>
        <v>http://babel.hathitrust.org/cgi/pt?id=mdp.39015066076467</v>
      </c>
      <c r="H368" t="str">
        <f>HYPERLINK("http://catalog.hathitrust.org/Record/000586745")</f>
        <v>http://catalog.hathitrust.org/Record/000586745</v>
      </c>
      <c r="J368" s="1">
        <v>1873</v>
      </c>
      <c r="K368" t="s">
        <v>20082</v>
      </c>
      <c r="L368" t="s">
        <v>20485</v>
      </c>
    </row>
    <row r="369" spans="1:12">
      <c r="A369" t="s">
        <v>20083</v>
      </c>
      <c r="B369" s="1" t="s">
        <v>20084</v>
      </c>
      <c r="F369">
        <v>1</v>
      </c>
      <c r="G369" t="str">
        <f>HYPERLINK("http://babel.hathitrust.org/cgi/pt?id=mdp.39015059791775")</f>
        <v>http://babel.hathitrust.org/cgi/pt?id=mdp.39015059791775</v>
      </c>
      <c r="H369" t="str">
        <f>HYPERLINK("http://catalog.hathitrust.org/Record/000590040")</f>
        <v>http://catalog.hathitrust.org/Record/000590040</v>
      </c>
      <c r="I369" s="1" t="s">
        <v>20920</v>
      </c>
      <c r="J369" s="1">
        <v>1781</v>
      </c>
      <c r="K369" t="s">
        <v>20085</v>
      </c>
      <c r="L369" t="s">
        <v>20086</v>
      </c>
    </row>
    <row r="370" spans="1:12">
      <c r="A370" t="s">
        <v>20087</v>
      </c>
      <c r="B370" s="1" t="s">
        <v>20084</v>
      </c>
      <c r="F370">
        <v>1</v>
      </c>
      <c r="G370" t="str">
        <f>HYPERLINK("http://babel.hathitrust.org/cgi/pt?id=mdp.39015065250923")</f>
        <v>http://babel.hathitrust.org/cgi/pt?id=mdp.39015065250923</v>
      </c>
      <c r="H370" t="str">
        <f>HYPERLINK("http://catalog.hathitrust.org/Record/000590040")</f>
        <v>http://catalog.hathitrust.org/Record/000590040</v>
      </c>
      <c r="I370" s="1" t="s">
        <v>20920</v>
      </c>
      <c r="J370" s="1">
        <v>1781</v>
      </c>
      <c r="K370" t="s">
        <v>20085</v>
      </c>
      <c r="L370" t="s">
        <v>20086</v>
      </c>
    </row>
    <row r="371" spans="1:12">
      <c r="A371" t="s">
        <v>20088</v>
      </c>
      <c r="B371" s="1" t="s">
        <v>20084</v>
      </c>
      <c r="F371">
        <v>1</v>
      </c>
      <c r="G371" t="str">
        <f>HYPERLINK("http://babel.hathitrust.org/cgi/pt?id=mdp.39015070482701")</f>
        <v>http://babel.hathitrust.org/cgi/pt?id=mdp.39015070482701</v>
      </c>
      <c r="H371" t="str">
        <f>HYPERLINK("http://catalog.hathitrust.org/Record/000590040")</f>
        <v>http://catalog.hathitrust.org/Record/000590040</v>
      </c>
      <c r="I371" s="1" t="s">
        <v>20755</v>
      </c>
      <c r="J371" s="1">
        <v>1781</v>
      </c>
      <c r="K371" t="s">
        <v>20085</v>
      </c>
      <c r="L371" t="s">
        <v>20086</v>
      </c>
    </row>
    <row r="372" spans="1:12">
      <c r="A372" t="s">
        <v>20089</v>
      </c>
      <c r="B372" s="1" t="s">
        <v>20090</v>
      </c>
      <c r="F372">
        <v>1</v>
      </c>
      <c r="G372" t="str">
        <f>HYPERLINK("http://babel.hathitrust.org/cgi/pt?id=mdp.39015063554409")</f>
        <v>http://babel.hathitrust.org/cgi/pt?id=mdp.39015063554409</v>
      </c>
      <c r="H372" t="str">
        <f t="shared" ref="H372:H378" si="6">HYPERLINK("http://catalog.hathitrust.org/Record/000590042")</f>
        <v>http://catalog.hathitrust.org/Record/000590042</v>
      </c>
      <c r="I372" s="1" t="s">
        <v>20679</v>
      </c>
      <c r="J372" s="1">
        <v>1794</v>
      </c>
      <c r="K372" t="s">
        <v>20085</v>
      </c>
      <c r="L372" t="s">
        <v>20086</v>
      </c>
    </row>
    <row r="373" spans="1:12">
      <c r="A373" t="s">
        <v>20091</v>
      </c>
      <c r="B373" s="1" t="s">
        <v>20090</v>
      </c>
      <c r="F373">
        <v>1</v>
      </c>
      <c r="G373" t="str">
        <f>HYPERLINK("http://babel.hathitrust.org/cgi/pt?id=mdp.39015063554557")</f>
        <v>http://babel.hathitrust.org/cgi/pt?id=mdp.39015063554557</v>
      </c>
      <c r="H373" t="str">
        <f t="shared" si="6"/>
        <v>http://catalog.hathitrust.org/Record/000590042</v>
      </c>
      <c r="I373" s="1" t="s">
        <v>20755</v>
      </c>
      <c r="J373" s="1">
        <v>1794</v>
      </c>
      <c r="K373" t="s">
        <v>20085</v>
      </c>
      <c r="L373" t="s">
        <v>20086</v>
      </c>
    </row>
    <row r="374" spans="1:12">
      <c r="A374" t="s">
        <v>20092</v>
      </c>
      <c r="B374" s="1" t="s">
        <v>20090</v>
      </c>
      <c r="F374">
        <v>1</v>
      </c>
      <c r="G374" t="str">
        <f>HYPERLINK("http://babel.hathitrust.org/cgi/pt?id=mdp.39015063554706")</f>
        <v>http://babel.hathitrust.org/cgi/pt?id=mdp.39015063554706</v>
      </c>
      <c r="H374" t="str">
        <f t="shared" si="6"/>
        <v>http://catalog.hathitrust.org/Record/000590042</v>
      </c>
      <c r="I374" s="1" t="s">
        <v>20920</v>
      </c>
      <c r="J374" s="1">
        <v>1794</v>
      </c>
      <c r="K374" t="s">
        <v>20085</v>
      </c>
      <c r="L374" t="s">
        <v>20086</v>
      </c>
    </row>
    <row r="375" spans="1:12">
      <c r="A375" t="s">
        <v>20093</v>
      </c>
      <c r="B375" s="1" t="s">
        <v>20090</v>
      </c>
      <c r="F375">
        <v>1</v>
      </c>
      <c r="G375" t="str">
        <f>HYPERLINK("http://babel.hathitrust.org/cgi/pt?id=mdp.39076006597962")</f>
        <v>http://babel.hathitrust.org/cgi/pt?id=mdp.39076006597962</v>
      </c>
      <c r="H375" t="str">
        <f t="shared" si="6"/>
        <v>http://catalog.hathitrust.org/Record/000590042</v>
      </c>
      <c r="I375" s="1" t="s">
        <v>20916</v>
      </c>
      <c r="J375" s="1">
        <v>1794</v>
      </c>
      <c r="K375" t="s">
        <v>20085</v>
      </c>
      <c r="L375" t="s">
        <v>20086</v>
      </c>
    </row>
    <row r="376" spans="1:12">
      <c r="A376" t="s">
        <v>20094</v>
      </c>
      <c r="B376" s="1" t="s">
        <v>20090</v>
      </c>
      <c r="F376">
        <v>1</v>
      </c>
      <c r="G376" t="str">
        <f>HYPERLINK("http://babel.hathitrust.org/cgi/pt?id=mdp.39076006597970")</f>
        <v>http://babel.hathitrust.org/cgi/pt?id=mdp.39076006597970</v>
      </c>
      <c r="H376" t="str">
        <f t="shared" si="6"/>
        <v>http://catalog.hathitrust.org/Record/000590042</v>
      </c>
      <c r="I376" s="1" t="s">
        <v>20755</v>
      </c>
      <c r="J376" s="1">
        <v>1794</v>
      </c>
      <c r="K376" t="s">
        <v>20085</v>
      </c>
      <c r="L376" t="s">
        <v>20086</v>
      </c>
    </row>
    <row r="377" spans="1:12">
      <c r="A377" t="s">
        <v>20095</v>
      </c>
      <c r="B377" s="1" t="s">
        <v>20090</v>
      </c>
      <c r="F377">
        <v>1</v>
      </c>
      <c r="G377" t="str">
        <f>HYPERLINK("http://babel.hathitrust.org/cgi/pt?id=mdp.39076006597988")</f>
        <v>http://babel.hathitrust.org/cgi/pt?id=mdp.39076006597988</v>
      </c>
      <c r="H377" t="str">
        <f t="shared" si="6"/>
        <v>http://catalog.hathitrust.org/Record/000590042</v>
      </c>
      <c r="I377" s="1" t="s">
        <v>20920</v>
      </c>
      <c r="J377" s="1">
        <v>1794</v>
      </c>
      <c r="K377" t="s">
        <v>20085</v>
      </c>
      <c r="L377" t="s">
        <v>20086</v>
      </c>
    </row>
    <row r="378" spans="1:12">
      <c r="A378" t="s">
        <v>20096</v>
      </c>
      <c r="B378" s="1" t="s">
        <v>20090</v>
      </c>
      <c r="F378">
        <v>1</v>
      </c>
      <c r="G378" t="str">
        <f>HYPERLINK("http://babel.hathitrust.org/cgi/pt?id=mdp.39076006597996")</f>
        <v>http://babel.hathitrust.org/cgi/pt?id=mdp.39076006597996</v>
      </c>
      <c r="H378" t="str">
        <f t="shared" si="6"/>
        <v>http://catalog.hathitrust.org/Record/000590042</v>
      </c>
      <c r="I378" s="1" t="s">
        <v>20679</v>
      </c>
      <c r="J378" s="1">
        <v>1794</v>
      </c>
      <c r="K378" t="s">
        <v>20085</v>
      </c>
      <c r="L378" t="s">
        <v>20086</v>
      </c>
    </row>
    <row r="379" spans="1:12">
      <c r="A379" t="s">
        <v>20097</v>
      </c>
      <c r="B379" s="1" t="s">
        <v>20098</v>
      </c>
      <c r="D379">
        <v>1</v>
      </c>
      <c r="G379" t="str">
        <f>HYPERLINK("http://babel.hathitrust.org/cgi/pt?id=mdp.39015030754181")</f>
        <v>http://babel.hathitrust.org/cgi/pt?id=mdp.39015030754181</v>
      </c>
      <c r="H379" t="str">
        <f>HYPERLINK("http://catalog.hathitrust.org/Record/000590315")</f>
        <v>http://catalog.hathitrust.org/Record/000590315</v>
      </c>
      <c r="I379" s="1" t="s">
        <v>20916</v>
      </c>
      <c r="J379" s="1">
        <v>1890</v>
      </c>
      <c r="K379" t="s">
        <v>20099</v>
      </c>
      <c r="L379" t="s">
        <v>20086</v>
      </c>
    </row>
    <row r="380" spans="1:12">
      <c r="A380" t="s">
        <v>19973</v>
      </c>
      <c r="B380" s="1" t="s">
        <v>19974</v>
      </c>
      <c r="F380">
        <v>1</v>
      </c>
      <c r="G380" t="str">
        <f>HYPERLINK("http://babel.hathitrust.org/cgi/pt?id=mdp.39015004963214")</f>
        <v>http://babel.hathitrust.org/cgi/pt?id=mdp.39015004963214</v>
      </c>
      <c r="H380" t="str">
        <f>HYPERLINK("http://catalog.hathitrust.org/Record/000590328")</f>
        <v>http://catalog.hathitrust.org/Record/000590328</v>
      </c>
      <c r="I380" s="1" t="s">
        <v>20916</v>
      </c>
      <c r="J380" s="1">
        <v>1866</v>
      </c>
      <c r="K380" t="s">
        <v>19975</v>
      </c>
      <c r="L380" t="s">
        <v>20086</v>
      </c>
    </row>
    <row r="381" spans="1:12">
      <c r="A381" t="s">
        <v>19976</v>
      </c>
      <c r="B381" s="1" t="s">
        <v>19974</v>
      </c>
      <c r="F381">
        <v>1</v>
      </c>
      <c r="G381" t="str">
        <f>HYPERLINK("http://babel.hathitrust.org/cgi/pt?id=mdp.39015066053763")</f>
        <v>http://babel.hathitrust.org/cgi/pt?id=mdp.39015066053763</v>
      </c>
      <c r="H381" t="str">
        <f>HYPERLINK("http://catalog.hathitrust.org/Record/000590328")</f>
        <v>http://catalog.hathitrust.org/Record/000590328</v>
      </c>
      <c r="I381" s="1" t="s">
        <v>20755</v>
      </c>
      <c r="J381" s="1">
        <v>1866</v>
      </c>
      <c r="K381" t="s">
        <v>19975</v>
      </c>
      <c r="L381" t="s">
        <v>20086</v>
      </c>
    </row>
    <row r="382" spans="1:12">
      <c r="A382" t="s">
        <v>19977</v>
      </c>
      <c r="B382" s="1" t="s">
        <v>19978</v>
      </c>
      <c r="F382">
        <v>1</v>
      </c>
      <c r="G382" t="str">
        <f>HYPERLINK("http://babel.hathitrust.org/cgi/pt?id=mdp.39015008189253")</f>
        <v>http://babel.hathitrust.org/cgi/pt?id=mdp.39015008189253</v>
      </c>
      <c r="H382" t="str">
        <f>HYPERLINK("http://catalog.hathitrust.org/Record/000590372")</f>
        <v>http://catalog.hathitrust.org/Record/000590372</v>
      </c>
      <c r="J382" s="1">
        <v>1861</v>
      </c>
      <c r="K382" t="s">
        <v>19979</v>
      </c>
      <c r="L382" t="s">
        <v>20086</v>
      </c>
    </row>
    <row r="383" spans="1:12">
      <c r="A383" t="s">
        <v>19980</v>
      </c>
      <c r="B383" s="1" t="s">
        <v>19981</v>
      </c>
      <c r="D383">
        <v>1</v>
      </c>
      <c r="G383" t="str">
        <f>HYPERLINK("http://babel.hathitrust.org/cgi/pt?id=mdp.39015004223437")</f>
        <v>http://babel.hathitrust.org/cgi/pt?id=mdp.39015004223437</v>
      </c>
      <c r="H383" t="str">
        <f t="shared" ref="H383:H389" si="7">HYPERLINK("http://catalog.hathitrust.org/Record/000590376")</f>
        <v>http://catalog.hathitrust.org/Record/000590376</v>
      </c>
      <c r="I383" s="1" t="s">
        <v>20920</v>
      </c>
      <c r="J383" s="1">
        <v>1905</v>
      </c>
      <c r="K383" t="s">
        <v>19982</v>
      </c>
      <c r="L383" t="s">
        <v>20086</v>
      </c>
    </row>
    <row r="384" spans="1:12">
      <c r="A384" t="s">
        <v>19983</v>
      </c>
      <c r="B384" s="1" t="s">
        <v>19981</v>
      </c>
      <c r="D384">
        <v>1</v>
      </c>
      <c r="G384" t="str">
        <f>HYPERLINK("http://babel.hathitrust.org/cgi/pt?id=mdp.39015004706779")</f>
        <v>http://babel.hathitrust.org/cgi/pt?id=mdp.39015004706779</v>
      </c>
      <c r="H384" t="str">
        <f t="shared" si="7"/>
        <v>http://catalog.hathitrust.org/Record/000590376</v>
      </c>
      <c r="I384" s="1" t="s">
        <v>20755</v>
      </c>
      <c r="J384" s="1">
        <v>1905</v>
      </c>
      <c r="K384" t="s">
        <v>19982</v>
      </c>
      <c r="L384" t="s">
        <v>20086</v>
      </c>
    </row>
    <row r="385" spans="1:12">
      <c r="A385" t="s">
        <v>19984</v>
      </c>
      <c r="B385" s="1" t="s">
        <v>19981</v>
      </c>
      <c r="D385">
        <v>1</v>
      </c>
      <c r="G385" t="str">
        <f>HYPERLINK("http://babel.hathitrust.org/cgi/pt?id=mdp.39015035316853")</f>
        <v>http://babel.hathitrust.org/cgi/pt?id=mdp.39015035316853</v>
      </c>
      <c r="H385" t="str">
        <f t="shared" si="7"/>
        <v>http://catalog.hathitrust.org/Record/000590376</v>
      </c>
      <c r="I385" s="1" t="s">
        <v>20916</v>
      </c>
      <c r="J385" s="1">
        <v>1905</v>
      </c>
      <c r="K385" t="s">
        <v>19982</v>
      </c>
      <c r="L385" t="s">
        <v>20086</v>
      </c>
    </row>
    <row r="386" spans="1:12">
      <c r="A386" t="s">
        <v>19985</v>
      </c>
      <c r="B386" s="1" t="s">
        <v>19981</v>
      </c>
      <c r="F386">
        <v>1</v>
      </c>
      <c r="G386" t="str">
        <f>HYPERLINK("http://babel.hathitrust.org/cgi/pt?id=mdp.39015049840203")</f>
        <v>http://babel.hathitrust.org/cgi/pt?id=mdp.39015049840203</v>
      </c>
      <c r="H386" t="str">
        <f t="shared" si="7"/>
        <v>http://catalog.hathitrust.org/Record/000590376</v>
      </c>
      <c r="I386" s="1" t="s">
        <v>20920</v>
      </c>
      <c r="J386" s="1">
        <v>1905</v>
      </c>
      <c r="K386" t="s">
        <v>19982</v>
      </c>
      <c r="L386" t="s">
        <v>20086</v>
      </c>
    </row>
    <row r="387" spans="1:12">
      <c r="A387" t="s">
        <v>19986</v>
      </c>
      <c r="B387" s="1" t="s">
        <v>19981</v>
      </c>
      <c r="F387">
        <v>1</v>
      </c>
      <c r="G387" t="str">
        <f>HYPERLINK("http://babel.hathitrust.org/cgi/pt?id=mdp.39015049840211")</f>
        <v>http://babel.hathitrust.org/cgi/pt?id=mdp.39015049840211</v>
      </c>
      <c r="H387" t="str">
        <f t="shared" si="7"/>
        <v>http://catalog.hathitrust.org/Record/000590376</v>
      </c>
      <c r="I387" s="1" t="s">
        <v>20755</v>
      </c>
      <c r="J387" s="1">
        <v>1905</v>
      </c>
      <c r="K387" t="s">
        <v>19982</v>
      </c>
      <c r="L387" t="s">
        <v>20086</v>
      </c>
    </row>
    <row r="388" spans="1:12">
      <c r="A388" t="s">
        <v>19987</v>
      </c>
      <c r="B388" s="1" t="s">
        <v>19981</v>
      </c>
      <c r="F388">
        <v>1</v>
      </c>
      <c r="G388" t="str">
        <f>HYPERLINK("http://babel.hathitrust.org/cgi/pt?id=mdp.39015066058457")</f>
        <v>http://babel.hathitrust.org/cgi/pt?id=mdp.39015066058457</v>
      </c>
      <c r="H388" t="str">
        <f t="shared" si="7"/>
        <v>http://catalog.hathitrust.org/Record/000590376</v>
      </c>
      <c r="I388" s="1" t="s">
        <v>20916</v>
      </c>
      <c r="J388" s="1">
        <v>1905</v>
      </c>
      <c r="K388" t="s">
        <v>19982</v>
      </c>
      <c r="L388" t="s">
        <v>20086</v>
      </c>
    </row>
    <row r="389" spans="1:12">
      <c r="A389" t="s">
        <v>19988</v>
      </c>
      <c r="B389" s="1" t="s">
        <v>19981</v>
      </c>
      <c r="F389">
        <v>1</v>
      </c>
      <c r="G389" t="str">
        <f>HYPERLINK("http://babel.hathitrust.org/cgi/pt?id=uc1.b4278860")</f>
        <v>http://babel.hathitrust.org/cgi/pt?id=uc1.b4278860</v>
      </c>
      <c r="H389" t="str">
        <f t="shared" si="7"/>
        <v>http://catalog.hathitrust.org/Record/000590376</v>
      </c>
      <c r="I389" s="1" t="s">
        <v>20796</v>
      </c>
      <c r="J389" s="1">
        <v>1905</v>
      </c>
      <c r="K389" t="s">
        <v>19982</v>
      </c>
      <c r="L389" t="s">
        <v>20086</v>
      </c>
    </row>
    <row r="390" spans="1:12">
      <c r="A390" t="s">
        <v>19989</v>
      </c>
      <c r="B390" s="1" t="s">
        <v>19990</v>
      </c>
      <c r="F390">
        <v>1</v>
      </c>
      <c r="G390" t="str">
        <f>HYPERLINK("http://babel.hathitrust.org/cgi/pt?id=mdp.39015024215355")</f>
        <v>http://babel.hathitrust.org/cgi/pt?id=mdp.39015024215355</v>
      </c>
      <c r="H390" t="str">
        <f>HYPERLINK("http://catalog.hathitrust.org/Record/000601020")</f>
        <v>http://catalog.hathitrust.org/Record/000601020</v>
      </c>
      <c r="J390" s="1">
        <v>1915</v>
      </c>
      <c r="K390" t="s">
        <v>19991</v>
      </c>
      <c r="L390" t="s">
        <v>19992</v>
      </c>
    </row>
    <row r="391" spans="1:12">
      <c r="A391" t="s">
        <v>19993</v>
      </c>
      <c r="B391" s="1" t="s">
        <v>19994</v>
      </c>
      <c r="D391">
        <v>1</v>
      </c>
      <c r="G391" t="str">
        <f>HYPERLINK("http://babel.hathitrust.org/cgi/pt?id=mdp.39015039638369")</f>
        <v>http://babel.hathitrust.org/cgi/pt?id=mdp.39015039638369</v>
      </c>
      <c r="H391" t="str">
        <f>HYPERLINK("http://catalog.hathitrust.org/Record/000622781")</f>
        <v>http://catalog.hathitrust.org/Record/000622781</v>
      </c>
      <c r="I391" s="1" t="s">
        <v>20916</v>
      </c>
      <c r="J391" s="1">
        <v>1883</v>
      </c>
      <c r="K391" t="s">
        <v>19995</v>
      </c>
      <c r="L391" t="s">
        <v>19996</v>
      </c>
    </row>
    <row r="392" spans="1:12">
      <c r="A392" t="s">
        <v>19997</v>
      </c>
      <c r="B392" s="1" t="s">
        <v>19998</v>
      </c>
      <c r="D392">
        <v>1</v>
      </c>
      <c r="G392" t="str">
        <f>HYPERLINK("http://babel.hathitrust.org/cgi/pt?id=mdp.39015005008514")</f>
        <v>http://babel.hathitrust.org/cgi/pt?id=mdp.39015005008514</v>
      </c>
      <c r="H392" t="str">
        <f>HYPERLINK("http://catalog.hathitrust.org/Record/000623369")</f>
        <v>http://catalog.hathitrust.org/Record/000623369</v>
      </c>
      <c r="J392" s="1">
        <v>1913</v>
      </c>
      <c r="K392" t="s">
        <v>19999</v>
      </c>
      <c r="L392" t="s">
        <v>20000</v>
      </c>
    </row>
    <row r="393" spans="1:12">
      <c r="A393" t="s">
        <v>20001</v>
      </c>
      <c r="B393" s="1" t="s">
        <v>19998</v>
      </c>
      <c r="F393">
        <v>1</v>
      </c>
      <c r="G393" t="str">
        <f>HYPERLINK("http://babel.hathitrust.org/cgi/pt?id=uc1.b4110154")</f>
        <v>http://babel.hathitrust.org/cgi/pt?id=uc1.b4110154</v>
      </c>
      <c r="H393" t="str">
        <f>HYPERLINK("http://catalog.hathitrust.org/Record/000623369")</f>
        <v>http://catalog.hathitrust.org/Record/000623369</v>
      </c>
      <c r="J393" s="1">
        <v>1913</v>
      </c>
      <c r="K393" t="s">
        <v>19999</v>
      </c>
      <c r="L393" t="s">
        <v>20000</v>
      </c>
    </row>
    <row r="394" spans="1:12">
      <c r="A394" t="s">
        <v>20002</v>
      </c>
      <c r="B394" s="1" t="s">
        <v>19998</v>
      </c>
      <c r="F394">
        <v>1</v>
      </c>
      <c r="G394" t="str">
        <f>HYPERLINK("http://babel.hathitrust.org/cgi/pt?id=uc2.ark:/13960/t47p95b4v")</f>
        <v>http://babel.hathitrust.org/cgi/pt?id=uc2.ark:/13960/t47p95b4v</v>
      </c>
      <c r="H394" t="str">
        <f>HYPERLINK("http://catalog.hathitrust.org/Record/000623369")</f>
        <v>http://catalog.hathitrust.org/Record/000623369</v>
      </c>
      <c r="J394" s="1">
        <v>1913</v>
      </c>
      <c r="K394" t="s">
        <v>19999</v>
      </c>
      <c r="L394" t="s">
        <v>20000</v>
      </c>
    </row>
    <row r="395" spans="1:12">
      <c r="A395" t="s">
        <v>20003</v>
      </c>
      <c r="B395" s="1" t="s">
        <v>20004</v>
      </c>
      <c r="D395">
        <v>1</v>
      </c>
      <c r="G395" t="str">
        <f>HYPERLINK("http://babel.hathitrust.org/cgi/pt?id=mdp.39015013094217")</f>
        <v>http://babel.hathitrust.org/cgi/pt?id=mdp.39015013094217</v>
      </c>
      <c r="H395" t="str">
        <f>HYPERLINK("http://catalog.hathitrust.org/Record/000625050")</f>
        <v>http://catalog.hathitrust.org/Record/000625050</v>
      </c>
      <c r="J395" s="1">
        <v>1920</v>
      </c>
      <c r="K395" t="s">
        <v>20005</v>
      </c>
      <c r="L395" t="s">
        <v>20006</v>
      </c>
    </row>
    <row r="396" spans="1:12">
      <c r="A396" t="s">
        <v>20007</v>
      </c>
      <c r="B396" s="1" t="s">
        <v>20008</v>
      </c>
      <c r="F396">
        <v>1</v>
      </c>
      <c r="G396" t="str">
        <f>HYPERLINK("http://babel.hathitrust.org/cgi/pt?id=mdp.39015005147767")</f>
        <v>http://babel.hathitrust.org/cgi/pt?id=mdp.39015005147767</v>
      </c>
      <c r="H396" t="str">
        <f>HYPERLINK("http://catalog.hathitrust.org/Record/000626066")</f>
        <v>http://catalog.hathitrust.org/Record/000626066</v>
      </c>
      <c r="J396" s="1">
        <v>1961</v>
      </c>
      <c r="K396" t="s">
        <v>20009</v>
      </c>
      <c r="L396" t="s">
        <v>20010</v>
      </c>
    </row>
    <row r="397" spans="1:12">
      <c r="A397" t="s">
        <v>20011</v>
      </c>
      <c r="B397" s="1" t="s">
        <v>20008</v>
      </c>
      <c r="F397">
        <v>1</v>
      </c>
      <c r="G397" t="str">
        <f>HYPERLINK("http://babel.hathitrust.org/cgi/pt?id=mdp.39015008182100")</f>
        <v>http://babel.hathitrust.org/cgi/pt?id=mdp.39015008182100</v>
      </c>
      <c r="H397" t="str">
        <f>HYPERLINK("http://catalog.hathitrust.org/Record/000626066")</f>
        <v>http://catalog.hathitrust.org/Record/000626066</v>
      </c>
      <c r="J397" s="1">
        <v>1961</v>
      </c>
      <c r="K397" t="s">
        <v>20009</v>
      </c>
      <c r="L397" t="s">
        <v>20010</v>
      </c>
    </row>
    <row r="398" spans="1:12">
      <c r="A398" t="s">
        <v>20012</v>
      </c>
      <c r="B398" s="1" t="s">
        <v>20013</v>
      </c>
      <c r="F398">
        <v>1</v>
      </c>
      <c r="G398" t="str">
        <f>HYPERLINK("http://babel.hathitrust.org/cgi/pt?id=mdp.39015030724804")</f>
        <v>http://babel.hathitrust.org/cgi/pt?id=mdp.39015030724804</v>
      </c>
      <c r="H398" t="str">
        <f>HYPERLINK("http://catalog.hathitrust.org/Record/000627700")</f>
        <v>http://catalog.hathitrust.org/Record/000627700</v>
      </c>
      <c r="J398" s="1">
        <v>1888</v>
      </c>
      <c r="K398" t="s">
        <v>20014</v>
      </c>
      <c r="L398" t="s">
        <v>20015</v>
      </c>
    </row>
    <row r="399" spans="1:12">
      <c r="A399" t="s">
        <v>20016</v>
      </c>
      <c r="B399" s="1" t="s">
        <v>20017</v>
      </c>
      <c r="E399">
        <v>1</v>
      </c>
      <c r="F399">
        <v>1</v>
      </c>
      <c r="G399" t="str">
        <f>HYPERLINK("http://babel.hathitrust.org/cgi/pt?id=mdp.39015005199404")</f>
        <v>http://babel.hathitrust.org/cgi/pt?id=mdp.39015005199404</v>
      </c>
      <c r="H399" t="str">
        <f>HYPERLINK("http://catalog.hathitrust.org/Record/000627889")</f>
        <v>http://catalog.hathitrust.org/Record/000627889</v>
      </c>
      <c r="J399" s="1">
        <v>1901</v>
      </c>
      <c r="K399" t="s">
        <v>20018</v>
      </c>
      <c r="L399" t="s">
        <v>20019</v>
      </c>
    </row>
    <row r="400" spans="1:12">
      <c r="A400" t="s">
        <v>20020</v>
      </c>
      <c r="B400" s="1" t="s">
        <v>20017</v>
      </c>
      <c r="F400">
        <v>1</v>
      </c>
      <c r="G400" t="str">
        <f>HYPERLINK("http://babel.hathitrust.org/cgi/pt?id=uva.x000105488")</f>
        <v>http://babel.hathitrust.org/cgi/pt?id=uva.x000105488</v>
      </c>
      <c r="H400" t="str">
        <f>HYPERLINK("http://catalog.hathitrust.org/Record/000627889")</f>
        <v>http://catalog.hathitrust.org/Record/000627889</v>
      </c>
      <c r="J400" s="1">
        <v>1901</v>
      </c>
      <c r="K400" t="s">
        <v>20018</v>
      </c>
      <c r="L400" t="s">
        <v>20019</v>
      </c>
    </row>
    <row r="401" spans="1:12">
      <c r="A401" t="s">
        <v>20021</v>
      </c>
      <c r="B401" s="1" t="s">
        <v>20022</v>
      </c>
      <c r="E401">
        <v>1</v>
      </c>
      <c r="G401" t="str">
        <f>HYPERLINK("http://babel.hathitrust.org/cgi/pt?id=mdp.39015035787616")</f>
        <v>http://babel.hathitrust.org/cgi/pt?id=mdp.39015035787616</v>
      </c>
      <c r="H401" t="str">
        <f>HYPERLINK("http://catalog.hathitrust.org/Record/000629327")</f>
        <v>http://catalog.hathitrust.org/Record/000629327</v>
      </c>
      <c r="J401" s="1">
        <v>1894</v>
      </c>
      <c r="K401" t="s">
        <v>20479</v>
      </c>
      <c r="L401" t="s">
        <v>20467</v>
      </c>
    </row>
    <row r="402" spans="1:12">
      <c r="A402" t="s">
        <v>20023</v>
      </c>
      <c r="B402" s="1" t="s">
        <v>20024</v>
      </c>
      <c r="F402">
        <v>1</v>
      </c>
      <c r="G402" t="str">
        <f>HYPERLINK("http://babel.hathitrust.org/cgi/pt?id=mdp.39015030756251")</f>
        <v>http://babel.hathitrust.org/cgi/pt?id=mdp.39015030756251</v>
      </c>
      <c r="H402" t="str">
        <f>HYPERLINK("http://catalog.hathitrust.org/Record/000630492")</f>
        <v>http://catalog.hathitrust.org/Record/000630492</v>
      </c>
      <c r="J402" s="1">
        <v>1892</v>
      </c>
      <c r="K402" t="s">
        <v>20025</v>
      </c>
      <c r="L402" t="s">
        <v>20026</v>
      </c>
    </row>
    <row r="403" spans="1:12">
      <c r="A403" t="s">
        <v>20027</v>
      </c>
      <c r="B403" s="1" t="s">
        <v>20028</v>
      </c>
      <c r="E403">
        <v>1</v>
      </c>
      <c r="G403" t="str">
        <f>HYPERLINK("http://babel.hathitrust.org/cgi/pt?id=mdp.39015023178554")</f>
        <v>http://babel.hathitrust.org/cgi/pt?id=mdp.39015023178554</v>
      </c>
      <c r="H403" t="str">
        <f>HYPERLINK("http://catalog.hathitrust.org/Record/000631064")</f>
        <v>http://catalog.hathitrust.org/Record/000631064</v>
      </c>
      <c r="J403" s="1">
        <v>1885</v>
      </c>
      <c r="K403" t="s">
        <v>20479</v>
      </c>
      <c r="L403" t="s">
        <v>20467</v>
      </c>
    </row>
    <row r="404" spans="1:12">
      <c r="A404" t="s">
        <v>20029</v>
      </c>
      <c r="B404" s="1" t="s">
        <v>20030</v>
      </c>
      <c r="E404">
        <v>1</v>
      </c>
      <c r="F404">
        <v>1</v>
      </c>
      <c r="G404" t="str">
        <f>HYPERLINK("http://babel.hathitrust.org/cgi/pt?id=mdp.39015081198726")</f>
        <v>http://babel.hathitrust.org/cgi/pt?id=mdp.39015081198726</v>
      </c>
      <c r="H404" t="str">
        <f>HYPERLINK("http://catalog.hathitrust.org/Record/000634490")</f>
        <v>http://catalog.hathitrust.org/Record/000634490</v>
      </c>
      <c r="J404" s="1">
        <v>1922</v>
      </c>
      <c r="K404" t="s">
        <v>20031</v>
      </c>
      <c r="L404" t="s">
        <v>20032</v>
      </c>
    </row>
    <row r="405" spans="1:12">
      <c r="A405" t="s">
        <v>20033</v>
      </c>
      <c r="B405" s="1" t="s">
        <v>20034</v>
      </c>
      <c r="F405">
        <v>1</v>
      </c>
      <c r="G405" t="str">
        <f>HYPERLINK("http://babel.hathitrust.org/cgi/pt?id=mdp.39015011578096")</f>
        <v>http://babel.hathitrust.org/cgi/pt?id=mdp.39015011578096</v>
      </c>
      <c r="H405" t="str">
        <f>HYPERLINK("http://catalog.hathitrust.org/Record/000634495")</f>
        <v>http://catalog.hathitrust.org/Record/000634495</v>
      </c>
      <c r="J405" s="1">
        <v>1961</v>
      </c>
      <c r="K405" t="s">
        <v>20035</v>
      </c>
      <c r="L405" t="s">
        <v>20032</v>
      </c>
    </row>
    <row r="406" spans="1:12">
      <c r="A406" t="s">
        <v>20036</v>
      </c>
      <c r="B406" s="1" t="s">
        <v>20034</v>
      </c>
      <c r="F406">
        <v>1</v>
      </c>
      <c r="G406" t="str">
        <f>HYPERLINK("http://babel.hathitrust.org/cgi/pt?id=mdp.39015012428259")</f>
        <v>http://babel.hathitrust.org/cgi/pt?id=mdp.39015012428259</v>
      </c>
      <c r="H406" t="str">
        <f>HYPERLINK("http://catalog.hathitrust.org/Record/000634495")</f>
        <v>http://catalog.hathitrust.org/Record/000634495</v>
      </c>
      <c r="J406" s="1">
        <v>1961</v>
      </c>
      <c r="K406" t="s">
        <v>20035</v>
      </c>
      <c r="L406" t="s">
        <v>20032</v>
      </c>
    </row>
    <row r="407" spans="1:12">
      <c r="A407" t="s">
        <v>20037</v>
      </c>
      <c r="B407" s="1" t="s">
        <v>20038</v>
      </c>
      <c r="D407">
        <v>1</v>
      </c>
      <c r="G407" t="str">
        <f>HYPERLINK("http://babel.hathitrust.org/cgi/pt?id=mdp.39015031298626")</f>
        <v>http://babel.hathitrust.org/cgi/pt?id=mdp.39015031298626</v>
      </c>
      <c r="H407" t="str">
        <f>HYPERLINK("http://catalog.hathitrust.org/Record/000634633")</f>
        <v>http://catalog.hathitrust.org/Record/000634633</v>
      </c>
      <c r="J407" s="1">
        <v>1894</v>
      </c>
      <c r="K407" t="s">
        <v>20039</v>
      </c>
      <c r="L407" t="s">
        <v>20925</v>
      </c>
    </row>
    <row r="408" spans="1:12">
      <c r="A408" t="s">
        <v>20040</v>
      </c>
      <c r="B408" s="1" t="s">
        <v>20041</v>
      </c>
      <c r="F408">
        <v>1</v>
      </c>
      <c r="G408" t="str">
        <f>HYPERLINK("http://babel.hathitrust.org/cgi/pt?id=mdp.39015023346607")</f>
        <v>http://babel.hathitrust.org/cgi/pt?id=mdp.39015023346607</v>
      </c>
      <c r="H408" t="str">
        <f t="shared" ref="H408:H430" si="8">HYPERLINK("http://catalog.hathitrust.org/Record/000636192")</f>
        <v>http://catalog.hathitrust.org/Record/000636192</v>
      </c>
      <c r="I408" s="1" t="s">
        <v>19897</v>
      </c>
      <c r="J408" s="1">
        <v>1879</v>
      </c>
      <c r="K408" t="s">
        <v>19896</v>
      </c>
    </row>
    <row r="409" spans="1:12">
      <c r="A409" t="s">
        <v>19898</v>
      </c>
      <c r="B409" s="1" t="s">
        <v>20041</v>
      </c>
      <c r="F409">
        <v>1</v>
      </c>
      <c r="G409" t="str">
        <f>HYPERLINK("http://babel.hathitrust.org/cgi/pt?id=mdp.39015023346615")</f>
        <v>http://babel.hathitrust.org/cgi/pt?id=mdp.39015023346615</v>
      </c>
      <c r="H409" t="str">
        <f t="shared" si="8"/>
        <v>http://catalog.hathitrust.org/Record/000636192</v>
      </c>
      <c r="I409" s="1" t="s">
        <v>19899</v>
      </c>
      <c r="J409" s="1">
        <v>1879</v>
      </c>
      <c r="K409" t="s">
        <v>19896</v>
      </c>
    </row>
    <row r="410" spans="1:12">
      <c r="A410" t="s">
        <v>19900</v>
      </c>
      <c r="B410" s="1" t="s">
        <v>20041</v>
      </c>
      <c r="F410">
        <v>1</v>
      </c>
      <c r="G410" t="str">
        <f>HYPERLINK("http://babel.hathitrust.org/cgi/pt?id=mdp.39015023346623")</f>
        <v>http://babel.hathitrust.org/cgi/pt?id=mdp.39015023346623</v>
      </c>
      <c r="H410" t="str">
        <f t="shared" si="8"/>
        <v>http://catalog.hathitrust.org/Record/000636192</v>
      </c>
      <c r="I410" s="1" t="s">
        <v>19901</v>
      </c>
      <c r="J410" s="1">
        <v>1879</v>
      </c>
      <c r="K410" t="s">
        <v>19896</v>
      </c>
    </row>
    <row r="411" spans="1:12">
      <c r="A411" t="s">
        <v>19902</v>
      </c>
      <c r="B411" s="1" t="s">
        <v>20041</v>
      </c>
      <c r="F411">
        <v>1</v>
      </c>
      <c r="G411" t="str">
        <f>HYPERLINK("http://babel.hathitrust.org/cgi/pt?id=mdp.39015023346631")</f>
        <v>http://babel.hathitrust.org/cgi/pt?id=mdp.39015023346631</v>
      </c>
      <c r="H411" t="str">
        <f t="shared" si="8"/>
        <v>http://catalog.hathitrust.org/Record/000636192</v>
      </c>
      <c r="I411" s="1" t="s">
        <v>19903</v>
      </c>
      <c r="J411" s="1">
        <v>1879</v>
      </c>
      <c r="K411" t="s">
        <v>19896</v>
      </c>
    </row>
    <row r="412" spans="1:12">
      <c r="A412" t="s">
        <v>19904</v>
      </c>
      <c r="B412" s="1" t="s">
        <v>20041</v>
      </c>
      <c r="F412">
        <v>1</v>
      </c>
      <c r="G412" t="str">
        <f>HYPERLINK("http://babel.hathitrust.org/cgi/pt?id=mdp.39015025422430")</f>
        <v>http://babel.hathitrust.org/cgi/pt?id=mdp.39015025422430</v>
      </c>
      <c r="H412" t="str">
        <f t="shared" si="8"/>
        <v>http://catalog.hathitrust.org/Record/000636192</v>
      </c>
      <c r="I412" s="1" t="s">
        <v>19905</v>
      </c>
      <c r="J412" s="1">
        <v>1879</v>
      </c>
      <c r="K412" t="s">
        <v>19896</v>
      </c>
    </row>
    <row r="413" spans="1:12">
      <c r="A413" t="s">
        <v>19906</v>
      </c>
      <c r="B413" s="1" t="s">
        <v>20041</v>
      </c>
      <c r="F413">
        <v>1</v>
      </c>
      <c r="G413" t="str">
        <f>HYPERLINK("http://babel.hathitrust.org/cgi/pt?id=mdp.39015025422448")</f>
        <v>http://babel.hathitrust.org/cgi/pt?id=mdp.39015025422448</v>
      </c>
      <c r="H413" t="str">
        <f t="shared" si="8"/>
        <v>http://catalog.hathitrust.org/Record/000636192</v>
      </c>
      <c r="I413" s="1" t="s">
        <v>19907</v>
      </c>
      <c r="J413" s="1">
        <v>1879</v>
      </c>
      <c r="K413" t="s">
        <v>19896</v>
      </c>
    </row>
    <row r="414" spans="1:12">
      <c r="A414" t="s">
        <v>19908</v>
      </c>
      <c r="B414" s="1" t="s">
        <v>20041</v>
      </c>
      <c r="F414">
        <v>1</v>
      </c>
      <c r="G414" t="str">
        <f>HYPERLINK("http://babel.hathitrust.org/cgi/pt?id=mdp.39015025422489")</f>
        <v>http://babel.hathitrust.org/cgi/pt?id=mdp.39015025422489</v>
      </c>
      <c r="H414" t="str">
        <f t="shared" si="8"/>
        <v>http://catalog.hathitrust.org/Record/000636192</v>
      </c>
      <c r="I414" s="1" t="s">
        <v>19909</v>
      </c>
      <c r="J414" s="1">
        <v>1879</v>
      </c>
      <c r="K414" t="s">
        <v>19896</v>
      </c>
    </row>
    <row r="415" spans="1:12">
      <c r="A415" t="s">
        <v>19910</v>
      </c>
      <c r="B415" s="1" t="s">
        <v>20041</v>
      </c>
      <c r="F415">
        <v>1</v>
      </c>
      <c r="G415" t="str">
        <f>HYPERLINK("http://babel.hathitrust.org/cgi/pt?id=mdp.39015025422497")</f>
        <v>http://babel.hathitrust.org/cgi/pt?id=mdp.39015025422497</v>
      </c>
      <c r="H415" t="str">
        <f t="shared" si="8"/>
        <v>http://catalog.hathitrust.org/Record/000636192</v>
      </c>
      <c r="I415" s="1" t="s">
        <v>19911</v>
      </c>
      <c r="J415" s="1">
        <v>1879</v>
      </c>
      <c r="K415" t="s">
        <v>19896</v>
      </c>
    </row>
    <row r="416" spans="1:12">
      <c r="A416" t="s">
        <v>19912</v>
      </c>
      <c r="B416" s="1" t="s">
        <v>20041</v>
      </c>
      <c r="F416">
        <v>1</v>
      </c>
      <c r="G416" t="str">
        <f>HYPERLINK("http://babel.hathitrust.org/cgi/pt?id=mdp.39015025423750")</f>
        <v>http://babel.hathitrust.org/cgi/pt?id=mdp.39015025423750</v>
      </c>
      <c r="H416" t="str">
        <f t="shared" si="8"/>
        <v>http://catalog.hathitrust.org/Record/000636192</v>
      </c>
      <c r="I416" s="1" t="s">
        <v>19913</v>
      </c>
      <c r="J416" s="1">
        <v>1879</v>
      </c>
      <c r="K416" t="s">
        <v>19896</v>
      </c>
    </row>
    <row r="417" spans="1:12">
      <c r="A417" t="s">
        <v>19914</v>
      </c>
      <c r="B417" s="1" t="s">
        <v>20041</v>
      </c>
      <c r="F417">
        <v>1</v>
      </c>
      <c r="G417" t="str">
        <f>HYPERLINK("http://babel.hathitrust.org/cgi/pt?id=mdp.39015025423768")</f>
        <v>http://babel.hathitrust.org/cgi/pt?id=mdp.39015025423768</v>
      </c>
      <c r="H417" t="str">
        <f t="shared" si="8"/>
        <v>http://catalog.hathitrust.org/Record/000636192</v>
      </c>
      <c r="I417" s="1" t="s">
        <v>19915</v>
      </c>
      <c r="J417" s="1">
        <v>1879</v>
      </c>
      <c r="K417" t="s">
        <v>19896</v>
      </c>
    </row>
    <row r="418" spans="1:12">
      <c r="A418" t="s">
        <v>19916</v>
      </c>
      <c r="B418" s="1" t="s">
        <v>20041</v>
      </c>
      <c r="F418">
        <v>1</v>
      </c>
      <c r="G418" t="str">
        <f>HYPERLINK("http://babel.hathitrust.org/cgi/pt?id=mdp.39015025423776")</f>
        <v>http://babel.hathitrust.org/cgi/pt?id=mdp.39015025423776</v>
      </c>
      <c r="H418" t="str">
        <f t="shared" si="8"/>
        <v>http://catalog.hathitrust.org/Record/000636192</v>
      </c>
      <c r="I418" s="1" t="s">
        <v>19917</v>
      </c>
      <c r="J418" s="1">
        <v>1879</v>
      </c>
      <c r="K418" t="s">
        <v>19896</v>
      </c>
    </row>
    <row r="419" spans="1:12">
      <c r="A419" t="s">
        <v>19918</v>
      </c>
      <c r="B419" s="1" t="s">
        <v>20041</v>
      </c>
      <c r="F419">
        <v>1</v>
      </c>
      <c r="G419" t="str">
        <f>HYPERLINK("http://babel.hathitrust.org/cgi/pt?id=mdp.39015025423784")</f>
        <v>http://babel.hathitrust.org/cgi/pt?id=mdp.39015025423784</v>
      </c>
      <c r="H419" t="str">
        <f t="shared" si="8"/>
        <v>http://catalog.hathitrust.org/Record/000636192</v>
      </c>
      <c r="I419" s="1" t="s">
        <v>19919</v>
      </c>
      <c r="J419" s="1">
        <v>1879</v>
      </c>
      <c r="K419" t="s">
        <v>19896</v>
      </c>
    </row>
    <row r="420" spans="1:12">
      <c r="A420" t="s">
        <v>19920</v>
      </c>
      <c r="B420" s="1" t="s">
        <v>20041</v>
      </c>
      <c r="F420">
        <v>1</v>
      </c>
      <c r="G420" t="str">
        <f>HYPERLINK("http://babel.hathitrust.org/cgi/pt?id=mdp.39015025423792")</f>
        <v>http://babel.hathitrust.org/cgi/pt?id=mdp.39015025423792</v>
      </c>
      <c r="H420" t="str">
        <f t="shared" si="8"/>
        <v>http://catalog.hathitrust.org/Record/000636192</v>
      </c>
      <c r="I420" s="1" t="s">
        <v>19921</v>
      </c>
      <c r="J420" s="1">
        <v>1879</v>
      </c>
      <c r="K420" t="s">
        <v>19896</v>
      </c>
    </row>
    <row r="421" spans="1:12">
      <c r="A421" t="s">
        <v>19922</v>
      </c>
      <c r="B421" s="1" t="s">
        <v>20041</v>
      </c>
      <c r="F421">
        <v>1</v>
      </c>
      <c r="G421" t="str">
        <f>HYPERLINK("http://babel.hathitrust.org/cgi/pt?id=mdp.39015025423800")</f>
        <v>http://babel.hathitrust.org/cgi/pt?id=mdp.39015025423800</v>
      </c>
      <c r="H421" t="str">
        <f t="shared" si="8"/>
        <v>http://catalog.hathitrust.org/Record/000636192</v>
      </c>
      <c r="I421" s="1" t="s">
        <v>19923</v>
      </c>
      <c r="J421" s="1">
        <v>1879</v>
      </c>
      <c r="K421" t="s">
        <v>19896</v>
      </c>
    </row>
    <row r="422" spans="1:12">
      <c r="A422" t="s">
        <v>19924</v>
      </c>
      <c r="B422" s="1" t="s">
        <v>20041</v>
      </c>
      <c r="F422">
        <v>1</v>
      </c>
      <c r="G422" t="str">
        <f>HYPERLINK("http://babel.hathitrust.org/cgi/pt?id=mdp.39015025423818")</f>
        <v>http://babel.hathitrust.org/cgi/pt?id=mdp.39015025423818</v>
      </c>
      <c r="H422" t="str">
        <f t="shared" si="8"/>
        <v>http://catalog.hathitrust.org/Record/000636192</v>
      </c>
      <c r="I422" s="1" t="s">
        <v>19925</v>
      </c>
      <c r="J422" s="1">
        <v>1879</v>
      </c>
      <c r="K422" t="s">
        <v>19896</v>
      </c>
    </row>
    <row r="423" spans="1:12">
      <c r="A423" t="s">
        <v>19926</v>
      </c>
      <c r="B423" s="1" t="s">
        <v>20041</v>
      </c>
      <c r="F423">
        <v>1</v>
      </c>
      <c r="G423" t="str">
        <f>HYPERLINK("http://babel.hathitrust.org/cgi/pt?id=mdp.39015025423826")</f>
        <v>http://babel.hathitrust.org/cgi/pt?id=mdp.39015025423826</v>
      </c>
      <c r="H423" t="str">
        <f t="shared" si="8"/>
        <v>http://catalog.hathitrust.org/Record/000636192</v>
      </c>
      <c r="I423" s="1" t="s">
        <v>19927</v>
      </c>
      <c r="J423" s="1">
        <v>1879</v>
      </c>
      <c r="K423" t="s">
        <v>19896</v>
      </c>
    </row>
    <row r="424" spans="1:12">
      <c r="A424" t="s">
        <v>19928</v>
      </c>
      <c r="B424" s="1" t="s">
        <v>20041</v>
      </c>
      <c r="F424">
        <v>1</v>
      </c>
      <c r="G424" t="str">
        <f>HYPERLINK("http://babel.hathitrust.org/cgi/pt?id=mdp.39015025423834")</f>
        <v>http://babel.hathitrust.org/cgi/pt?id=mdp.39015025423834</v>
      </c>
      <c r="H424" t="str">
        <f t="shared" si="8"/>
        <v>http://catalog.hathitrust.org/Record/000636192</v>
      </c>
      <c r="I424" s="1" t="s">
        <v>19929</v>
      </c>
      <c r="J424" s="1">
        <v>1879</v>
      </c>
      <c r="K424" t="s">
        <v>19896</v>
      </c>
    </row>
    <row r="425" spans="1:12">
      <c r="A425" t="s">
        <v>19930</v>
      </c>
      <c r="B425" s="1" t="s">
        <v>20041</v>
      </c>
      <c r="F425">
        <v>1</v>
      </c>
      <c r="G425" t="str">
        <f>HYPERLINK("http://babel.hathitrust.org/cgi/pt?id=uva.x004061221")</f>
        <v>http://babel.hathitrust.org/cgi/pt?id=uva.x004061221</v>
      </c>
      <c r="H425" t="str">
        <f t="shared" si="8"/>
        <v>http://catalog.hathitrust.org/Record/000636192</v>
      </c>
      <c r="I425" s="1" t="s">
        <v>19931</v>
      </c>
      <c r="J425" s="1">
        <v>1879</v>
      </c>
      <c r="K425" t="s">
        <v>19896</v>
      </c>
    </row>
    <row r="426" spans="1:12">
      <c r="A426" t="s">
        <v>19932</v>
      </c>
      <c r="B426" s="1" t="s">
        <v>20041</v>
      </c>
      <c r="F426">
        <v>1</v>
      </c>
      <c r="G426" t="str">
        <f>HYPERLINK("http://babel.hathitrust.org/cgi/pt?id=uva.x004061222")</f>
        <v>http://babel.hathitrust.org/cgi/pt?id=uva.x004061222</v>
      </c>
      <c r="H426" t="str">
        <f t="shared" si="8"/>
        <v>http://catalog.hathitrust.org/Record/000636192</v>
      </c>
      <c r="I426" s="1" t="s">
        <v>19933</v>
      </c>
      <c r="J426" s="1">
        <v>1879</v>
      </c>
      <c r="K426" t="s">
        <v>19896</v>
      </c>
    </row>
    <row r="427" spans="1:12">
      <c r="A427" t="s">
        <v>19934</v>
      </c>
      <c r="B427" s="1" t="s">
        <v>20041</v>
      </c>
      <c r="F427">
        <v>1</v>
      </c>
      <c r="G427" t="str">
        <f>HYPERLINK("http://babel.hathitrust.org/cgi/pt?id=uva.x004061223")</f>
        <v>http://babel.hathitrust.org/cgi/pt?id=uva.x004061223</v>
      </c>
      <c r="H427" t="str">
        <f t="shared" si="8"/>
        <v>http://catalog.hathitrust.org/Record/000636192</v>
      </c>
      <c r="I427" s="1" t="s">
        <v>19935</v>
      </c>
      <c r="J427" s="1">
        <v>1879</v>
      </c>
      <c r="K427" t="s">
        <v>19896</v>
      </c>
    </row>
    <row r="428" spans="1:12">
      <c r="A428" t="s">
        <v>19936</v>
      </c>
      <c r="B428" s="1" t="s">
        <v>20041</v>
      </c>
      <c r="F428">
        <v>1</v>
      </c>
      <c r="G428" t="str">
        <f>HYPERLINK("http://babel.hathitrust.org/cgi/pt?id=uva.x004061224")</f>
        <v>http://babel.hathitrust.org/cgi/pt?id=uva.x004061224</v>
      </c>
      <c r="H428" t="str">
        <f t="shared" si="8"/>
        <v>http://catalog.hathitrust.org/Record/000636192</v>
      </c>
      <c r="I428" s="1" t="s">
        <v>19937</v>
      </c>
      <c r="J428" s="1">
        <v>1879</v>
      </c>
      <c r="K428" t="s">
        <v>19896</v>
      </c>
    </row>
    <row r="429" spans="1:12">
      <c r="A429" t="s">
        <v>19938</v>
      </c>
      <c r="B429" s="1" t="s">
        <v>20041</v>
      </c>
      <c r="F429">
        <v>1</v>
      </c>
      <c r="G429" t="str">
        <f>HYPERLINK("http://babel.hathitrust.org/cgi/pt?id=uva.x004061228")</f>
        <v>http://babel.hathitrust.org/cgi/pt?id=uva.x004061228</v>
      </c>
      <c r="H429" t="str">
        <f t="shared" si="8"/>
        <v>http://catalog.hathitrust.org/Record/000636192</v>
      </c>
      <c r="I429" s="1" t="s">
        <v>19939</v>
      </c>
      <c r="J429" s="1">
        <v>1879</v>
      </c>
      <c r="K429" t="s">
        <v>19896</v>
      </c>
    </row>
    <row r="430" spans="1:12">
      <c r="A430" t="s">
        <v>19940</v>
      </c>
      <c r="B430" s="1" t="s">
        <v>20041</v>
      </c>
      <c r="F430">
        <v>1</v>
      </c>
      <c r="G430" t="str">
        <f>HYPERLINK("http://babel.hathitrust.org/cgi/pt?id=uva.x006136371")</f>
        <v>http://babel.hathitrust.org/cgi/pt?id=uva.x006136371</v>
      </c>
      <c r="H430" t="str">
        <f t="shared" si="8"/>
        <v>http://catalog.hathitrust.org/Record/000636192</v>
      </c>
      <c r="I430" s="1" t="s">
        <v>19941</v>
      </c>
      <c r="J430" s="1">
        <v>1879</v>
      </c>
      <c r="K430" t="s">
        <v>19896</v>
      </c>
    </row>
    <row r="431" spans="1:12">
      <c r="A431" t="s">
        <v>19942</v>
      </c>
      <c r="B431" s="1" t="s">
        <v>19943</v>
      </c>
      <c r="F431">
        <v>1</v>
      </c>
      <c r="G431" t="str">
        <f>HYPERLINK("http://babel.hathitrust.org/cgi/pt?id=mdp.39015041811822")</f>
        <v>http://babel.hathitrust.org/cgi/pt?id=mdp.39015041811822</v>
      </c>
      <c r="H431" t="str">
        <f>HYPERLINK("http://catalog.hathitrust.org/Record/000665068")</f>
        <v>http://catalog.hathitrust.org/Record/000665068</v>
      </c>
      <c r="J431" s="1">
        <v>1905</v>
      </c>
      <c r="K431" t="s">
        <v>19944</v>
      </c>
      <c r="L431" t="s">
        <v>19945</v>
      </c>
    </row>
    <row r="432" spans="1:12">
      <c r="A432" t="s">
        <v>19946</v>
      </c>
      <c r="B432" s="1" t="s">
        <v>19943</v>
      </c>
      <c r="F432">
        <v>1</v>
      </c>
      <c r="G432" t="str">
        <f>HYPERLINK("http://babel.hathitrust.org/cgi/pt?id=uc1.b14843")</f>
        <v>http://babel.hathitrust.org/cgi/pt?id=uc1.b14843</v>
      </c>
      <c r="H432" t="str">
        <f>HYPERLINK("http://catalog.hathitrust.org/Record/000665068")</f>
        <v>http://catalog.hathitrust.org/Record/000665068</v>
      </c>
      <c r="J432" s="1">
        <v>1905</v>
      </c>
      <c r="K432" t="s">
        <v>19944</v>
      </c>
      <c r="L432" t="s">
        <v>19945</v>
      </c>
    </row>
    <row r="433" spans="1:12">
      <c r="A433" t="s">
        <v>19947</v>
      </c>
      <c r="B433" s="1" t="s">
        <v>19943</v>
      </c>
      <c r="F433">
        <v>1</v>
      </c>
      <c r="G433" t="str">
        <f>HYPERLINK("http://babel.hathitrust.org/cgi/pt?id=uc2.ark:/13960/t9h41np10")</f>
        <v>http://babel.hathitrust.org/cgi/pt?id=uc2.ark:/13960/t9h41np10</v>
      </c>
      <c r="H433" t="str">
        <f>HYPERLINK("http://catalog.hathitrust.org/Record/000665068")</f>
        <v>http://catalog.hathitrust.org/Record/000665068</v>
      </c>
      <c r="J433" s="1">
        <v>1905</v>
      </c>
      <c r="K433" t="s">
        <v>19944</v>
      </c>
      <c r="L433" t="s">
        <v>19945</v>
      </c>
    </row>
    <row r="434" spans="1:12">
      <c r="A434" t="s">
        <v>19948</v>
      </c>
      <c r="B434" s="1" t="s">
        <v>19949</v>
      </c>
      <c r="D434">
        <v>1</v>
      </c>
      <c r="G434" t="str">
        <f>HYPERLINK("http://babel.hathitrust.org/cgi/pt?id=mdp.39015004056944")</f>
        <v>http://babel.hathitrust.org/cgi/pt?id=mdp.39015004056944</v>
      </c>
      <c r="H434" t="str">
        <f>HYPERLINK("http://catalog.hathitrust.org/Record/000666099")</f>
        <v>http://catalog.hathitrust.org/Record/000666099</v>
      </c>
      <c r="J434" s="1">
        <v>1936</v>
      </c>
      <c r="K434" t="s">
        <v>19950</v>
      </c>
      <c r="L434" t="s">
        <v>20256</v>
      </c>
    </row>
    <row r="435" spans="1:12">
      <c r="A435" t="s">
        <v>19951</v>
      </c>
      <c r="B435" s="1" t="s">
        <v>19952</v>
      </c>
      <c r="D435">
        <v>1</v>
      </c>
      <c r="G435" t="str">
        <f>HYPERLINK("http://babel.hathitrust.org/cgi/pt?id=mdp.39015004729847")</f>
        <v>http://babel.hathitrust.org/cgi/pt?id=mdp.39015004729847</v>
      </c>
      <c r="H435" t="str">
        <f>HYPERLINK("http://catalog.hathitrust.org/Record/000666103")</f>
        <v>http://catalog.hathitrust.org/Record/000666103</v>
      </c>
      <c r="J435" s="1">
        <v>1834</v>
      </c>
      <c r="K435" t="s">
        <v>19953</v>
      </c>
      <c r="L435" t="s">
        <v>20256</v>
      </c>
    </row>
    <row r="436" spans="1:12">
      <c r="A436" t="s">
        <v>19954</v>
      </c>
      <c r="B436" s="1" t="s">
        <v>19955</v>
      </c>
      <c r="D436">
        <v>1</v>
      </c>
      <c r="G436" t="str">
        <f>HYPERLINK("http://babel.hathitrust.org/cgi/pt?id=mdp.39015004994771")</f>
        <v>http://babel.hathitrust.org/cgi/pt?id=mdp.39015004994771</v>
      </c>
      <c r="H436" t="str">
        <f>HYPERLINK("http://catalog.hathitrust.org/Record/000666109")</f>
        <v>http://catalog.hathitrust.org/Record/000666109</v>
      </c>
      <c r="I436" s="1" t="s">
        <v>20755</v>
      </c>
      <c r="J436" s="1">
        <v>1881</v>
      </c>
      <c r="K436" t="s">
        <v>19956</v>
      </c>
      <c r="L436" t="s">
        <v>20256</v>
      </c>
    </row>
    <row r="437" spans="1:12">
      <c r="A437" t="s">
        <v>19957</v>
      </c>
      <c r="B437" s="1" t="s">
        <v>19958</v>
      </c>
      <c r="F437">
        <v>1</v>
      </c>
      <c r="G437" t="str">
        <f>HYPERLINK("http://babel.hathitrust.org/cgi/pt?id=mdp.39015008494562")</f>
        <v>http://babel.hathitrust.org/cgi/pt?id=mdp.39015008494562</v>
      </c>
      <c r="H437" t="str">
        <f>HYPERLINK("http://catalog.hathitrust.org/Record/000666457")</f>
        <v>http://catalog.hathitrust.org/Record/000666457</v>
      </c>
      <c r="J437" s="1">
        <v>1935</v>
      </c>
      <c r="K437" t="s">
        <v>19959</v>
      </c>
      <c r="L437" t="s">
        <v>19960</v>
      </c>
    </row>
    <row r="438" spans="1:12">
      <c r="A438" t="s">
        <v>19961</v>
      </c>
      <c r="B438" s="1" t="s">
        <v>19962</v>
      </c>
      <c r="D438">
        <v>1</v>
      </c>
      <c r="G438" t="str">
        <f>HYPERLINK("http://babel.hathitrust.org/cgi/pt?id=mdp.39015001518557")</f>
        <v>http://babel.hathitrust.org/cgi/pt?id=mdp.39015001518557</v>
      </c>
      <c r="H438" t="str">
        <f>HYPERLINK("http://catalog.hathitrust.org/Record/000666510")</f>
        <v>http://catalog.hathitrust.org/Record/000666510</v>
      </c>
      <c r="I438" s="1" t="s">
        <v>20916</v>
      </c>
      <c r="J438" s="1">
        <v>1907</v>
      </c>
      <c r="K438" t="s">
        <v>19963</v>
      </c>
      <c r="L438" t="s">
        <v>20256</v>
      </c>
    </row>
    <row r="439" spans="1:12">
      <c r="A439" t="s">
        <v>19964</v>
      </c>
      <c r="B439" s="1" t="s">
        <v>19962</v>
      </c>
      <c r="D439">
        <v>1</v>
      </c>
      <c r="G439" t="str">
        <f>HYPERLINK("http://babel.hathitrust.org/cgi/pt?id=mdp.39015008272901")</f>
        <v>http://babel.hathitrust.org/cgi/pt?id=mdp.39015008272901</v>
      </c>
      <c r="H439" t="str">
        <f>HYPERLINK("http://catalog.hathitrust.org/Record/000666510")</f>
        <v>http://catalog.hathitrust.org/Record/000666510</v>
      </c>
      <c r="I439" s="1" t="s">
        <v>20755</v>
      </c>
      <c r="J439" s="1">
        <v>1907</v>
      </c>
      <c r="K439" t="s">
        <v>19963</v>
      </c>
      <c r="L439" t="s">
        <v>20256</v>
      </c>
    </row>
    <row r="440" spans="1:12">
      <c r="A440" t="s">
        <v>19965</v>
      </c>
      <c r="B440" s="1" t="s">
        <v>19966</v>
      </c>
      <c r="F440">
        <v>1</v>
      </c>
      <c r="G440" t="str">
        <f>HYPERLINK("http://babel.hathitrust.org/cgi/pt?id=mdp.39015008393632")</f>
        <v>http://babel.hathitrust.org/cgi/pt?id=mdp.39015008393632</v>
      </c>
      <c r="H440" t="str">
        <f>HYPERLINK("http://catalog.hathitrust.org/Record/000666837")</f>
        <v>http://catalog.hathitrust.org/Record/000666837</v>
      </c>
      <c r="J440" s="1">
        <v>1950</v>
      </c>
      <c r="K440" t="s">
        <v>19967</v>
      </c>
      <c r="L440" t="s">
        <v>19960</v>
      </c>
    </row>
    <row r="441" spans="1:12">
      <c r="A441" t="s">
        <v>19968</v>
      </c>
      <c r="B441" s="1" t="s">
        <v>19969</v>
      </c>
      <c r="D441">
        <v>1</v>
      </c>
      <c r="G441" t="str">
        <f>HYPERLINK("http://babel.hathitrust.org/cgi/pt?id=mdp.39015030723681")</f>
        <v>http://babel.hathitrust.org/cgi/pt?id=mdp.39015030723681</v>
      </c>
      <c r="H441" t="str">
        <f>HYPERLINK("http://catalog.hathitrust.org/Record/000667035")</f>
        <v>http://catalog.hathitrust.org/Record/000667035</v>
      </c>
      <c r="J441" s="1">
        <v>1874</v>
      </c>
      <c r="K441" t="s">
        <v>19970</v>
      </c>
      <c r="L441" t="s">
        <v>20256</v>
      </c>
    </row>
    <row r="442" spans="1:12">
      <c r="A442" t="s">
        <v>19971</v>
      </c>
      <c r="B442" s="1" t="s">
        <v>19972</v>
      </c>
      <c r="D442">
        <v>1</v>
      </c>
      <c r="G442" t="str">
        <f>HYPERLINK("http://babel.hathitrust.org/cgi/pt?id=mdp.39015030723673")</f>
        <v>http://babel.hathitrust.org/cgi/pt?id=mdp.39015030723673</v>
      </c>
      <c r="H442" t="str">
        <f>HYPERLINK("http://catalog.hathitrust.org/Record/000667037")</f>
        <v>http://catalog.hathitrust.org/Record/000667037</v>
      </c>
      <c r="J442" s="1">
        <v>1894</v>
      </c>
      <c r="K442" t="s">
        <v>19844</v>
      </c>
      <c r="L442" t="s">
        <v>20256</v>
      </c>
    </row>
    <row r="443" spans="1:12">
      <c r="A443" t="s">
        <v>19845</v>
      </c>
      <c r="B443" s="1" t="s">
        <v>19846</v>
      </c>
      <c r="E443">
        <v>1</v>
      </c>
      <c r="G443" t="str">
        <f>HYPERLINK("http://babel.hathitrust.org/cgi/pt?id=mdp.39015001550394")</f>
        <v>http://babel.hathitrust.org/cgi/pt?id=mdp.39015001550394</v>
      </c>
      <c r="H443" t="str">
        <f>HYPERLINK("http://catalog.hathitrust.org/Record/000667630")</f>
        <v>http://catalog.hathitrust.org/Record/000667630</v>
      </c>
      <c r="I443" s="1" t="s">
        <v>20679</v>
      </c>
      <c r="J443" s="1">
        <v>1872</v>
      </c>
      <c r="K443" t="s">
        <v>19847</v>
      </c>
      <c r="L443" t="s">
        <v>20485</v>
      </c>
    </row>
    <row r="444" spans="1:12">
      <c r="A444" t="s">
        <v>19848</v>
      </c>
      <c r="B444" s="1" t="s">
        <v>19849</v>
      </c>
      <c r="D444">
        <v>1</v>
      </c>
      <c r="G444" t="str">
        <f>HYPERLINK("http://babel.hathitrust.org/cgi/pt?id=mdp.39015066051346")</f>
        <v>http://babel.hathitrust.org/cgi/pt?id=mdp.39015066051346</v>
      </c>
      <c r="H444" t="str">
        <f>HYPERLINK("http://catalog.hathitrust.org/Record/000668453")</f>
        <v>http://catalog.hathitrust.org/Record/000668453</v>
      </c>
      <c r="J444" s="1">
        <v>1898</v>
      </c>
      <c r="K444" t="s">
        <v>19850</v>
      </c>
      <c r="L444" t="s">
        <v>20256</v>
      </c>
    </row>
    <row r="445" spans="1:12">
      <c r="A445" t="s">
        <v>19851</v>
      </c>
      <c r="B445" s="1" t="s">
        <v>19852</v>
      </c>
      <c r="F445">
        <v>1</v>
      </c>
      <c r="G445" t="str">
        <f>HYPERLINK("http://babel.hathitrust.org/cgi/pt?id=mdp.39015009035653")</f>
        <v>http://babel.hathitrust.org/cgi/pt?id=mdp.39015009035653</v>
      </c>
      <c r="H445" t="str">
        <f>HYPERLINK("http://catalog.hathitrust.org/Record/000670136")</f>
        <v>http://catalog.hathitrust.org/Record/000670136</v>
      </c>
      <c r="J445" s="1">
        <v>1924</v>
      </c>
      <c r="K445" t="s">
        <v>19853</v>
      </c>
      <c r="L445" t="s">
        <v>19854</v>
      </c>
    </row>
    <row r="446" spans="1:12">
      <c r="A446" t="s">
        <v>19855</v>
      </c>
      <c r="B446" s="1" t="s">
        <v>19852</v>
      </c>
      <c r="F446">
        <v>1</v>
      </c>
      <c r="G446" t="str">
        <f>HYPERLINK("http://babel.hathitrust.org/cgi/pt?id=mdp.39015019100364")</f>
        <v>http://babel.hathitrust.org/cgi/pt?id=mdp.39015019100364</v>
      </c>
      <c r="H446" t="str">
        <f>HYPERLINK("http://catalog.hathitrust.org/Record/000670136")</f>
        <v>http://catalog.hathitrust.org/Record/000670136</v>
      </c>
      <c r="J446" s="1">
        <v>1924</v>
      </c>
      <c r="K446" t="s">
        <v>19853</v>
      </c>
      <c r="L446" t="s">
        <v>19854</v>
      </c>
    </row>
    <row r="447" spans="1:12">
      <c r="A447" t="s">
        <v>19856</v>
      </c>
      <c r="B447" s="1" t="s">
        <v>19852</v>
      </c>
      <c r="F447">
        <v>1</v>
      </c>
      <c r="G447" t="str">
        <f>HYPERLINK("http://babel.hathitrust.org/cgi/pt?id=mdp.39015031297743")</f>
        <v>http://babel.hathitrust.org/cgi/pt?id=mdp.39015031297743</v>
      </c>
      <c r="H447" t="str">
        <f>HYPERLINK("http://catalog.hathitrust.org/Record/000670136")</f>
        <v>http://catalog.hathitrust.org/Record/000670136</v>
      </c>
      <c r="J447" s="1">
        <v>1924</v>
      </c>
      <c r="K447" t="s">
        <v>19853</v>
      </c>
      <c r="L447" t="s">
        <v>19854</v>
      </c>
    </row>
    <row r="448" spans="1:12">
      <c r="A448" t="s">
        <v>19857</v>
      </c>
      <c r="B448" s="1" t="s">
        <v>19858</v>
      </c>
      <c r="E448">
        <v>1</v>
      </c>
      <c r="G448" t="str">
        <f>HYPERLINK("http://babel.hathitrust.org/cgi/pt?id=hvd.hw2g3d")</f>
        <v>http://babel.hathitrust.org/cgi/pt?id=hvd.hw2g3d</v>
      </c>
      <c r="H448" t="str">
        <f>HYPERLINK("http://catalog.hathitrust.org/Record/000779675")</f>
        <v>http://catalog.hathitrust.org/Record/000779675</v>
      </c>
      <c r="J448" s="1">
        <v>1803</v>
      </c>
      <c r="K448" t="s">
        <v>19859</v>
      </c>
      <c r="L448" t="s">
        <v>19860</v>
      </c>
    </row>
    <row r="449" spans="1:12">
      <c r="A449" t="s">
        <v>19861</v>
      </c>
      <c r="B449" s="1" t="s">
        <v>19862</v>
      </c>
      <c r="D449">
        <v>1</v>
      </c>
      <c r="G449" t="str">
        <f>HYPERLINK("http://babel.hathitrust.org/cgi/pt?id=mdp.39015067293749")</f>
        <v>http://babel.hathitrust.org/cgi/pt?id=mdp.39015067293749</v>
      </c>
      <c r="H449" t="str">
        <f>HYPERLINK("http://catalog.hathitrust.org/Record/000780042")</f>
        <v>http://catalog.hathitrust.org/Record/000780042</v>
      </c>
      <c r="J449" s="1">
        <v>1745</v>
      </c>
      <c r="K449" t="s">
        <v>19863</v>
      </c>
      <c r="L449" t="s">
        <v>19864</v>
      </c>
    </row>
    <row r="450" spans="1:12">
      <c r="A450" t="s">
        <v>19865</v>
      </c>
      <c r="B450" s="1" t="s">
        <v>19866</v>
      </c>
      <c r="F450">
        <v>1</v>
      </c>
      <c r="G450" t="str">
        <f>HYPERLINK("http://babel.hathitrust.org/cgi/pt?id=mdp.39015063920634")</f>
        <v>http://babel.hathitrust.org/cgi/pt?id=mdp.39015063920634</v>
      </c>
      <c r="H450" t="str">
        <f>HYPERLINK("http://catalog.hathitrust.org/Record/000781641")</f>
        <v>http://catalog.hathitrust.org/Record/000781641</v>
      </c>
      <c r="J450" s="1">
        <v>1797</v>
      </c>
      <c r="K450" t="s">
        <v>19867</v>
      </c>
      <c r="L450" t="s">
        <v>20086</v>
      </c>
    </row>
    <row r="451" spans="1:12">
      <c r="A451" t="s">
        <v>19868</v>
      </c>
      <c r="B451" s="1" t="s">
        <v>19869</v>
      </c>
      <c r="F451">
        <v>1</v>
      </c>
      <c r="G451" t="str">
        <f>HYPERLINK("http://babel.hathitrust.org/cgi/pt?id=hvd.hwkfee")</f>
        <v>http://babel.hathitrust.org/cgi/pt?id=hvd.hwkfee</v>
      </c>
      <c r="H451" t="str">
        <f t="shared" ref="H451:H458" si="9">HYPERLINK("http://catalog.hathitrust.org/Record/000781647")</f>
        <v>http://catalog.hathitrust.org/Record/000781647</v>
      </c>
      <c r="I451" s="1" t="s">
        <v>20916</v>
      </c>
      <c r="J451" s="1">
        <v>1854</v>
      </c>
      <c r="K451" t="s">
        <v>19870</v>
      </c>
      <c r="L451" t="s">
        <v>20086</v>
      </c>
    </row>
    <row r="452" spans="1:12">
      <c r="A452" t="s">
        <v>19871</v>
      </c>
      <c r="B452" s="1" t="s">
        <v>19869</v>
      </c>
      <c r="F452">
        <v>1</v>
      </c>
      <c r="G452" t="str">
        <f>HYPERLINK("http://babel.hathitrust.org/cgi/pt?id=hvd.hwkff4")</f>
        <v>http://babel.hathitrust.org/cgi/pt?id=hvd.hwkff4</v>
      </c>
      <c r="H452" t="str">
        <f t="shared" si="9"/>
        <v>http://catalog.hathitrust.org/Record/000781647</v>
      </c>
      <c r="I452" s="1" t="s">
        <v>20755</v>
      </c>
      <c r="J452" s="1">
        <v>1854</v>
      </c>
      <c r="K452" t="s">
        <v>19870</v>
      </c>
      <c r="L452" t="s">
        <v>20086</v>
      </c>
    </row>
    <row r="453" spans="1:12">
      <c r="A453" t="s">
        <v>19872</v>
      </c>
      <c r="B453" s="1" t="s">
        <v>19869</v>
      </c>
      <c r="F453">
        <v>1</v>
      </c>
      <c r="G453" t="str">
        <f>HYPERLINK("http://babel.hathitrust.org/cgi/pt?id=hvd.hwkfgj")</f>
        <v>http://babel.hathitrust.org/cgi/pt?id=hvd.hwkfgj</v>
      </c>
      <c r="H453" t="str">
        <f t="shared" si="9"/>
        <v>http://catalog.hathitrust.org/Record/000781647</v>
      </c>
      <c r="I453" s="1" t="s">
        <v>20920</v>
      </c>
      <c r="J453" s="1">
        <v>1854</v>
      </c>
      <c r="K453" t="s">
        <v>19870</v>
      </c>
      <c r="L453" t="s">
        <v>20086</v>
      </c>
    </row>
    <row r="454" spans="1:12">
      <c r="A454" t="s">
        <v>19873</v>
      </c>
      <c r="B454" s="1" t="s">
        <v>19869</v>
      </c>
      <c r="F454">
        <v>1</v>
      </c>
      <c r="G454" t="str">
        <f>HYPERLINK("http://babel.hathitrust.org/cgi/pt?id=mdp.39015067177728")</f>
        <v>http://babel.hathitrust.org/cgi/pt?id=mdp.39015067177728</v>
      </c>
      <c r="H454" t="str">
        <f t="shared" si="9"/>
        <v>http://catalog.hathitrust.org/Record/000781647</v>
      </c>
      <c r="I454" s="1" t="s">
        <v>20920</v>
      </c>
      <c r="J454" s="1">
        <v>1854</v>
      </c>
      <c r="K454" t="s">
        <v>19870</v>
      </c>
      <c r="L454" t="s">
        <v>20086</v>
      </c>
    </row>
    <row r="455" spans="1:12">
      <c r="A455" t="s">
        <v>19874</v>
      </c>
      <c r="B455" s="1" t="s">
        <v>19869</v>
      </c>
      <c r="F455">
        <v>1</v>
      </c>
      <c r="G455" t="str">
        <f>HYPERLINK("http://babel.hathitrust.org/cgi/pt?id=mdp.39015067177736")</f>
        <v>http://babel.hathitrust.org/cgi/pt?id=mdp.39015067177736</v>
      </c>
      <c r="H455" t="str">
        <f t="shared" si="9"/>
        <v>http://catalog.hathitrust.org/Record/000781647</v>
      </c>
      <c r="I455" s="1" t="s">
        <v>20755</v>
      </c>
      <c r="J455" s="1">
        <v>1854</v>
      </c>
      <c r="K455" t="s">
        <v>19870</v>
      </c>
      <c r="L455" t="s">
        <v>20086</v>
      </c>
    </row>
    <row r="456" spans="1:12">
      <c r="A456" t="s">
        <v>19875</v>
      </c>
      <c r="B456" s="1" t="s">
        <v>19869</v>
      </c>
      <c r="F456">
        <v>1</v>
      </c>
      <c r="G456" t="str">
        <f>HYPERLINK("http://babel.hathitrust.org/cgi/pt?id=mdp.39015067177744")</f>
        <v>http://babel.hathitrust.org/cgi/pt?id=mdp.39015067177744</v>
      </c>
      <c r="H456" t="str">
        <f t="shared" si="9"/>
        <v>http://catalog.hathitrust.org/Record/000781647</v>
      </c>
      <c r="I456" s="1" t="s">
        <v>20916</v>
      </c>
      <c r="J456" s="1">
        <v>1854</v>
      </c>
      <c r="K456" t="s">
        <v>19870</v>
      </c>
      <c r="L456" t="s">
        <v>20086</v>
      </c>
    </row>
    <row r="457" spans="1:12">
      <c r="A457" t="s">
        <v>19876</v>
      </c>
      <c r="B457" s="1" t="s">
        <v>19869</v>
      </c>
      <c r="F457">
        <v>1</v>
      </c>
      <c r="G457" t="str">
        <f>HYPERLINK("http://babel.hathitrust.org/cgi/pt?id=nyp.33433082196993")</f>
        <v>http://babel.hathitrust.org/cgi/pt?id=nyp.33433082196993</v>
      </c>
      <c r="H457" t="str">
        <f t="shared" si="9"/>
        <v>http://catalog.hathitrust.org/Record/000781647</v>
      </c>
      <c r="I457" s="1" t="s">
        <v>20796</v>
      </c>
      <c r="J457" s="1">
        <v>1854</v>
      </c>
      <c r="K457" t="s">
        <v>19870</v>
      </c>
      <c r="L457" t="s">
        <v>20086</v>
      </c>
    </row>
    <row r="458" spans="1:12">
      <c r="A458" t="s">
        <v>19877</v>
      </c>
      <c r="B458" s="1" t="s">
        <v>19869</v>
      </c>
      <c r="F458">
        <v>1</v>
      </c>
      <c r="G458" t="str">
        <f>HYPERLINK("http://babel.hathitrust.org/cgi/pt?id=nyp.33433082197009")</f>
        <v>http://babel.hathitrust.org/cgi/pt?id=nyp.33433082197009</v>
      </c>
      <c r="H458" t="str">
        <f t="shared" si="9"/>
        <v>http://catalog.hathitrust.org/Record/000781647</v>
      </c>
      <c r="I458" s="1" t="s">
        <v>20799</v>
      </c>
      <c r="J458" s="1">
        <v>1854</v>
      </c>
      <c r="K458" t="s">
        <v>19870</v>
      </c>
      <c r="L458" t="s">
        <v>20086</v>
      </c>
    </row>
    <row r="459" spans="1:12">
      <c r="A459" t="s">
        <v>19878</v>
      </c>
      <c r="B459" s="1" t="s">
        <v>19879</v>
      </c>
      <c r="F459">
        <v>1</v>
      </c>
      <c r="G459" t="str">
        <f>HYPERLINK("http://babel.hathitrust.org/cgi/pt?id=uc1.b275524")</f>
        <v>http://babel.hathitrust.org/cgi/pt?id=uc1.b275524</v>
      </c>
      <c r="H459" t="str">
        <f>HYPERLINK("http://catalog.hathitrust.org/Record/000785067")</f>
        <v>http://catalog.hathitrust.org/Record/000785067</v>
      </c>
      <c r="J459" s="1">
        <v>1906</v>
      </c>
      <c r="K459" t="s">
        <v>19880</v>
      </c>
      <c r="L459" t="s">
        <v>19881</v>
      </c>
    </row>
    <row r="460" spans="1:12">
      <c r="A460" t="s">
        <v>19882</v>
      </c>
      <c r="B460" s="1" t="s">
        <v>19879</v>
      </c>
      <c r="F460">
        <v>1</v>
      </c>
      <c r="G460" t="str">
        <f>HYPERLINK("http://babel.hathitrust.org/cgi/pt?id=uc2.ark:/13960/t7zk58t1q")</f>
        <v>http://babel.hathitrust.org/cgi/pt?id=uc2.ark:/13960/t7zk58t1q</v>
      </c>
      <c r="H460" t="str">
        <f>HYPERLINK("http://catalog.hathitrust.org/Record/000785067")</f>
        <v>http://catalog.hathitrust.org/Record/000785067</v>
      </c>
      <c r="J460" s="1">
        <v>1906</v>
      </c>
      <c r="K460" t="s">
        <v>19880</v>
      </c>
      <c r="L460" t="s">
        <v>19881</v>
      </c>
    </row>
    <row r="461" spans="1:12">
      <c r="A461" t="s">
        <v>19883</v>
      </c>
      <c r="B461" s="1" t="s">
        <v>19884</v>
      </c>
      <c r="F461">
        <v>1</v>
      </c>
      <c r="G461" t="str">
        <f>HYPERLINK("http://babel.hathitrust.org/cgi/pt?id=mdp.39015009035984")</f>
        <v>http://babel.hathitrust.org/cgi/pt?id=mdp.39015009035984</v>
      </c>
      <c r="H461" t="str">
        <f>HYPERLINK("http://catalog.hathitrust.org/Record/000882330")</f>
        <v>http://catalog.hathitrust.org/Record/000882330</v>
      </c>
      <c r="J461" s="1">
        <v>1938</v>
      </c>
      <c r="K461" t="s">
        <v>19885</v>
      </c>
      <c r="L461" t="s">
        <v>19886</v>
      </c>
    </row>
    <row r="462" spans="1:12">
      <c r="A462" t="s">
        <v>19887</v>
      </c>
      <c r="B462" s="1" t="s">
        <v>19884</v>
      </c>
      <c r="F462">
        <v>1</v>
      </c>
      <c r="G462" t="str">
        <f>HYPERLINK("http://babel.hathitrust.org/cgi/pt?id=mdp.39015025887921")</f>
        <v>http://babel.hathitrust.org/cgi/pt?id=mdp.39015025887921</v>
      </c>
      <c r="H462" t="str">
        <f>HYPERLINK("http://catalog.hathitrust.org/Record/000882330")</f>
        <v>http://catalog.hathitrust.org/Record/000882330</v>
      </c>
      <c r="J462" s="1">
        <v>1938</v>
      </c>
      <c r="K462" t="s">
        <v>19885</v>
      </c>
      <c r="L462" t="s">
        <v>19886</v>
      </c>
    </row>
    <row r="463" spans="1:12">
      <c r="A463" t="s">
        <v>19888</v>
      </c>
      <c r="B463" s="1" t="s">
        <v>19889</v>
      </c>
      <c r="E463">
        <v>1</v>
      </c>
      <c r="G463" t="str">
        <f>HYPERLINK("http://babel.hathitrust.org/cgi/pt?id=hvd.32044013678503")</f>
        <v>http://babel.hathitrust.org/cgi/pt?id=hvd.32044013678503</v>
      </c>
      <c r="H463" t="str">
        <f>HYPERLINK("http://catalog.hathitrust.org/Record/000905302")</f>
        <v>http://catalog.hathitrust.org/Record/000905302</v>
      </c>
      <c r="J463" s="1">
        <v>1851</v>
      </c>
      <c r="K463" t="s">
        <v>19890</v>
      </c>
      <c r="L463" t="s">
        <v>19891</v>
      </c>
    </row>
    <row r="464" spans="1:12">
      <c r="A464" t="s">
        <v>19892</v>
      </c>
      <c r="B464" s="1" t="s">
        <v>19893</v>
      </c>
      <c r="F464">
        <v>1</v>
      </c>
      <c r="G464" t="str">
        <f>HYPERLINK("http://babel.hathitrust.org/cgi/pt?id=loc.ark:/13960/t5v709c4x")</f>
        <v>http://babel.hathitrust.org/cgi/pt?id=loc.ark:/13960/t5v709c4x</v>
      </c>
      <c r="H464" t="str">
        <f>HYPERLINK("http://catalog.hathitrust.org/Record/000906272")</f>
        <v>http://catalog.hathitrust.org/Record/000906272</v>
      </c>
      <c r="J464" s="1">
        <v>1898</v>
      </c>
      <c r="K464" t="s">
        <v>19894</v>
      </c>
      <c r="L464" t="s">
        <v>19895</v>
      </c>
    </row>
    <row r="465" spans="1:12">
      <c r="A465" t="s">
        <v>19774</v>
      </c>
      <c r="B465" s="1" t="s">
        <v>19893</v>
      </c>
      <c r="F465">
        <v>1</v>
      </c>
      <c r="G465" t="str">
        <f>HYPERLINK("http://babel.hathitrust.org/cgi/pt?id=mdp.39015003751750")</f>
        <v>http://babel.hathitrust.org/cgi/pt?id=mdp.39015003751750</v>
      </c>
      <c r="H465" t="str">
        <f>HYPERLINK("http://catalog.hathitrust.org/Record/000906272")</f>
        <v>http://catalog.hathitrust.org/Record/000906272</v>
      </c>
      <c r="J465" s="1">
        <v>1898</v>
      </c>
      <c r="K465" t="s">
        <v>19894</v>
      </c>
      <c r="L465" t="s">
        <v>19895</v>
      </c>
    </row>
    <row r="466" spans="1:12">
      <c r="A466" t="s">
        <v>19775</v>
      </c>
      <c r="B466" s="1" t="s">
        <v>19776</v>
      </c>
      <c r="F466">
        <v>1</v>
      </c>
      <c r="G466" t="str">
        <f>HYPERLINK("http://babel.hathitrust.org/cgi/pt?id=mdp.39015058690150")</f>
        <v>http://babel.hathitrust.org/cgi/pt?id=mdp.39015058690150</v>
      </c>
      <c r="H466" t="str">
        <f>HYPERLINK("http://catalog.hathitrust.org/Record/000906301")</f>
        <v>http://catalog.hathitrust.org/Record/000906301</v>
      </c>
      <c r="J466" s="1">
        <v>1891</v>
      </c>
      <c r="K466" t="s">
        <v>19777</v>
      </c>
      <c r="L466" t="s">
        <v>19778</v>
      </c>
    </row>
    <row r="467" spans="1:12">
      <c r="A467" t="s">
        <v>19779</v>
      </c>
      <c r="B467" s="1" t="s">
        <v>19776</v>
      </c>
      <c r="F467">
        <v>1</v>
      </c>
      <c r="G467" t="str">
        <f>HYPERLINK("http://babel.hathitrust.org/cgi/pt?id=uc2.ark:/13960/t6f18wx35")</f>
        <v>http://babel.hathitrust.org/cgi/pt?id=uc2.ark:/13960/t6f18wx35</v>
      </c>
      <c r="H467" t="str">
        <f>HYPERLINK("http://catalog.hathitrust.org/Record/000906301")</f>
        <v>http://catalog.hathitrust.org/Record/000906301</v>
      </c>
      <c r="J467" s="1">
        <v>1891</v>
      </c>
      <c r="K467" t="s">
        <v>19777</v>
      </c>
      <c r="L467" t="s">
        <v>19778</v>
      </c>
    </row>
    <row r="468" spans="1:12">
      <c r="A468" t="s">
        <v>19780</v>
      </c>
      <c r="B468" s="1" t="s">
        <v>19781</v>
      </c>
      <c r="F468">
        <v>1</v>
      </c>
      <c r="G468" t="str">
        <f>HYPERLINK("http://babel.hathitrust.org/cgi/pt?id=mdp.39015053252923")</f>
        <v>http://babel.hathitrust.org/cgi/pt?id=mdp.39015053252923</v>
      </c>
      <c r="H468" t="str">
        <f>HYPERLINK("http://catalog.hathitrust.org/Record/000906390")</f>
        <v>http://catalog.hathitrust.org/Record/000906390</v>
      </c>
      <c r="J468" s="1">
        <v>1895</v>
      </c>
      <c r="K468" t="s">
        <v>19782</v>
      </c>
      <c r="L468" t="s">
        <v>19783</v>
      </c>
    </row>
    <row r="469" spans="1:12">
      <c r="A469" t="s">
        <v>19784</v>
      </c>
      <c r="B469" s="1" t="s">
        <v>19781</v>
      </c>
      <c r="F469">
        <v>1</v>
      </c>
      <c r="G469" t="str">
        <f>HYPERLINK("http://babel.hathitrust.org/cgi/pt?id=uc1.b249309")</f>
        <v>http://babel.hathitrust.org/cgi/pt?id=uc1.b249309</v>
      </c>
      <c r="H469" t="str">
        <f>HYPERLINK("http://catalog.hathitrust.org/Record/000906390")</f>
        <v>http://catalog.hathitrust.org/Record/000906390</v>
      </c>
      <c r="J469" s="1">
        <v>1895</v>
      </c>
      <c r="K469" t="s">
        <v>19782</v>
      </c>
      <c r="L469" t="s">
        <v>19783</v>
      </c>
    </row>
    <row r="470" spans="1:12">
      <c r="A470" t="s">
        <v>19785</v>
      </c>
      <c r="B470" s="1" t="s">
        <v>19781</v>
      </c>
      <c r="F470">
        <v>1</v>
      </c>
      <c r="G470" t="str">
        <f>HYPERLINK("http://babel.hathitrust.org/cgi/pt?id=uc2.ark:/13960/t9s17wt0x")</f>
        <v>http://babel.hathitrust.org/cgi/pt?id=uc2.ark:/13960/t9s17wt0x</v>
      </c>
      <c r="H470" t="str">
        <f>HYPERLINK("http://catalog.hathitrust.org/Record/000906390")</f>
        <v>http://catalog.hathitrust.org/Record/000906390</v>
      </c>
      <c r="J470" s="1">
        <v>1895</v>
      </c>
      <c r="K470" t="s">
        <v>19782</v>
      </c>
      <c r="L470" t="s">
        <v>19783</v>
      </c>
    </row>
    <row r="471" spans="1:12">
      <c r="A471" t="s">
        <v>19786</v>
      </c>
      <c r="B471" s="1" t="s">
        <v>19787</v>
      </c>
      <c r="F471">
        <v>1</v>
      </c>
      <c r="G471" t="str">
        <f>HYPERLINK("http://babel.hathitrust.org/cgi/pt?id=mdp.39015065574843")</f>
        <v>http://babel.hathitrust.org/cgi/pt?id=mdp.39015065574843</v>
      </c>
      <c r="H471" t="str">
        <f>HYPERLINK("http://catalog.hathitrust.org/Record/000907497")</f>
        <v>http://catalog.hathitrust.org/Record/000907497</v>
      </c>
      <c r="J471" s="1">
        <v>1897</v>
      </c>
      <c r="K471" t="s">
        <v>19788</v>
      </c>
      <c r="L471" t="s">
        <v>19789</v>
      </c>
    </row>
    <row r="472" spans="1:12">
      <c r="A472" t="s">
        <v>19790</v>
      </c>
      <c r="B472" s="1" t="s">
        <v>19787</v>
      </c>
      <c r="F472">
        <v>1</v>
      </c>
      <c r="G472" t="str">
        <f>HYPERLINK("http://babel.hathitrust.org/cgi/pt?id=uc1.b3514838")</f>
        <v>http://babel.hathitrust.org/cgi/pt?id=uc1.b3514838</v>
      </c>
      <c r="H472" t="str">
        <f>HYPERLINK("http://catalog.hathitrust.org/Record/000907497")</f>
        <v>http://catalog.hathitrust.org/Record/000907497</v>
      </c>
      <c r="J472" s="1">
        <v>1897</v>
      </c>
      <c r="K472" t="s">
        <v>19788</v>
      </c>
      <c r="L472" t="s">
        <v>19789</v>
      </c>
    </row>
    <row r="473" spans="1:12">
      <c r="A473" t="s">
        <v>19791</v>
      </c>
      <c r="B473" s="1" t="s">
        <v>19787</v>
      </c>
      <c r="F473">
        <v>1</v>
      </c>
      <c r="G473" t="str">
        <f>HYPERLINK("http://babel.hathitrust.org/cgi/pt?id=uc2.ark:/13960/t00z78s35")</f>
        <v>http://babel.hathitrust.org/cgi/pt?id=uc2.ark:/13960/t00z78s35</v>
      </c>
      <c r="H473" t="str">
        <f>HYPERLINK("http://catalog.hathitrust.org/Record/000907497")</f>
        <v>http://catalog.hathitrust.org/Record/000907497</v>
      </c>
      <c r="J473" s="1">
        <v>1897</v>
      </c>
      <c r="K473" t="s">
        <v>19788</v>
      </c>
      <c r="L473" t="s">
        <v>19789</v>
      </c>
    </row>
    <row r="474" spans="1:12">
      <c r="A474" t="s">
        <v>19792</v>
      </c>
      <c r="B474" s="1" t="s">
        <v>19787</v>
      </c>
      <c r="F474">
        <v>1</v>
      </c>
      <c r="G474" t="str">
        <f>HYPERLINK("http://babel.hathitrust.org/cgi/pt?id=uc2.ark:/13960/t78s4xp8n")</f>
        <v>http://babel.hathitrust.org/cgi/pt?id=uc2.ark:/13960/t78s4xp8n</v>
      </c>
      <c r="H474" t="str">
        <f>HYPERLINK("http://catalog.hathitrust.org/Record/000907497")</f>
        <v>http://catalog.hathitrust.org/Record/000907497</v>
      </c>
      <c r="J474" s="1">
        <v>1897</v>
      </c>
      <c r="K474" t="s">
        <v>19788</v>
      </c>
      <c r="L474" t="s">
        <v>19789</v>
      </c>
    </row>
    <row r="475" spans="1:12">
      <c r="A475" t="s">
        <v>19793</v>
      </c>
      <c r="B475" s="1" t="s">
        <v>19794</v>
      </c>
      <c r="E475">
        <v>1</v>
      </c>
      <c r="G475" t="str">
        <f>HYPERLINK("http://babel.hathitrust.org/cgi/pt?id=mdp.39015000544042")</f>
        <v>http://babel.hathitrust.org/cgi/pt?id=mdp.39015000544042</v>
      </c>
      <c r="H475" t="str">
        <f>HYPERLINK("http://catalog.hathitrust.org/Record/000907533")</f>
        <v>http://catalog.hathitrust.org/Record/000907533</v>
      </c>
      <c r="J475" s="1">
        <v>1890</v>
      </c>
      <c r="K475" t="s">
        <v>19795</v>
      </c>
      <c r="L475" t="s">
        <v>19796</v>
      </c>
    </row>
    <row r="476" spans="1:12">
      <c r="A476" t="s">
        <v>19797</v>
      </c>
      <c r="B476" s="1" t="s">
        <v>19798</v>
      </c>
      <c r="D476">
        <v>1</v>
      </c>
      <c r="G476" t="str">
        <f>HYPERLINK("http://babel.hathitrust.org/cgi/pt?id=mdp.39015056480562")</f>
        <v>http://babel.hathitrust.org/cgi/pt?id=mdp.39015056480562</v>
      </c>
      <c r="H476" t="str">
        <f>HYPERLINK("http://catalog.hathitrust.org/Record/000913965")</f>
        <v>http://catalog.hathitrust.org/Record/000913965</v>
      </c>
      <c r="J476" s="1">
        <v>1887</v>
      </c>
      <c r="K476" t="s">
        <v>19799</v>
      </c>
      <c r="L476" t="s">
        <v>19800</v>
      </c>
    </row>
    <row r="477" spans="1:12">
      <c r="A477" t="s">
        <v>19801</v>
      </c>
      <c r="B477" s="1" t="s">
        <v>19802</v>
      </c>
      <c r="F477">
        <v>1</v>
      </c>
      <c r="G477" t="str">
        <f>HYPERLINK("http://babel.hathitrust.org/cgi/pt?id=mdp.39015020207083")</f>
        <v>http://babel.hathitrust.org/cgi/pt?id=mdp.39015020207083</v>
      </c>
      <c r="H477" t="str">
        <f>HYPERLINK("http://catalog.hathitrust.org/Record/000913973")</f>
        <v>http://catalog.hathitrust.org/Record/000913973</v>
      </c>
      <c r="J477" s="1">
        <v>1899</v>
      </c>
      <c r="K477" t="s">
        <v>19803</v>
      </c>
      <c r="L477" t="s">
        <v>19804</v>
      </c>
    </row>
    <row r="478" spans="1:12">
      <c r="A478" t="s">
        <v>19805</v>
      </c>
      <c r="B478" s="1" t="s">
        <v>19802</v>
      </c>
      <c r="F478">
        <v>1</v>
      </c>
      <c r="G478" t="str">
        <f>HYPERLINK("http://babel.hathitrust.org/cgi/pt?id=uc1.$b624795")</f>
        <v>http://babel.hathitrust.org/cgi/pt?id=uc1.$b624795</v>
      </c>
      <c r="H478" t="str">
        <f>HYPERLINK("http://catalog.hathitrust.org/Record/000913973")</f>
        <v>http://catalog.hathitrust.org/Record/000913973</v>
      </c>
      <c r="J478" s="1">
        <v>1899</v>
      </c>
      <c r="K478" t="s">
        <v>19803</v>
      </c>
      <c r="L478" t="s">
        <v>19804</v>
      </c>
    </row>
    <row r="479" spans="1:12">
      <c r="A479" t="s">
        <v>19806</v>
      </c>
      <c r="B479" s="1" t="s">
        <v>19802</v>
      </c>
      <c r="F479">
        <v>1</v>
      </c>
      <c r="G479" t="str">
        <f>HYPERLINK("http://babel.hathitrust.org/cgi/pt?id=uc2.ark:/13960/t2s46n831")</f>
        <v>http://babel.hathitrust.org/cgi/pt?id=uc2.ark:/13960/t2s46n831</v>
      </c>
      <c r="H479" t="str">
        <f>HYPERLINK("http://catalog.hathitrust.org/Record/000913973")</f>
        <v>http://catalog.hathitrust.org/Record/000913973</v>
      </c>
      <c r="J479" s="1">
        <v>1899</v>
      </c>
      <c r="K479" t="s">
        <v>19803</v>
      </c>
      <c r="L479" t="s">
        <v>19804</v>
      </c>
    </row>
    <row r="480" spans="1:12">
      <c r="A480" t="s">
        <v>19807</v>
      </c>
      <c r="B480" s="1" t="s">
        <v>19802</v>
      </c>
      <c r="F480">
        <v>1</v>
      </c>
      <c r="G480" t="str">
        <f>HYPERLINK("http://babel.hathitrust.org/cgi/pt?id=uc2.ark:/13960/t6k073f7t")</f>
        <v>http://babel.hathitrust.org/cgi/pt?id=uc2.ark:/13960/t6k073f7t</v>
      </c>
      <c r="H480" t="str">
        <f>HYPERLINK("http://catalog.hathitrust.org/Record/000913973")</f>
        <v>http://catalog.hathitrust.org/Record/000913973</v>
      </c>
      <c r="J480" s="1">
        <v>1899</v>
      </c>
      <c r="K480" t="s">
        <v>19803</v>
      </c>
      <c r="L480" t="s">
        <v>19804</v>
      </c>
    </row>
    <row r="481" spans="1:12">
      <c r="A481" t="s">
        <v>19808</v>
      </c>
      <c r="B481" s="1" t="s">
        <v>19809</v>
      </c>
      <c r="F481">
        <v>1</v>
      </c>
      <c r="G481" t="str">
        <f>HYPERLINK("http://babel.hathitrust.org/cgi/pt?id=loc.ark:/13960/t95728s51")</f>
        <v>http://babel.hathitrust.org/cgi/pt?id=loc.ark:/13960/t95728s51</v>
      </c>
      <c r="H481" t="str">
        <f>HYPERLINK("http://catalog.hathitrust.org/Record/000913986")</f>
        <v>http://catalog.hathitrust.org/Record/000913986</v>
      </c>
      <c r="J481" s="1">
        <v>1901</v>
      </c>
      <c r="K481" t="s">
        <v>19810</v>
      </c>
      <c r="L481" t="s">
        <v>19811</v>
      </c>
    </row>
    <row r="482" spans="1:12">
      <c r="A482" t="s">
        <v>19812</v>
      </c>
      <c r="B482" s="1" t="s">
        <v>19809</v>
      </c>
      <c r="F482">
        <v>1</v>
      </c>
      <c r="G482" t="str">
        <f>HYPERLINK("http://babel.hathitrust.org/cgi/pt?id=mdp.39015035468407")</f>
        <v>http://babel.hathitrust.org/cgi/pt?id=mdp.39015035468407</v>
      </c>
      <c r="H482" t="str">
        <f>HYPERLINK("http://catalog.hathitrust.org/Record/000913986")</f>
        <v>http://catalog.hathitrust.org/Record/000913986</v>
      </c>
      <c r="J482" s="1">
        <v>1901</v>
      </c>
      <c r="K482" t="s">
        <v>19810</v>
      </c>
      <c r="L482" t="s">
        <v>19811</v>
      </c>
    </row>
    <row r="483" spans="1:12">
      <c r="A483" t="s">
        <v>19813</v>
      </c>
      <c r="B483" s="1" t="s">
        <v>19809</v>
      </c>
      <c r="F483">
        <v>1</v>
      </c>
      <c r="G483" t="str">
        <f>HYPERLINK("http://babel.hathitrust.org/cgi/pt?id=uc1.b3515375")</f>
        <v>http://babel.hathitrust.org/cgi/pt?id=uc1.b3515375</v>
      </c>
      <c r="H483" t="str">
        <f>HYPERLINK("http://catalog.hathitrust.org/Record/000913986")</f>
        <v>http://catalog.hathitrust.org/Record/000913986</v>
      </c>
      <c r="J483" s="1">
        <v>1901</v>
      </c>
      <c r="K483" t="s">
        <v>19810</v>
      </c>
      <c r="L483" t="s">
        <v>19811</v>
      </c>
    </row>
    <row r="484" spans="1:12">
      <c r="A484" t="s">
        <v>19814</v>
      </c>
      <c r="B484" s="1" t="s">
        <v>19815</v>
      </c>
      <c r="E484">
        <v>1</v>
      </c>
      <c r="G484" t="str">
        <f>HYPERLINK("http://babel.hathitrust.org/cgi/pt?id=mdp.39015048890977")</f>
        <v>http://babel.hathitrust.org/cgi/pt?id=mdp.39015048890977</v>
      </c>
      <c r="H484" t="str">
        <f>HYPERLINK("http://catalog.hathitrust.org/Record/000914389")</f>
        <v>http://catalog.hathitrust.org/Record/000914389</v>
      </c>
      <c r="J484" s="1">
        <v>1909</v>
      </c>
      <c r="K484" t="s">
        <v>19816</v>
      </c>
      <c r="L484" t="s">
        <v>20675</v>
      </c>
    </row>
    <row r="485" spans="1:12">
      <c r="A485" t="s">
        <v>19817</v>
      </c>
      <c r="B485" s="1" t="s">
        <v>19818</v>
      </c>
      <c r="F485">
        <v>1</v>
      </c>
      <c r="G485" t="str">
        <f>HYPERLINK("http://babel.hathitrust.org/cgi/pt?id=coo.31924013180942")</f>
        <v>http://babel.hathitrust.org/cgi/pt?id=coo.31924013180942</v>
      </c>
      <c r="H485" t="str">
        <f>HYPERLINK("http://catalog.hathitrust.org/Record/000914420")</f>
        <v>http://catalog.hathitrust.org/Record/000914420</v>
      </c>
      <c r="I485" s="1" t="s">
        <v>19820</v>
      </c>
      <c r="J485" s="1">
        <v>1900</v>
      </c>
      <c r="K485" t="s">
        <v>19819</v>
      </c>
      <c r="L485" t="s">
        <v>19821</v>
      </c>
    </row>
    <row r="486" spans="1:12">
      <c r="A486" t="s">
        <v>19822</v>
      </c>
      <c r="B486" s="1" t="s">
        <v>19818</v>
      </c>
      <c r="F486">
        <v>1</v>
      </c>
      <c r="G486" t="str">
        <f>HYPERLINK("http://babel.hathitrust.org/cgi/pt?id=mdp.39015066053938")</f>
        <v>http://babel.hathitrust.org/cgi/pt?id=mdp.39015066053938</v>
      </c>
      <c r="H486" t="str">
        <f>HYPERLINK("http://catalog.hathitrust.org/Record/000914420")</f>
        <v>http://catalog.hathitrust.org/Record/000914420</v>
      </c>
      <c r="I486" s="1" t="s">
        <v>20755</v>
      </c>
      <c r="J486" s="1">
        <v>1900</v>
      </c>
      <c r="K486" t="s">
        <v>19819</v>
      </c>
      <c r="L486" t="s">
        <v>19821</v>
      </c>
    </row>
    <row r="487" spans="1:12">
      <c r="A487" t="s">
        <v>19823</v>
      </c>
      <c r="B487" s="1" t="s">
        <v>19818</v>
      </c>
      <c r="F487">
        <v>1</v>
      </c>
      <c r="G487" t="str">
        <f>HYPERLINK("http://babel.hathitrust.org/cgi/pt?id=uc1.b4109047")</f>
        <v>http://babel.hathitrust.org/cgi/pt?id=uc1.b4109047</v>
      </c>
      <c r="H487" t="str">
        <f>HYPERLINK("http://catalog.hathitrust.org/Record/000914420")</f>
        <v>http://catalog.hathitrust.org/Record/000914420</v>
      </c>
      <c r="I487" s="1" t="s">
        <v>20755</v>
      </c>
      <c r="J487" s="1">
        <v>1900</v>
      </c>
      <c r="K487" t="s">
        <v>19819</v>
      </c>
      <c r="L487" t="s">
        <v>19821</v>
      </c>
    </row>
    <row r="488" spans="1:12">
      <c r="A488" t="s">
        <v>19824</v>
      </c>
      <c r="B488" s="1" t="s">
        <v>19825</v>
      </c>
      <c r="F488">
        <v>1</v>
      </c>
      <c r="G488" t="str">
        <f>HYPERLINK("http://babel.hathitrust.org/cgi/pt?id=mdp.39015004734748")</f>
        <v>http://babel.hathitrust.org/cgi/pt?id=mdp.39015004734748</v>
      </c>
      <c r="H488" t="str">
        <f>HYPERLINK("http://catalog.hathitrust.org/Record/000914646")</f>
        <v>http://catalog.hathitrust.org/Record/000914646</v>
      </c>
      <c r="J488" s="1">
        <v>1879</v>
      </c>
      <c r="K488" t="s">
        <v>19826</v>
      </c>
      <c r="L488" t="s">
        <v>19827</v>
      </c>
    </row>
    <row r="489" spans="1:12">
      <c r="A489" t="s">
        <v>19828</v>
      </c>
      <c r="B489" s="1" t="s">
        <v>19825</v>
      </c>
      <c r="F489">
        <v>1</v>
      </c>
      <c r="G489" t="str">
        <f>HYPERLINK("http://babel.hathitrust.org/cgi/pt?id=njp.32101064786419")</f>
        <v>http://babel.hathitrust.org/cgi/pt?id=njp.32101064786419</v>
      </c>
      <c r="H489" t="str">
        <f>HYPERLINK("http://catalog.hathitrust.org/Record/000914646")</f>
        <v>http://catalog.hathitrust.org/Record/000914646</v>
      </c>
      <c r="J489" s="1">
        <v>1879</v>
      </c>
      <c r="K489" t="s">
        <v>19826</v>
      </c>
      <c r="L489" t="s">
        <v>19827</v>
      </c>
    </row>
    <row r="490" spans="1:12">
      <c r="A490" t="s">
        <v>19829</v>
      </c>
      <c r="B490" s="1" t="s">
        <v>19830</v>
      </c>
      <c r="F490">
        <v>1</v>
      </c>
      <c r="G490" t="str">
        <f>HYPERLINK("http://babel.hathitrust.org/cgi/pt?id=mdp.39015026585847")</f>
        <v>http://babel.hathitrust.org/cgi/pt?id=mdp.39015026585847</v>
      </c>
      <c r="H490" t="str">
        <f>HYPERLINK("http://catalog.hathitrust.org/Record/000915132")</f>
        <v>http://catalog.hathitrust.org/Record/000915132</v>
      </c>
      <c r="J490" s="1">
        <v>1891</v>
      </c>
      <c r="K490" t="s">
        <v>19831</v>
      </c>
      <c r="L490" t="s">
        <v>19832</v>
      </c>
    </row>
    <row r="491" spans="1:12">
      <c r="A491" t="s">
        <v>19833</v>
      </c>
      <c r="B491" s="1" t="s">
        <v>19834</v>
      </c>
      <c r="F491">
        <v>1</v>
      </c>
      <c r="G491" t="str">
        <f>HYPERLINK("http://babel.hathitrust.org/cgi/pt?id=miun.adx2930.0001.001")</f>
        <v>http://babel.hathitrust.org/cgi/pt?id=miun.adx2930.0001.001</v>
      </c>
      <c r="H491" t="str">
        <f>HYPERLINK("http://catalog.hathitrust.org/Record/000915370")</f>
        <v>http://catalog.hathitrust.org/Record/000915370</v>
      </c>
      <c r="J491" s="1">
        <v>1874</v>
      </c>
      <c r="K491" t="s">
        <v>19835</v>
      </c>
      <c r="L491" t="s">
        <v>19836</v>
      </c>
    </row>
    <row r="492" spans="1:12">
      <c r="A492" t="s">
        <v>19837</v>
      </c>
      <c r="B492" s="1" t="s">
        <v>19838</v>
      </c>
      <c r="F492">
        <v>1</v>
      </c>
      <c r="G492" t="str">
        <f>HYPERLINK("http://babel.hathitrust.org/cgi/pt?id=mdp.39015012850452")</f>
        <v>http://babel.hathitrust.org/cgi/pt?id=mdp.39015012850452</v>
      </c>
      <c r="H492" t="str">
        <f>HYPERLINK("http://catalog.hathitrust.org/Record/000915371")</f>
        <v>http://catalog.hathitrust.org/Record/000915371</v>
      </c>
      <c r="J492" s="1">
        <v>1898</v>
      </c>
      <c r="K492" t="s">
        <v>19839</v>
      </c>
      <c r="L492" t="s">
        <v>19840</v>
      </c>
    </row>
    <row r="493" spans="1:12">
      <c r="A493" t="s">
        <v>19841</v>
      </c>
      <c r="B493" s="1" t="s">
        <v>19842</v>
      </c>
      <c r="F493">
        <v>1</v>
      </c>
      <c r="G493" t="str">
        <f>HYPERLINK("http://babel.hathitrust.org/cgi/pt?id=mdp.39015059898216")</f>
        <v>http://babel.hathitrust.org/cgi/pt?id=mdp.39015059898216</v>
      </c>
      <c r="H493" t="str">
        <f>HYPERLINK("http://catalog.hathitrust.org/Record/000915527")</f>
        <v>http://catalog.hathitrust.org/Record/000915527</v>
      </c>
      <c r="J493" s="1">
        <v>1899</v>
      </c>
      <c r="K493" t="s">
        <v>19843</v>
      </c>
      <c r="L493" t="s">
        <v>19718</v>
      </c>
    </row>
    <row r="494" spans="1:12">
      <c r="A494" t="s">
        <v>19719</v>
      </c>
      <c r="B494" s="1" t="s">
        <v>19720</v>
      </c>
      <c r="D494">
        <v>1</v>
      </c>
      <c r="G494" t="str">
        <f>HYPERLINK("http://babel.hathitrust.org/cgi/pt?id=uc1.b55938")</f>
        <v>http://babel.hathitrust.org/cgi/pt?id=uc1.b55938</v>
      </c>
      <c r="H494" t="str">
        <f>HYPERLINK("http://catalog.hathitrust.org/Record/000915528")</f>
        <v>http://catalog.hathitrust.org/Record/000915528</v>
      </c>
      <c r="J494" s="1">
        <v>1880</v>
      </c>
      <c r="K494" t="s">
        <v>19721</v>
      </c>
      <c r="L494" t="s">
        <v>19722</v>
      </c>
    </row>
    <row r="495" spans="1:12">
      <c r="A495" t="s">
        <v>19723</v>
      </c>
      <c r="B495" s="1" t="s">
        <v>19720</v>
      </c>
      <c r="F495">
        <v>1</v>
      </c>
      <c r="G495" t="str">
        <f>HYPERLINK("http://babel.hathitrust.org/cgi/pt?id=uc2.ark:/13960/t8pc2wp8b")</f>
        <v>http://babel.hathitrust.org/cgi/pt?id=uc2.ark:/13960/t8pc2wp8b</v>
      </c>
      <c r="H495" t="str">
        <f>HYPERLINK("http://catalog.hathitrust.org/Record/000915528")</f>
        <v>http://catalog.hathitrust.org/Record/000915528</v>
      </c>
      <c r="J495" s="1">
        <v>1880</v>
      </c>
      <c r="K495" t="s">
        <v>19721</v>
      </c>
      <c r="L495" t="s">
        <v>19722</v>
      </c>
    </row>
    <row r="496" spans="1:12">
      <c r="A496" t="s">
        <v>19724</v>
      </c>
      <c r="B496" s="1" t="s">
        <v>19725</v>
      </c>
      <c r="D496">
        <v>1</v>
      </c>
      <c r="G496" t="str">
        <f>HYPERLINK("http://babel.hathitrust.org/cgi/pt?id=nyp.33433076027386")</f>
        <v>http://babel.hathitrust.org/cgi/pt?id=nyp.33433076027386</v>
      </c>
      <c r="H496" t="str">
        <f>HYPERLINK("http://catalog.hathitrust.org/Record/000915532")</f>
        <v>http://catalog.hathitrust.org/Record/000915532</v>
      </c>
      <c r="J496" s="1">
        <v>1903</v>
      </c>
      <c r="K496" t="s">
        <v>19726</v>
      </c>
      <c r="L496" t="s">
        <v>19727</v>
      </c>
    </row>
    <row r="497" spans="1:12">
      <c r="A497" t="s">
        <v>19728</v>
      </c>
      <c r="B497" s="1" t="s">
        <v>19725</v>
      </c>
      <c r="F497">
        <v>1</v>
      </c>
      <c r="G497" t="str">
        <f>HYPERLINK("http://babel.hathitrust.org/cgi/pt?id=uc1.b252798")</f>
        <v>http://babel.hathitrust.org/cgi/pt?id=uc1.b252798</v>
      </c>
      <c r="H497" t="str">
        <f>HYPERLINK("http://catalog.hathitrust.org/Record/000915532")</f>
        <v>http://catalog.hathitrust.org/Record/000915532</v>
      </c>
      <c r="J497" s="1">
        <v>1903</v>
      </c>
      <c r="K497" t="s">
        <v>19726</v>
      </c>
      <c r="L497" t="s">
        <v>19727</v>
      </c>
    </row>
    <row r="498" spans="1:12">
      <c r="A498" t="s">
        <v>19729</v>
      </c>
      <c r="B498" s="1" t="s">
        <v>19730</v>
      </c>
      <c r="F498">
        <v>1</v>
      </c>
      <c r="G498" t="str">
        <f>HYPERLINK("http://babel.hathitrust.org/cgi/pt?id=loc.ark:/13960/t17m15p2t")</f>
        <v>http://babel.hathitrust.org/cgi/pt?id=loc.ark:/13960/t17m15p2t</v>
      </c>
      <c r="H498" t="str">
        <f>HYPERLINK("http://catalog.hathitrust.org/Record/000915535")</f>
        <v>http://catalog.hathitrust.org/Record/000915535</v>
      </c>
      <c r="J498" s="1">
        <v>1901</v>
      </c>
      <c r="K498" t="s">
        <v>19731</v>
      </c>
      <c r="L498" t="s">
        <v>19732</v>
      </c>
    </row>
    <row r="499" spans="1:12">
      <c r="A499" t="s">
        <v>19733</v>
      </c>
      <c r="B499" s="1" t="s">
        <v>19730</v>
      </c>
      <c r="F499">
        <v>1</v>
      </c>
      <c r="G499" t="str">
        <f>HYPERLINK("http://babel.hathitrust.org/cgi/pt?id=mdp.39015070460152")</f>
        <v>http://babel.hathitrust.org/cgi/pt?id=mdp.39015070460152</v>
      </c>
      <c r="H499" t="str">
        <f>HYPERLINK("http://catalog.hathitrust.org/Record/000915535")</f>
        <v>http://catalog.hathitrust.org/Record/000915535</v>
      </c>
      <c r="J499" s="1">
        <v>1901</v>
      </c>
      <c r="K499" t="s">
        <v>19731</v>
      </c>
      <c r="L499" t="s">
        <v>19732</v>
      </c>
    </row>
    <row r="500" spans="1:12">
      <c r="A500" t="s">
        <v>19734</v>
      </c>
      <c r="B500" s="1" t="s">
        <v>19730</v>
      </c>
      <c r="F500">
        <v>1</v>
      </c>
      <c r="G500" t="str">
        <f>HYPERLINK("http://babel.hathitrust.org/cgi/pt?id=uc1.b29462")</f>
        <v>http://babel.hathitrust.org/cgi/pt?id=uc1.b29462</v>
      </c>
      <c r="H500" t="str">
        <f>HYPERLINK("http://catalog.hathitrust.org/Record/000915535")</f>
        <v>http://catalog.hathitrust.org/Record/000915535</v>
      </c>
      <c r="J500" s="1">
        <v>1901</v>
      </c>
      <c r="K500" t="s">
        <v>19731</v>
      </c>
      <c r="L500" t="s">
        <v>19732</v>
      </c>
    </row>
    <row r="501" spans="1:12">
      <c r="A501" t="s">
        <v>19735</v>
      </c>
      <c r="B501" s="1" t="s">
        <v>19730</v>
      </c>
      <c r="F501">
        <v>1</v>
      </c>
      <c r="G501" t="str">
        <f>HYPERLINK("http://babel.hathitrust.org/cgi/pt?id=uc2.ark:/13960/t2n58fg71")</f>
        <v>http://babel.hathitrust.org/cgi/pt?id=uc2.ark:/13960/t2n58fg71</v>
      </c>
      <c r="H501" t="str">
        <f>HYPERLINK("http://catalog.hathitrust.org/Record/000915535")</f>
        <v>http://catalog.hathitrust.org/Record/000915535</v>
      </c>
      <c r="J501" s="1">
        <v>1901</v>
      </c>
      <c r="K501" t="s">
        <v>19731</v>
      </c>
      <c r="L501" t="s">
        <v>19732</v>
      </c>
    </row>
    <row r="502" spans="1:12">
      <c r="A502" t="s">
        <v>19736</v>
      </c>
      <c r="B502" s="1" t="s">
        <v>19737</v>
      </c>
      <c r="F502">
        <v>1</v>
      </c>
      <c r="G502" t="str">
        <f>HYPERLINK("http://babel.hathitrust.org/cgi/pt?id=mdp.39015013504066")</f>
        <v>http://babel.hathitrust.org/cgi/pt?id=mdp.39015013504066</v>
      </c>
      <c r="H502" t="str">
        <f>HYPERLINK("http://catalog.hathitrust.org/Record/000915541")</f>
        <v>http://catalog.hathitrust.org/Record/000915541</v>
      </c>
      <c r="J502" s="1">
        <v>1893</v>
      </c>
      <c r="K502" t="s">
        <v>19738</v>
      </c>
      <c r="L502" t="s">
        <v>19739</v>
      </c>
    </row>
    <row r="503" spans="1:12">
      <c r="A503" t="s">
        <v>19740</v>
      </c>
      <c r="B503" s="1" t="s">
        <v>19737</v>
      </c>
      <c r="F503">
        <v>1</v>
      </c>
      <c r="G503" t="str">
        <f>HYPERLINK("http://babel.hathitrust.org/cgi/pt?id=uc1.b31639")</f>
        <v>http://babel.hathitrust.org/cgi/pt?id=uc1.b31639</v>
      </c>
      <c r="H503" t="str">
        <f>HYPERLINK("http://catalog.hathitrust.org/Record/000915541")</f>
        <v>http://catalog.hathitrust.org/Record/000915541</v>
      </c>
      <c r="J503" s="1">
        <v>1893</v>
      </c>
      <c r="K503" t="s">
        <v>19738</v>
      </c>
      <c r="L503" t="s">
        <v>19739</v>
      </c>
    </row>
    <row r="504" spans="1:12">
      <c r="A504" t="s">
        <v>19741</v>
      </c>
      <c r="B504" s="1" t="s">
        <v>19737</v>
      </c>
      <c r="F504">
        <v>1</v>
      </c>
      <c r="G504" t="str">
        <f>HYPERLINK("http://babel.hathitrust.org/cgi/pt?id=uc2.ark:/13960/t6639nc4g")</f>
        <v>http://babel.hathitrust.org/cgi/pt?id=uc2.ark:/13960/t6639nc4g</v>
      </c>
      <c r="H504" t="str">
        <f>HYPERLINK("http://catalog.hathitrust.org/Record/000915541")</f>
        <v>http://catalog.hathitrust.org/Record/000915541</v>
      </c>
      <c r="J504" s="1">
        <v>1893</v>
      </c>
      <c r="K504" t="s">
        <v>19738</v>
      </c>
      <c r="L504" t="s">
        <v>19739</v>
      </c>
    </row>
    <row r="505" spans="1:12">
      <c r="A505" t="s">
        <v>19742</v>
      </c>
      <c r="B505" s="1" t="s">
        <v>19743</v>
      </c>
      <c r="F505">
        <v>1</v>
      </c>
      <c r="G505" t="str">
        <f>HYPERLINK("http://babel.hathitrust.org/cgi/pt?id=mdp.39015050669111")</f>
        <v>http://babel.hathitrust.org/cgi/pt?id=mdp.39015050669111</v>
      </c>
      <c r="H505" t="str">
        <f>HYPERLINK("http://catalog.hathitrust.org/Record/000915545")</f>
        <v>http://catalog.hathitrust.org/Record/000915545</v>
      </c>
      <c r="J505" s="1">
        <v>1898</v>
      </c>
      <c r="K505" t="s">
        <v>19744</v>
      </c>
      <c r="L505" t="s">
        <v>19745</v>
      </c>
    </row>
    <row r="506" spans="1:12">
      <c r="A506" t="s">
        <v>19746</v>
      </c>
      <c r="B506" s="1" t="s">
        <v>19747</v>
      </c>
      <c r="D506">
        <v>1</v>
      </c>
      <c r="G506" t="str">
        <f>HYPERLINK("http://babel.hathitrust.org/cgi/pt?id=mdp.39015008900436")</f>
        <v>http://babel.hathitrust.org/cgi/pt?id=mdp.39015008900436</v>
      </c>
      <c r="H506" t="str">
        <f>HYPERLINK("http://catalog.hathitrust.org/Record/000915547")</f>
        <v>http://catalog.hathitrust.org/Record/000915547</v>
      </c>
      <c r="J506" s="1">
        <v>1902</v>
      </c>
      <c r="K506" t="s">
        <v>19748</v>
      </c>
      <c r="L506" t="s">
        <v>19749</v>
      </c>
    </row>
    <row r="507" spans="1:12">
      <c r="A507" t="s">
        <v>19750</v>
      </c>
      <c r="B507" s="1" t="s">
        <v>19747</v>
      </c>
      <c r="F507">
        <v>1</v>
      </c>
      <c r="G507" t="str">
        <f>HYPERLINK("http://babel.hathitrust.org/cgi/pt?id=mdp.39015030934825")</f>
        <v>http://babel.hathitrust.org/cgi/pt?id=mdp.39015030934825</v>
      </c>
      <c r="H507" t="str">
        <f>HYPERLINK("http://catalog.hathitrust.org/Record/000915547")</f>
        <v>http://catalog.hathitrust.org/Record/000915547</v>
      </c>
      <c r="J507" s="1">
        <v>1902</v>
      </c>
      <c r="K507" t="s">
        <v>19748</v>
      </c>
      <c r="L507" t="s">
        <v>19749</v>
      </c>
    </row>
    <row r="508" spans="1:12">
      <c r="A508" t="s">
        <v>19751</v>
      </c>
      <c r="B508" s="1" t="s">
        <v>19747</v>
      </c>
      <c r="F508">
        <v>1</v>
      </c>
      <c r="G508" t="str">
        <f>HYPERLINK("http://babel.hathitrust.org/cgi/pt?id=nyp.33433074834858")</f>
        <v>http://babel.hathitrust.org/cgi/pt?id=nyp.33433074834858</v>
      </c>
      <c r="H508" t="str">
        <f>HYPERLINK("http://catalog.hathitrust.org/Record/000915547")</f>
        <v>http://catalog.hathitrust.org/Record/000915547</v>
      </c>
      <c r="J508" s="1">
        <v>1902</v>
      </c>
      <c r="K508" t="s">
        <v>19748</v>
      </c>
      <c r="L508" t="s">
        <v>19749</v>
      </c>
    </row>
    <row r="509" spans="1:12">
      <c r="A509" t="s">
        <v>19752</v>
      </c>
      <c r="B509" s="1" t="s">
        <v>19747</v>
      </c>
      <c r="F509">
        <v>1</v>
      </c>
      <c r="G509" t="str">
        <f>HYPERLINK("http://babel.hathitrust.org/cgi/pt?id=uc1.b252794")</f>
        <v>http://babel.hathitrust.org/cgi/pt?id=uc1.b252794</v>
      </c>
      <c r="H509" t="str">
        <f>HYPERLINK("http://catalog.hathitrust.org/Record/000915547")</f>
        <v>http://catalog.hathitrust.org/Record/000915547</v>
      </c>
      <c r="J509" s="1">
        <v>1902</v>
      </c>
      <c r="K509" t="s">
        <v>19748</v>
      </c>
      <c r="L509" t="s">
        <v>19749</v>
      </c>
    </row>
    <row r="510" spans="1:12">
      <c r="A510" t="s">
        <v>19753</v>
      </c>
      <c r="B510" s="1" t="s">
        <v>19754</v>
      </c>
      <c r="E510">
        <v>1</v>
      </c>
      <c r="F510">
        <v>1</v>
      </c>
      <c r="G510" t="str">
        <f>HYPERLINK("http://babel.hathitrust.org/cgi/pt?id=mdp.39015030934783")</f>
        <v>http://babel.hathitrust.org/cgi/pt?id=mdp.39015030934783</v>
      </c>
      <c r="H510" t="str">
        <f>HYPERLINK("http://catalog.hathitrust.org/Record/000915557")</f>
        <v>http://catalog.hathitrust.org/Record/000915557</v>
      </c>
      <c r="J510" s="1">
        <v>1903</v>
      </c>
      <c r="K510" t="s">
        <v>19755</v>
      </c>
      <c r="L510" t="s">
        <v>19756</v>
      </c>
    </row>
    <row r="511" spans="1:12">
      <c r="A511" t="s">
        <v>19757</v>
      </c>
      <c r="B511" s="1" t="s">
        <v>19754</v>
      </c>
      <c r="F511">
        <v>1</v>
      </c>
      <c r="G511" t="str">
        <f>HYPERLINK("http://babel.hathitrust.org/cgi/pt?id=uc1.b312182")</f>
        <v>http://babel.hathitrust.org/cgi/pt?id=uc1.b312182</v>
      </c>
      <c r="H511" t="str">
        <f>HYPERLINK("http://catalog.hathitrust.org/Record/000915557")</f>
        <v>http://catalog.hathitrust.org/Record/000915557</v>
      </c>
      <c r="J511" s="1">
        <v>1903</v>
      </c>
      <c r="K511" t="s">
        <v>19755</v>
      </c>
      <c r="L511" t="s">
        <v>19756</v>
      </c>
    </row>
    <row r="512" spans="1:12">
      <c r="A512" t="s">
        <v>19758</v>
      </c>
      <c r="B512" s="1" t="s">
        <v>19754</v>
      </c>
      <c r="F512">
        <v>1</v>
      </c>
      <c r="G512" t="str">
        <f>HYPERLINK("http://babel.hathitrust.org/cgi/pt?id=uc2.ark:/13960/t7gq6w45j")</f>
        <v>http://babel.hathitrust.org/cgi/pt?id=uc2.ark:/13960/t7gq6w45j</v>
      </c>
      <c r="H512" t="str">
        <f>HYPERLINK("http://catalog.hathitrust.org/Record/000915557")</f>
        <v>http://catalog.hathitrust.org/Record/000915557</v>
      </c>
      <c r="J512" s="1">
        <v>1903</v>
      </c>
      <c r="K512" t="s">
        <v>19755</v>
      </c>
      <c r="L512" t="s">
        <v>19756</v>
      </c>
    </row>
    <row r="513" spans="1:12">
      <c r="A513" t="s">
        <v>19759</v>
      </c>
      <c r="B513" s="1" t="s">
        <v>19760</v>
      </c>
      <c r="F513">
        <v>1</v>
      </c>
      <c r="G513" t="str">
        <f>HYPERLINK("http://babel.hathitrust.org/cgi/pt?id=loc.ark:/13960/t7zk67k02")</f>
        <v>http://babel.hathitrust.org/cgi/pt?id=loc.ark:/13960/t7zk67k02</v>
      </c>
      <c r="H513" t="str">
        <f>HYPERLINK("http://catalog.hathitrust.org/Record/000915570")</f>
        <v>http://catalog.hathitrust.org/Record/000915570</v>
      </c>
      <c r="J513" s="1">
        <v>1894</v>
      </c>
      <c r="K513" t="s">
        <v>19761</v>
      </c>
      <c r="L513" t="s">
        <v>19762</v>
      </c>
    </row>
    <row r="514" spans="1:12">
      <c r="A514" t="s">
        <v>19763</v>
      </c>
      <c r="B514" s="1" t="s">
        <v>19760</v>
      </c>
      <c r="F514">
        <v>1</v>
      </c>
      <c r="G514" t="str">
        <f>HYPERLINK("http://babel.hathitrust.org/cgi/pt?id=mdp.39015053593789")</f>
        <v>http://babel.hathitrust.org/cgi/pt?id=mdp.39015053593789</v>
      </c>
      <c r="H514" t="str">
        <f>HYPERLINK("http://catalog.hathitrust.org/Record/000915570")</f>
        <v>http://catalog.hathitrust.org/Record/000915570</v>
      </c>
      <c r="J514" s="1">
        <v>1894</v>
      </c>
      <c r="K514" t="s">
        <v>19761</v>
      </c>
      <c r="L514" t="s">
        <v>19762</v>
      </c>
    </row>
    <row r="515" spans="1:12">
      <c r="A515" t="s">
        <v>19764</v>
      </c>
      <c r="B515" s="1" t="s">
        <v>19760</v>
      </c>
      <c r="F515">
        <v>1</v>
      </c>
      <c r="G515" t="str">
        <f>HYPERLINK("http://babel.hathitrust.org/cgi/pt?id=uva.x004967941")</f>
        <v>http://babel.hathitrust.org/cgi/pt?id=uva.x004967941</v>
      </c>
      <c r="H515" t="str">
        <f>HYPERLINK("http://catalog.hathitrust.org/Record/000915570")</f>
        <v>http://catalog.hathitrust.org/Record/000915570</v>
      </c>
      <c r="J515" s="1">
        <v>1894</v>
      </c>
      <c r="K515" t="s">
        <v>19761</v>
      </c>
      <c r="L515" t="s">
        <v>19762</v>
      </c>
    </row>
    <row r="516" spans="1:12">
      <c r="A516" t="s">
        <v>19765</v>
      </c>
      <c r="B516" s="1" t="s">
        <v>19766</v>
      </c>
      <c r="E516">
        <v>1</v>
      </c>
      <c r="G516" t="str">
        <f>HYPERLINK("http://babel.hathitrust.org/cgi/pt?id=mdp.39015005786929")</f>
        <v>http://babel.hathitrust.org/cgi/pt?id=mdp.39015005786929</v>
      </c>
      <c r="H516" t="str">
        <f>HYPERLINK("http://catalog.hathitrust.org/Record/000915627")</f>
        <v>http://catalog.hathitrust.org/Record/000915627</v>
      </c>
      <c r="J516" s="1">
        <v>1895</v>
      </c>
      <c r="K516" t="s">
        <v>19767</v>
      </c>
      <c r="L516" t="s">
        <v>19768</v>
      </c>
    </row>
    <row r="517" spans="1:12">
      <c r="A517" t="s">
        <v>19769</v>
      </c>
      <c r="B517" s="1" t="s">
        <v>19770</v>
      </c>
      <c r="F517">
        <v>1</v>
      </c>
      <c r="G517" t="str">
        <f>HYPERLINK("http://babel.hathitrust.org/cgi/pt?id=mdp.39015074634208")</f>
        <v>http://babel.hathitrust.org/cgi/pt?id=mdp.39015074634208</v>
      </c>
      <c r="H517" t="str">
        <f>HYPERLINK("http://catalog.hathitrust.org/Record/000915630")</f>
        <v>http://catalog.hathitrust.org/Record/000915630</v>
      </c>
      <c r="J517" s="1">
        <v>1830</v>
      </c>
      <c r="K517" t="s">
        <v>19771</v>
      </c>
      <c r="L517" t="s">
        <v>20549</v>
      </c>
    </row>
    <row r="518" spans="1:12">
      <c r="A518" t="s">
        <v>19772</v>
      </c>
      <c r="B518" s="1" t="s">
        <v>19770</v>
      </c>
      <c r="F518">
        <v>1</v>
      </c>
      <c r="G518" t="str">
        <f>HYPERLINK("http://babel.hathitrust.org/cgi/pt?id=uc1.b276143")</f>
        <v>http://babel.hathitrust.org/cgi/pt?id=uc1.b276143</v>
      </c>
      <c r="H518" t="str">
        <f>HYPERLINK("http://catalog.hathitrust.org/Record/000915630")</f>
        <v>http://catalog.hathitrust.org/Record/000915630</v>
      </c>
      <c r="J518" s="1">
        <v>1830</v>
      </c>
      <c r="K518" t="s">
        <v>19771</v>
      </c>
      <c r="L518" t="s">
        <v>20549</v>
      </c>
    </row>
    <row r="519" spans="1:12">
      <c r="A519" t="s">
        <v>19773</v>
      </c>
      <c r="B519" s="1" t="s">
        <v>19770</v>
      </c>
      <c r="F519">
        <v>1</v>
      </c>
      <c r="G519" t="str">
        <f>HYPERLINK("http://babel.hathitrust.org/cgi/pt?id=uc2.ark:/13960/t7br8qr1g")</f>
        <v>http://babel.hathitrust.org/cgi/pt?id=uc2.ark:/13960/t7br8qr1g</v>
      </c>
      <c r="H519" t="str">
        <f>HYPERLINK("http://catalog.hathitrust.org/Record/000915630")</f>
        <v>http://catalog.hathitrust.org/Record/000915630</v>
      </c>
      <c r="J519" s="1">
        <v>1830</v>
      </c>
      <c r="K519" t="s">
        <v>19771</v>
      </c>
      <c r="L519" t="s">
        <v>20549</v>
      </c>
    </row>
    <row r="520" spans="1:12">
      <c r="A520" t="s">
        <v>19651</v>
      </c>
      <c r="B520" s="1" t="s">
        <v>19652</v>
      </c>
      <c r="F520">
        <v>1</v>
      </c>
      <c r="G520" t="str">
        <f>HYPERLINK("http://babel.hathitrust.org/cgi/pt?id=mdp.39015016456942")</f>
        <v>http://babel.hathitrust.org/cgi/pt?id=mdp.39015016456942</v>
      </c>
      <c r="H520" t="str">
        <f>HYPERLINK("http://catalog.hathitrust.org/Record/000915770")</f>
        <v>http://catalog.hathitrust.org/Record/000915770</v>
      </c>
      <c r="J520" s="1">
        <v>1902</v>
      </c>
      <c r="K520" t="s">
        <v>19653</v>
      </c>
      <c r="L520" t="s">
        <v>19654</v>
      </c>
    </row>
    <row r="521" spans="1:12">
      <c r="A521" t="s">
        <v>19655</v>
      </c>
      <c r="B521" s="1" t="s">
        <v>19656</v>
      </c>
      <c r="F521">
        <v>1</v>
      </c>
      <c r="G521" t="str">
        <f>HYPERLINK("http://babel.hathitrust.org/cgi/pt?id=mdp.39015039627461")</f>
        <v>http://babel.hathitrust.org/cgi/pt?id=mdp.39015039627461</v>
      </c>
      <c r="H521" t="str">
        <f>HYPERLINK("http://catalog.hathitrust.org/Record/000915808")</f>
        <v>http://catalog.hathitrust.org/Record/000915808</v>
      </c>
      <c r="J521" s="1">
        <v>1892</v>
      </c>
      <c r="K521" t="s">
        <v>19657</v>
      </c>
      <c r="L521" t="s">
        <v>19658</v>
      </c>
    </row>
    <row r="522" spans="1:12">
      <c r="A522" t="s">
        <v>19659</v>
      </c>
      <c r="B522" s="1" t="s">
        <v>19660</v>
      </c>
      <c r="F522">
        <v>1</v>
      </c>
      <c r="G522" t="str">
        <f>HYPERLINK("http://babel.hathitrust.org/cgi/pt?id=mdp.39015059409428")</f>
        <v>http://babel.hathitrust.org/cgi/pt?id=mdp.39015059409428</v>
      </c>
      <c r="H522" t="str">
        <f>HYPERLINK("http://catalog.hathitrust.org/Record/000915810")</f>
        <v>http://catalog.hathitrust.org/Record/000915810</v>
      </c>
      <c r="J522" s="1">
        <v>1848</v>
      </c>
      <c r="K522" t="s">
        <v>19661</v>
      </c>
      <c r="L522" t="s">
        <v>19662</v>
      </c>
    </row>
    <row r="523" spans="1:12">
      <c r="A523" t="s">
        <v>19663</v>
      </c>
      <c r="B523" s="1" t="s">
        <v>19660</v>
      </c>
      <c r="F523">
        <v>1</v>
      </c>
      <c r="G523" t="str">
        <f>HYPERLINK("http://babel.hathitrust.org/cgi/pt?id=uc2.ark:/13960/t4rj4c70f")</f>
        <v>http://babel.hathitrust.org/cgi/pt?id=uc2.ark:/13960/t4rj4c70f</v>
      </c>
      <c r="H523" t="str">
        <f>HYPERLINK("http://catalog.hathitrust.org/Record/000915810")</f>
        <v>http://catalog.hathitrust.org/Record/000915810</v>
      </c>
      <c r="J523" s="1">
        <v>1848</v>
      </c>
      <c r="K523" t="s">
        <v>19661</v>
      </c>
      <c r="L523" t="s">
        <v>19662</v>
      </c>
    </row>
    <row r="524" spans="1:12">
      <c r="A524" t="s">
        <v>19664</v>
      </c>
      <c r="B524" s="1" t="s">
        <v>19665</v>
      </c>
      <c r="F524">
        <v>1</v>
      </c>
      <c r="G524" t="str">
        <f>HYPERLINK("http://babel.hathitrust.org/cgi/pt?id=mdp.39015014580313")</f>
        <v>http://babel.hathitrust.org/cgi/pt?id=mdp.39015014580313</v>
      </c>
      <c r="H524" t="str">
        <f>HYPERLINK("http://catalog.hathitrust.org/Record/000915821")</f>
        <v>http://catalog.hathitrust.org/Record/000915821</v>
      </c>
      <c r="J524" s="1">
        <v>1880</v>
      </c>
      <c r="K524" t="s">
        <v>19666</v>
      </c>
      <c r="L524" t="s">
        <v>19667</v>
      </c>
    </row>
    <row r="525" spans="1:12">
      <c r="A525" t="s">
        <v>19668</v>
      </c>
      <c r="B525" s="1" t="s">
        <v>19669</v>
      </c>
      <c r="F525">
        <v>1</v>
      </c>
      <c r="G525" t="str">
        <f>HYPERLINK("http://babel.hathitrust.org/cgi/pt?id=mdp.39015056056453")</f>
        <v>http://babel.hathitrust.org/cgi/pt?id=mdp.39015056056453</v>
      </c>
      <c r="H525" t="str">
        <f>HYPERLINK("http://catalog.hathitrust.org/Record/000915857")</f>
        <v>http://catalog.hathitrust.org/Record/000915857</v>
      </c>
      <c r="J525" s="1">
        <v>1898</v>
      </c>
      <c r="K525" t="s">
        <v>19670</v>
      </c>
      <c r="L525" t="s">
        <v>19671</v>
      </c>
    </row>
    <row r="526" spans="1:12">
      <c r="A526" t="s">
        <v>19672</v>
      </c>
      <c r="B526" s="1" t="s">
        <v>19673</v>
      </c>
      <c r="F526">
        <v>1</v>
      </c>
      <c r="G526" t="str">
        <f>HYPERLINK("http://babel.hathitrust.org/cgi/pt?id=hvd.hnmt5g")</f>
        <v>http://babel.hathitrust.org/cgi/pt?id=hvd.hnmt5g</v>
      </c>
      <c r="H526" t="str">
        <f t="shared" ref="H526:H534" si="10">HYPERLINK("http://catalog.hathitrust.org/Record/000915859")</f>
        <v>http://catalog.hathitrust.org/Record/000915859</v>
      </c>
      <c r="I526" s="1" t="s">
        <v>20916</v>
      </c>
      <c r="J526" s="1">
        <v>1820</v>
      </c>
      <c r="K526" t="s">
        <v>19674</v>
      </c>
      <c r="L526" t="s">
        <v>19675</v>
      </c>
    </row>
    <row r="527" spans="1:12">
      <c r="A527" t="s">
        <v>19676</v>
      </c>
      <c r="B527" s="1" t="s">
        <v>19673</v>
      </c>
      <c r="F527">
        <v>1</v>
      </c>
      <c r="G527" t="str">
        <f>HYPERLINK("http://babel.hathitrust.org/cgi/pt?id=hvd.hnmt5h")</f>
        <v>http://babel.hathitrust.org/cgi/pt?id=hvd.hnmt5h</v>
      </c>
      <c r="H527" t="str">
        <f t="shared" si="10"/>
        <v>http://catalog.hathitrust.org/Record/000915859</v>
      </c>
      <c r="I527" s="1" t="s">
        <v>20755</v>
      </c>
      <c r="J527" s="1">
        <v>1820</v>
      </c>
      <c r="K527" t="s">
        <v>19674</v>
      </c>
      <c r="L527" t="s">
        <v>19675</v>
      </c>
    </row>
    <row r="528" spans="1:12">
      <c r="A528" t="s">
        <v>19677</v>
      </c>
      <c r="B528" s="1" t="s">
        <v>19673</v>
      </c>
      <c r="F528">
        <v>1</v>
      </c>
      <c r="G528" t="str">
        <f>HYPERLINK("http://babel.hathitrust.org/cgi/pt?id=mdp.39015016456769")</f>
        <v>http://babel.hathitrust.org/cgi/pt?id=mdp.39015016456769</v>
      </c>
      <c r="H528" t="str">
        <f t="shared" si="10"/>
        <v>http://catalog.hathitrust.org/Record/000915859</v>
      </c>
      <c r="I528" s="1" t="s">
        <v>20916</v>
      </c>
      <c r="J528" s="1">
        <v>1820</v>
      </c>
      <c r="K528" t="s">
        <v>19674</v>
      </c>
      <c r="L528" t="s">
        <v>19675</v>
      </c>
    </row>
    <row r="529" spans="1:12">
      <c r="A529" t="s">
        <v>19678</v>
      </c>
      <c r="B529" s="1" t="s">
        <v>19673</v>
      </c>
      <c r="F529">
        <v>1</v>
      </c>
      <c r="G529" t="str">
        <f>HYPERLINK("http://babel.hathitrust.org/cgi/pt?id=mdp.39015016456777")</f>
        <v>http://babel.hathitrust.org/cgi/pt?id=mdp.39015016456777</v>
      </c>
      <c r="H529" t="str">
        <f t="shared" si="10"/>
        <v>http://catalog.hathitrust.org/Record/000915859</v>
      </c>
      <c r="I529" s="1" t="s">
        <v>20755</v>
      </c>
      <c r="J529" s="1">
        <v>1820</v>
      </c>
      <c r="K529" t="s">
        <v>19674</v>
      </c>
      <c r="L529" t="s">
        <v>19675</v>
      </c>
    </row>
    <row r="530" spans="1:12">
      <c r="A530" t="s">
        <v>19679</v>
      </c>
      <c r="B530" s="1" t="s">
        <v>19673</v>
      </c>
      <c r="F530">
        <v>1</v>
      </c>
      <c r="G530" t="str">
        <f>HYPERLINK("http://babel.hathitrust.org/cgi/pt?id=nyp.33433074834932")</f>
        <v>http://babel.hathitrust.org/cgi/pt?id=nyp.33433074834932</v>
      </c>
      <c r="H530" t="str">
        <f t="shared" si="10"/>
        <v>http://catalog.hathitrust.org/Record/000915859</v>
      </c>
      <c r="I530" s="1" t="s">
        <v>20796</v>
      </c>
      <c r="J530" s="1">
        <v>1820</v>
      </c>
      <c r="K530" t="s">
        <v>19674</v>
      </c>
      <c r="L530" t="s">
        <v>19675</v>
      </c>
    </row>
    <row r="531" spans="1:12">
      <c r="A531" t="s">
        <v>19680</v>
      </c>
      <c r="B531" s="1" t="s">
        <v>19673</v>
      </c>
      <c r="F531">
        <v>1</v>
      </c>
      <c r="G531" t="str">
        <f>HYPERLINK("http://babel.hathitrust.org/cgi/pt?id=nyp.33433074834940")</f>
        <v>http://babel.hathitrust.org/cgi/pt?id=nyp.33433074834940</v>
      </c>
      <c r="H531" t="str">
        <f t="shared" si="10"/>
        <v>http://catalog.hathitrust.org/Record/000915859</v>
      </c>
      <c r="I531" s="1" t="s">
        <v>20799</v>
      </c>
      <c r="J531" s="1">
        <v>1820</v>
      </c>
      <c r="K531" t="s">
        <v>19674</v>
      </c>
      <c r="L531" t="s">
        <v>19675</v>
      </c>
    </row>
    <row r="532" spans="1:12">
      <c r="A532" t="s">
        <v>19681</v>
      </c>
      <c r="B532" s="1" t="s">
        <v>19673</v>
      </c>
      <c r="F532">
        <v>1</v>
      </c>
      <c r="G532" t="str">
        <f>HYPERLINK("http://babel.hathitrust.org/cgi/pt?id=uc1.b4097409")</f>
        <v>http://babel.hathitrust.org/cgi/pt?id=uc1.b4097409</v>
      </c>
      <c r="H532" t="str">
        <f t="shared" si="10"/>
        <v>http://catalog.hathitrust.org/Record/000915859</v>
      </c>
      <c r="I532" s="1" t="s">
        <v>20916</v>
      </c>
      <c r="J532" s="1">
        <v>1820</v>
      </c>
      <c r="K532" t="s">
        <v>19674</v>
      </c>
      <c r="L532" t="s">
        <v>19675</v>
      </c>
    </row>
    <row r="533" spans="1:12">
      <c r="A533" t="s">
        <v>19682</v>
      </c>
      <c r="B533" s="1" t="s">
        <v>19673</v>
      </c>
      <c r="F533">
        <v>1</v>
      </c>
      <c r="G533" t="str">
        <f>HYPERLINK("http://babel.hathitrust.org/cgi/pt?id=uc1.b4097410")</f>
        <v>http://babel.hathitrust.org/cgi/pt?id=uc1.b4097410</v>
      </c>
      <c r="H533" t="str">
        <f t="shared" si="10"/>
        <v>http://catalog.hathitrust.org/Record/000915859</v>
      </c>
      <c r="I533" s="1" t="s">
        <v>20755</v>
      </c>
      <c r="J533" s="1">
        <v>1820</v>
      </c>
      <c r="K533" t="s">
        <v>19674</v>
      </c>
      <c r="L533" t="s">
        <v>19675</v>
      </c>
    </row>
    <row r="534" spans="1:12">
      <c r="A534" t="s">
        <v>19683</v>
      </c>
      <c r="B534" s="1" t="s">
        <v>19673</v>
      </c>
      <c r="F534">
        <v>1</v>
      </c>
      <c r="G534" t="str">
        <f>HYPERLINK("http://babel.hathitrust.org/cgi/pt?id=uc2.ark:/13960/t0gt5jh6j")</f>
        <v>http://babel.hathitrust.org/cgi/pt?id=uc2.ark:/13960/t0gt5jh6j</v>
      </c>
      <c r="H534" t="str">
        <f t="shared" si="10"/>
        <v>http://catalog.hathitrust.org/Record/000915859</v>
      </c>
      <c r="I534" s="1" t="s">
        <v>20755</v>
      </c>
      <c r="J534" s="1">
        <v>1820</v>
      </c>
      <c r="K534" t="s">
        <v>19674</v>
      </c>
      <c r="L534" t="s">
        <v>19675</v>
      </c>
    </row>
    <row r="535" spans="1:12">
      <c r="A535" t="s">
        <v>19684</v>
      </c>
      <c r="B535" s="1" t="s">
        <v>19685</v>
      </c>
      <c r="E535">
        <v>1</v>
      </c>
      <c r="G535" t="str">
        <f>HYPERLINK("http://babel.hathitrust.org/cgi/pt?id=mdp.39015059900483")</f>
        <v>http://babel.hathitrust.org/cgi/pt?id=mdp.39015059900483</v>
      </c>
      <c r="H535" t="str">
        <f>HYPERLINK("http://catalog.hathitrust.org/Record/000915954")</f>
        <v>http://catalog.hathitrust.org/Record/000915954</v>
      </c>
      <c r="J535" s="1">
        <v>1900</v>
      </c>
      <c r="K535" t="s">
        <v>19686</v>
      </c>
      <c r="L535" t="s">
        <v>19745</v>
      </c>
    </row>
    <row r="536" spans="1:12">
      <c r="A536" t="s">
        <v>19687</v>
      </c>
      <c r="B536" s="1" t="s">
        <v>19688</v>
      </c>
      <c r="F536">
        <v>1</v>
      </c>
      <c r="G536" t="str">
        <f>HYPERLINK("http://babel.hathitrust.org/cgi/pt?id=mdp.39015058693840")</f>
        <v>http://babel.hathitrust.org/cgi/pt?id=mdp.39015058693840</v>
      </c>
      <c r="H536" t="str">
        <f>HYPERLINK("http://catalog.hathitrust.org/Record/000915973")</f>
        <v>http://catalog.hathitrust.org/Record/000915973</v>
      </c>
      <c r="J536" s="1">
        <v>1884</v>
      </c>
      <c r="K536" t="s">
        <v>19689</v>
      </c>
      <c r="L536" t="s">
        <v>19690</v>
      </c>
    </row>
    <row r="537" spans="1:12">
      <c r="A537" t="s">
        <v>19691</v>
      </c>
      <c r="B537" s="1" t="s">
        <v>19692</v>
      </c>
      <c r="F537">
        <v>1</v>
      </c>
      <c r="G537" t="str">
        <f>HYPERLINK("http://babel.hathitrust.org/cgi/pt?id=nyp.33433082515523")</f>
        <v>http://babel.hathitrust.org/cgi/pt?id=nyp.33433082515523</v>
      </c>
      <c r="H537" t="str">
        <f>HYPERLINK("http://catalog.hathitrust.org/Record/000916081")</f>
        <v>http://catalog.hathitrust.org/Record/000916081</v>
      </c>
      <c r="I537" s="1" t="s">
        <v>20796</v>
      </c>
      <c r="J537" s="1">
        <v>1807</v>
      </c>
      <c r="K537" t="s">
        <v>19693</v>
      </c>
      <c r="L537" t="s">
        <v>19694</v>
      </c>
    </row>
    <row r="538" spans="1:12">
      <c r="A538" t="s">
        <v>19695</v>
      </c>
      <c r="B538" s="1" t="s">
        <v>19692</v>
      </c>
      <c r="F538">
        <v>1</v>
      </c>
      <c r="G538" t="str">
        <f>HYPERLINK("http://babel.hathitrust.org/cgi/pt?id=nyp.33433082515531")</f>
        <v>http://babel.hathitrust.org/cgi/pt?id=nyp.33433082515531</v>
      </c>
      <c r="H538" t="str">
        <f>HYPERLINK("http://catalog.hathitrust.org/Record/000916081")</f>
        <v>http://catalog.hathitrust.org/Record/000916081</v>
      </c>
      <c r="I538" s="1" t="s">
        <v>20799</v>
      </c>
      <c r="J538" s="1">
        <v>1807</v>
      </c>
      <c r="K538" t="s">
        <v>19693</v>
      </c>
      <c r="L538" t="s">
        <v>19694</v>
      </c>
    </row>
    <row r="539" spans="1:12">
      <c r="A539" t="s">
        <v>19696</v>
      </c>
      <c r="B539" s="1" t="s">
        <v>19697</v>
      </c>
      <c r="F539">
        <v>1</v>
      </c>
      <c r="G539" t="str">
        <f>HYPERLINK("http://babel.hathitrust.org/cgi/pt?id=mdp.39015032990619")</f>
        <v>http://babel.hathitrust.org/cgi/pt?id=mdp.39015032990619</v>
      </c>
      <c r="H539" t="str">
        <f>HYPERLINK("http://catalog.hathitrust.org/Record/000916237")</f>
        <v>http://catalog.hathitrust.org/Record/000916237</v>
      </c>
      <c r="J539" s="1">
        <v>1857</v>
      </c>
      <c r="K539" t="s">
        <v>19698</v>
      </c>
      <c r="L539" t="s">
        <v>19699</v>
      </c>
    </row>
    <row r="540" spans="1:12">
      <c r="A540" t="s">
        <v>19700</v>
      </c>
      <c r="B540" s="1" t="s">
        <v>19697</v>
      </c>
      <c r="F540">
        <v>1</v>
      </c>
      <c r="G540" t="str">
        <f>HYPERLINK("http://babel.hathitrust.org/cgi/pt?id=nyp.33433074791785")</f>
        <v>http://babel.hathitrust.org/cgi/pt?id=nyp.33433074791785</v>
      </c>
      <c r="H540" t="str">
        <f>HYPERLINK("http://catalog.hathitrust.org/Record/000916237")</f>
        <v>http://catalog.hathitrust.org/Record/000916237</v>
      </c>
      <c r="J540" s="1">
        <v>1857</v>
      </c>
      <c r="K540" t="s">
        <v>19698</v>
      </c>
      <c r="L540" t="s">
        <v>19699</v>
      </c>
    </row>
    <row r="541" spans="1:12">
      <c r="A541" t="s">
        <v>19701</v>
      </c>
      <c r="B541" s="1" t="s">
        <v>19697</v>
      </c>
      <c r="F541">
        <v>1</v>
      </c>
      <c r="G541" t="str">
        <f>HYPERLINK("http://babel.hathitrust.org/cgi/pt?id=uc2.ark:/13960/t4qj7m16c")</f>
        <v>http://babel.hathitrust.org/cgi/pt?id=uc2.ark:/13960/t4qj7m16c</v>
      </c>
      <c r="H541" t="str">
        <f>HYPERLINK("http://catalog.hathitrust.org/Record/000916237")</f>
        <v>http://catalog.hathitrust.org/Record/000916237</v>
      </c>
      <c r="J541" s="1">
        <v>1857</v>
      </c>
      <c r="K541" t="s">
        <v>19698</v>
      </c>
      <c r="L541" t="s">
        <v>19699</v>
      </c>
    </row>
    <row r="542" spans="1:12">
      <c r="A542" t="s">
        <v>19702</v>
      </c>
      <c r="B542" s="1" t="s">
        <v>19703</v>
      </c>
      <c r="F542">
        <v>1</v>
      </c>
      <c r="G542" t="str">
        <f>HYPERLINK("http://babel.hathitrust.org/cgi/pt?id=nyp.33433082502497")</f>
        <v>http://babel.hathitrust.org/cgi/pt?id=nyp.33433082502497</v>
      </c>
      <c r="H542" t="str">
        <f>HYPERLINK("http://catalog.hathitrust.org/Record/000916242")</f>
        <v>http://catalog.hathitrust.org/Record/000916242</v>
      </c>
      <c r="J542" s="1">
        <v>1899</v>
      </c>
      <c r="K542" t="s">
        <v>19704</v>
      </c>
      <c r="L542" t="s">
        <v>19705</v>
      </c>
    </row>
    <row r="543" spans="1:12">
      <c r="A543" t="s">
        <v>19706</v>
      </c>
      <c r="B543" s="1" t="s">
        <v>19703</v>
      </c>
      <c r="F543">
        <v>1</v>
      </c>
      <c r="G543" t="str">
        <f>HYPERLINK("http://babel.hathitrust.org/cgi/pt?id=uc2.ark:/13960/t03x8dr78")</f>
        <v>http://babel.hathitrust.org/cgi/pt?id=uc2.ark:/13960/t03x8dr78</v>
      </c>
      <c r="H543" t="str">
        <f>HYPERLINK("http://catalog.hathitrust.org/Record/000916242")</f>
        <v>http://catalog.hathitrust.org/Record/000916242</v>
      </c>
      <c r="J543" s="1">
        <v>1899</v>
      </c>
      <c r="K543" t="s">
        <v>19704</v>
      </c>
      <c r="L543" t="s">
        <v>19705</v>
      </c>
    </row>
    <row r="544" spans="1:12">
      <c r="A544" t="s">
        <v>19707</v>
      </c>
      <c r="B544" s="1" t="s">
        <v>19708</v>
      </c>
      <c r="F544">
        <v>1</v>
      </c>
      <c r="G544" t="str">
        <f>HYPERLINK("http://babel.hathitrust.org/cgi/pt?id=uc1.b258298")</f>
        <v>http://babel.hathitrust.org/cgi/pt?id=uc1.b258298</v>
      </c>
      <c r="H544" t="str">
        <f>HYPERLINK("http://catalog.hathitrust.org/Record/000916247")</f>
        <v>http://catalog.hathitrust.org/Record/000916247</v>
      </c>
      <c r="J544" s="1">
        <v>1903</v>
      </c>
      <c r="K544" t="s">
        <v>19709</v>
      </c>
      <c r="L544" t="s">
        <v>19710</v>
      </c>
    </row>
    <row r="545" spans="1:12">
      <c r="A545" t="s">
        <v>19711</v>
      </c>
      <c r="B545" s="1" t="s">
        <v>19708</v>
      </c>
      <c r="F545">
        <v>1</v>
      </c>
      <c r="G545" t="str">
        <f>HYPERLINK("http://babel.hathitrust.org/cgi/pt?id=uc2.ark:/13960/t6tx3836w")</f>
        <v>http://babel.hathitrust.org/cgi/pt?id=uc2.ark:/13960/t6tx3836w</v>
      </c>
      <c r="H545" t="str">
        <f>HYPERLINK("http://catalog.hathitrust.org/Record/000916247")</f>
        <v>http://catalog.hathitrust.org/Record/000916247</v>
      </c>
      <c r="J545" s="1">
        <v>1903</v>
      </c>
      <c r="K545" t="s">
        <v>19709</v>
      </c>
      <c r="L545" t="s">
        <v>19710</v>
      </c>
    </row>
    <row r="546" spans="1:12">
      <c r="A546" t="s">
        <v>19712</v>
      </c>
      <c r="B546" s="1" t="s">
        <v>19713</v>
      </c>
      <c r="E546">
        <v>1</v>
      </c>
      <c r="F546">
        <v>1</v>
      </c>
      <c r="G546" t="str">
        <f>HYPERLINK("http://babel.hathitrust.org/cgi/pt?id=mdp.39015032383260")</f>
        <v>http://babel.hathitrust.org/cgi/pt?id=mdp.39015032383260</v>
      </c>
      <c r="H546" t="str">
        <f>HYPERLINK("http://catalog.hathitrust.org/Record/000916309")</f>
        <v>http://catalog.hathitrust.org/Record/000916309</v>
      </c>
      <c r="J546" s="1">
        <v>1869</v>
      </c>
      <c r="K546" t="s">
        <v>19714</v>
      </c>
      <c r="L546" t="s">
        <v>19715</v>
      </c>
    </row>
    <row r="547" spans="1:12">
      <c r="A547" t="s">
        <v>19716</v>
      </c>
      <c r="B547" s="1" t="s">
        <v>19717</v>
      </c>
      <c r="F547">
        <v>1</v>
      </c>
      <c r="G547" t="str">
        <f>HYPERLINK("http://babel.hathitrust.org/cgi/pt?id=mdp.39015031014643")</f>
        <v>http://babel.hathitrust.org/cgi/pt?id=mdp.39015031014643</v>
      </c>
      <c r="H547" t="str">
        <f>HYPERLINK("http://catalog.hathitrust.org/Record/000916311")</f>
        <v>http://catalog.hathitrust.org/Record/000916311</v>
      </c>
      <c r="J547" s="1">
        <v>1882</v>
      </c>
      <c r="K547" t="s">
        <v>19592</v>
      </c>
      <c r="L547" t="s">
        <v>19593</v>
      </c>
    </row>
    <row r="548" spans="1:12">
      <c r="A548" t="s">
        <v>19594</v>
      </c>
      <c r="B548" s="1" t="s">
        <v>19595</v>
      </c>
      <c r="E548">
        <v>1</v>
      </c>
      <c r="F548">
        <v>1</v>
      </c>
      <c r="G548" t="str">
        <f>HYPERLINK("http://babel.hathitrust.org/cgi/pt?id=mdp.39015025033146")</f>
        <v>http://babel.hathitrust.org/cgi/pt?id=mdp.39015025033146</v>
      </c>
      <c r="H548" t="str">
        <f>HYPERLINK("http://catalog.hathitrust.org/Record/000916315")</f>
        <v>http://catalog.hathitrust.org/Record/000916315</v>
      </c>
      <c r="J548" s="1">
        <v>1900</v>
      </c>
      <c r="K548" t="s">
        <v>19596</v>
      </c>
      <c r="L548" t="s">
        <v>19597</v>
      </c>
    </row>
    <row r="549" spans="1:12">
      <c r="A549" t="s">
        <v>19598</v>
      </c>
      <c r="B549" s="1" t="s">
        <v>19599</v>
      </c>
      <c r="F549">
        <v>1</v>
      </c>
      <c r="G549" t="str">
        <f>HYPERLINK("http://babel.hathitrust.org/cgi/pt?id=mdp.39015041846364")</f>
        <v>http://babel.hathitrust.org/cgi/pt?id=mdp.39015041846364</v>
      </c>
      <c r="H549" t="str">
        <f>HYPERLINK("http://catalog.hathitrust.org/Record/000916318")</f>
        <v>http://catalog.hathitrust.org/Record/000916318</v>
      </c>
      <c r="J549" s="1">
        <v>1899</v>
      </c>
      <c r="K549" t="s">
        <v>19600</v>
      </c>
      <c r="L549" t="s">
        <v>19601</v>
      </c>
    </row>
    <row r="550" spans="1:12">
      <c r="A550" t="s">
        <v>19602</v>
      </c>
      <c r="B550" s="1" t="s">
        <v>19603</v>
      </c>
      <c r="F550">
        <v>1</v>
      </c>
      <c r="G550" t="str">
        <f>HYPERLINK("http://babel.hathitrust.org/cgi/pt?id=mdp.39015031106449")</f>
        <v>http://babel.hathitrust.org/cgi/pt?id=mdp.39015031106449</v>
      </c>
      <c r="H550" t="str">
        <f>HYPERLINK("http://catalog.hathitrust.org/Record/000916527")</f>
        <v>http://catalog.hathitrust.org/Record/000916527</v>
      </c>
      <c r="J550" s="1">
        <v>1887</v>
      </c>
      <c r="K550" t="s">
        <v>19604</v>
      </c>
      <c r="L550" t="s">
        <v>19605</v>
      </c>
    </row>
    <row r="551" spans="1:12">
      <c r="A551" t="s">
        <v>19606</v>
      </c>
      <c r="B551" s="1" t="s">
        <v>19607</v>
      </c>
      <c r="F551">
        <v>1</v>
      </c>
      <c r="G551" t="str">
        <f>HYPERLINK("http://babel.hathitrust.org/cgi/pt?id=mdp.39015076737249")</f>
        <v>http://babel.hathitrust.org/cgi/pt?id=mdp.39015076737249</v>
      </c>
      <c r="H551" t="str">
        <f>HYPERLINK("http://catalog.hathitrust.org/Record/000916631")</f>
        <v>http://catalog.hathitrust.org/Record/000916631</v>
      </c>
      <c r="I551" s="1" t="s">
        <v>19609</v>
      </c>
      <c r="J551" s="1">
        <v>1859</v>
      </c>
      <c r="K551" t="s">
        <v>19608</v>
      </c>
      <c r="L551" t="s">
        <v>19610</v>
      </c>
    </row>
    <row r="552" spans="1:12">
      <c r="A552" t="s">
        <v>19611</v>
      </c>
      <c r="B552" s="1" t="s">
        <v>19607</v>
      </c>
      <c r="F552">
        <v>1</v>
      </c>
      <c r="G552" t="str">
        <f>HYPERLINK("http://babel.hathitrust.org/cgi/pt?id=mdp.39015076737256")</f>
        <v>http://babel.hathitrust.org/cgi/pt?id=mdp.39015076737256</v>
      </c>
      <c r="H552" t="str">
        <f>HYPERLINK("http://catalog.hathitrust.org/Record/000916631")</f>
        <v>http://catalog.hathitrust.org/Record/000916631</v>
      </c>
      <c r="I552" s="1" t="s">
        <v>19612</v>
      </c>
      <c r="J552" s="1">
        <v>1859</v>
      </c>
      <c r="K552" t="s">
        <v>19608</v>
      </c>
      <c r="L552" t="s">
        <v>19610</v>
      </c>
    </row>
    <row r="553" spans="1:12">
      <c r="A553" t="s">
        <v>19613</v>
      </c>
      <c r="B553" s="1" t="s">
        <v>19607</v>
      </c>
      <c r="F553">
        <v>1</v>
      </c>
      <c r="G553" t="str">
        <f>HYPERLINK("http://babel.hathitrust.org/cgi/pt?id=miun.adx4210.0001.001")</f>
        <v>http://babel.hathitrust.org/cgi/pt?id=miun.adx4210.0001.001</v>
      </c>
      <c r="H553" t="str">
        <f>HYPERLINK("http://catalog.hathitrust.org/Record/000916631")</f>
        <v>http://catalog.hathitrust.org/Record/000916631</v>
      </c>
      <c r="J553" s="1">
        <v>1859</v>
      </c>
      <c r="K553" t="s">
        <v>19608</v>
      </c>
      <c r="L553" t="s">
        <v>19610</v>
      </c>
    </row>
    <row r="554" spans="1:12">
      <c r="A554" t="s">
        <v>19614</v>
      </c>
      <c r="B554" s="1" t="s">
        <v>19615</v>
      </c>
      <c r="F554">
        <v>1</v>
      </c>
      <c r="G554" t="str">
        <f>HYPERLINK("http://babel.hathitrust.org/cgi/pt?id=mdp.39015013501989")</f>
        <v>http://babel.hathitrust.org/cgi/pt?id=mdp.39015013501989</v>
      </c>
      <c r="H554" t="str">
        <f>HYPERLINK("http://catalog.hathitrust.org/Record/000916719")</f>
        <v>http://catalog.hathitrust.org/Record/000916719</v>
      </c>
      <c r="J554" s="1">
        <v>1893</v>
      </c>
      <c r="K554" t="s">
        <v>19616</v>
      </c>
      <c r="L554" t="s">
        <v>19617</v>
      </c>
    </row>
    <row r="555" spans="1:12">
      <c r="A555" t="s">
        <v>19618</v>
      </c>
      <c r="B555" s="1" t="s">
        <v>19619</v>
      </c>
      <c r="E555">
        <v>1</v>
      </c>
      <c r="F555">
        <v>1</v>
      </c>
      <c r="G555" t="str">
        <f>HYPERLINK("http://babel.hathitrust.org/cgi/pt?id=uc1.32106001661948")</f>
        <v>http://babel.hathitrust.org/cgi/pt?id=uc1.32106001661948</v>
      </c>
      <c r="H555" t="str">
        <f>HYPERLINK("http://catalog.hathitrust.org/Record/000916748")</f>
        <v>http://catalog.hathitrust.org/Record/000916748</v>
      </c>
      <c r="J555" s="1">
        <v>1885</v>
      </c>
      <c r="K555" t="s">
        <v>19620</v>
      </c>
      <c r="L555" t="s">
        <v>20416</v>
      </c>
    </row>
    <row r="556" spans="1:12">
      <c r="A556" t="s">
        <v>19621</v>
      </c>
      <c r="B556" s="1" t="s">
        <v>19622</v>
      </c>
      <c r="F556">
        <v>1</v>
      </c>
      <c r="G556" t="str">
        <f>HYPERLINK("http://babel.hathitrust.org/cgi/pt?id=hvd.32044086765393")</f>
        <v>http://babel.hathitrust.org/cgi/pt?id=hvd.32044086765393</v>
      </c>
      <c r="H556" t="str">
        <f t="shared" ref="H556:H572" si="11">HYPERLINK("http://catalog.hathitrust.org/Record/000916764")</f>
        <v>http://catalog.hathitrust.org/Record/000916764</v>
      </c>
      <c r="I556" s="1" t="s">
        <v>20916</v>
      </c>
      <c r="J556" s="1">
        <v>1826</v>
      </c>
      <c r="K556" t="s">
        <v>19623</v>
      </c>
      <c r="L556" t="s">
        <v>19624</v>
      </c>
    </row>
    <row r="557" spans="1:12">
      <c r="A557" t="s">
        <v>19625</v>
      </c>
      <c r="B557" s="1" t="s">
        <v>19622</v>
      </c>
      <c r="F557">
        <v>1</v>
      </c>
      <c r="G557" t="str">
        <f>HYPERLINK("http://babel.hathitrust.org/cgi/pt?id=hvd.32044090301441")</f>
        <v>http://babel.hathitrust.org/cgi/pt?id=hvd.32044090301441</v>
      </c>
      <c r="H557" t="str">
        <f t="shared" si="11"/>
        <v>http://catalog.hathitrust.org/Record/000916764</v>
      </c>
      <c r="I557" s="1" t="s">
        <v>20755</v>
      </c>
      <c r="J557" s="1">
        <v>1826</v>
      </c>
      <c r="K557" t="s">
        <v>19623</v>
      </c>
      <c r="L557" t="s">
        <v>19624</v>
      </c>
    </row>
    <row r="558" spans="1:12">
      <c r="A558" t="s">
        <v>19626</v>
      </c>
      <c r="B558" s="1" t="s">
        <v>19622</v>
      </c>
      <c r="F558">
        <v>1</v>
      </c>
      <c r="G558" t="str">
        <f>HYPERLINK("http://babel.hathitrust.org/cgi/pt?id=hvd.32044090301458")</f>
        <v>http://babel.hathitrust.org/cgi/pt?id=hvd.32044090301458</v>
      </c>
      <c r="H558" t="str">
        <f t="shared" si="11"/>
        <v>http://catalog.hathitrust.org/Record/000916764</v>
      </c>
      <c r="I558" s="1" t="s">
        <v>20920</v>
      </c>
      <c r="J558" s="1">
        <v>1826</v>
      </c>
      <c r="K558" t="s">
        <v>19623</v>
      </c>
      <c r="L558" t="s">
        <v>19624</v>
      </c>
    </row>
    <row r="559" spans="1:12">
      <c r="A559" t="s">
        <v>19627</v>
      </c>
      <c r="B559" s="1" t="s">
        <v>19622</v>
      </c>
      <c r="F559">
        <v>1</v>
      </c>
      <c r="G559" t="str">
        <f>HYPERLINK("http://babel.hathitrust.org/cgi/pt?id=mdp.39015059646052")</f>
        <v>http://babel.hathitrust.org/cgi/pt?id=mdp.39015059646052</v>
      </c>
      <c r="H559" t="str">
        <f t="shared" si="11"/>
        <v>http://catalog.hathitrust.org/Record/000916764</v>
      </c>
      <c r="I559" s="1" t="s">
        <v>20920</v>
      </c>
      <c r="J559" s="1">
        <v>1826</v>
      </c>
      <c r="K559" t="s">
        <v>19623</v>
      </c>
      <c r="L559" t="s">
        <v>19624</v>
      </c>
    </row>
    <row r="560" spans="1:12">
      <c r="A560" t="s">
        <v>19628</v>
      </c>
      <c r="B560" s="1" t="s">
        <v>19622</v>
      </c>
      <c r="F560">
        <v>1</v>
      </c>
      <c r="G560" t="str">
        <f>HYPERLINK("http://babel.hathitrust.org/cgi/pt?id=mdp.39015059902224")</f>
        <v>http://babel.hathitrust.org/cgi/pt?id=mdp.39015059902224</v>
      </c>
      <c r="H560" t="str">
        <f t="shared" si="11"/>
        <v>http://catalog.hathitrust.org/Record/000916764</v>
      </c>
      <c r="I560" s="1" t="s">
        <v>20916</v>
      </c>
      <c r="J560" s="1">
        <v>1826</v>
      </c>
      <c r="K560" t="s">
        <v>19623</v>
      </c>
      <c r="L560" t="s">
        <v>19624</v>
      </c>
    </row>
    <row r="561" spans="1:12">
      <c r="A561" t="s">
        <v>19629</v>
      </c>
      <c r="B561" s="1" t="s">
        <v>19622</v>
      </c>
      <c r="F561">
        <v>1</v>
      </c>
      <c r="G561" t="str">
        <f>HYPERLINK("http://babel.hathitrust.org/cgi/pt?id=mdp.39015059902232")</f>
        <v>http://babel.hathitrust.org/cgi/pt?id=mdp.39015059902232</v>
      </c>
      <c r="H561" t="str">
        <f t="shared" si="11"/>
        <v>http://catalog.hathitrust.org/Record/000916764</v>
      </c>
      <c r="I561" s="1" t="s">
        <v>20755</v>
      </c>
      <c r="J561" s="1">
        <v>1826</v>
      </c>
      <c r="K561" t="s">
        <v>19623</v>
      </c>
      <c r="L561" t="s">
        <v>19624</v>
      </c>
    </row>
    <row r="562" spans="1:12">
      <c r="A562" t="s">
        <v>19630</v>
      </c>
      <c r="B562" s="1" t="s">
        <v>19622</v>
      </c>
      <c r="F562">
        <v>1</v>
      </c>
      <c r="G562" t="str">
        <f>HYPERLINK("http://babel.hathitrust.org/cgi/pt?id=nyp.33433082518451")</f>
        <v>http://babel.hathitrust.org/cgi/pt?id=nyp.33433082518451</v>
      </c>
      <c r="H562" t="str">
        <f t="shared" si="11"/>
        <v>http://catalog.hathitrust.org/Record/000916764</v>
      </c>
      <c r="I562" s="1" t="s">
        <v>20796</v>
      </c>
      <c r="J562" s="1">
        <v>1826</v>
      </c>
      <c r="K562" t="s">
        <v>19623</v>
      </c>
      <c r="L562" t="s">
        <v>19624</v>
      </c>
    </row>
    <row r="563" spans="1:12">
      <c r="A563" t="s">
        <v>19631</v>
      </c>
      <c r="B563" s="1" t="s">
        <v>19622</v>
      </c>
      <c r="F563">
        <v>1</v>
      </c>
      <c r="G563" t="str">
        <f>HYPERLINK("http://babel.hathitrust.org/cgi/pt?id=nyp.33433082518469")</f>
        <v>http://babel.hathitrust.org/cgi/pt?id=nyp.33433082518469</v>
      </c>
      <c r="H563" t="str">
        <f t="shared" si="11"/>
        <v>http://catalog.hathitrust.org/Record/000916764</v>
      </c>
      <c r="I563" s="1" t="s">
        <v>20799</v>
      </c>
      <c r="J563" s="1">
        <v>1826</v>
      </c>
      <c r="K563" t="s">
        <v>19623</v>
      </c>
      <c r="L563" t="s">
        <v>19624</v>
      </c>
    </row>
    <row r="564" spans="1:12">
      <c r="A564" t="s">
        <v>19632</v>
      </c>
      <c r="B564" s="1" t="s">
        <v>19622</v>
      </c>
      <c r="F564">
        <v>1</v>
      </c>
      <c r="G564" t="str">
        <f>HYPERLINK("http://babel.hathitrust.org/cgi/pt?id=nyp.33433082518477")</f>
        <v>http://babel.hathitrust.org/cgi/pt?id=nyp.33433082518477</v>
      </c>
      <c r="H564" t="str">
        <f t="shared" si="11"/>
        <v>http://catalog.hathitrust.org/Record/000916764</v>
      </c>
      <c r="I564" s="1" t="s">
        <v>20801</v>
      </c>
      <c r="J564" s="1">
        <v>1826</v>
      </c>
      <c r="K564" t="s">
        <v>19623</v>
      </c>
      <c r="L564" t="s">
        <v>19624</v>
      </c>
    </row>
    <row r="565" spans="1:12">
      <c r="A565" t="s">
        <v>19633</v>
      </c>
      <c r="B565" s="1" t="s">
        <v>19622</v>
      </c>
      <c r="F565">
        <v>1</v>
      </c>
      <c r="G565" t="str">
        <f>HYPERLINK("http://babel.hathitrust.org/cgi/pt?id=uc1.32106005863581")</f>
        <v>http://babel.hathitrust.org/cgi/pt?id=uc1.32106005863581</v>
      </c>
      <c r="H565" t="str">
        <f t="shared" si="11"/>
        <v>http://catalog.hathitrust.org/Record/000916764</v>
      </c>
      <c r="I565" s="1" t="s">
        <v>20755</v>
      </c>
      <c r="J565" s="1">
        <v>1826</v>
      </c>
      <c r="K565" t="s">
        <v>19623</v>
      </c>
      <c r="L565" t="s">
        <v>19624</v>
      </c>
    </row>
    <row r="566" spans="1:12">
      <c r="A566" t="s">
        <v>19634</v>
      </c>
      <c r="B566" s="1" t="s">
        <v>19622</v>
      </c>
      <c r="F566">
        <v>1</v>
      </c>
      <c r="G566" t="str">
        <f>HYPERLINK("http://babel.hathitrust.org/cgi/pt?id=uc1.32106005863698")</f>
        <v>http://babel.hathitrust.org/cgi/pt?id=uc1.32106005863698</v>
      </c>
      <c r="H566" t="str">
        <f t="shared" si="11"/>
        <v>http://catalog.hathitrust.org/Record/000916764</v>
      </c>
      <c r="I566" s="1" t="s">
        <v>20916</v>
      </c>
      <c r="J566" s="1">
        <v>1826</v>
      </c>
      <c r="K566" t="s">
        <v>19623</v>
      </c>
      <c r="L566" t="s">
        <v>19624</v>
      </c>
    </row>
    <row r="567" spans="1:12">
      <c r="A567" t="s">
        <v>19635</v>
      </c>
      <c r="B567" s="1" t="s">
        <v>19622</v>
      </c>
      <c r="F567">
        <v>1</v>
      </c>
      <c r="G567" t="str">
        <f>HYPERLINK("http://babel.hathitrust.org/cgi/pt?id=uc1.32106005863706")</f>
        <v>http://babel.hathitrust.org/cgi/pt?id=uc1.32106005863706</v>
      </c>
      <c r="H567" t="str">
        <f t="shared" si="11"/>
        <v>http://catalog.hathitrust.org/Record/000916764</v>
      </c>
      <c r="I567" s="1" t="s">
        <v>20920</v>
      </c>
      <c r="J567" s="1">
        <v>1826</v>
      </c>
      <c r="K567" t="s">
        <v>19623</v>
      </c>
      <c r="L567" t="s">
        <v>19624</v>
      </c>
    </row>
    <row r="568" spans="1:12">
      <c r="A568" t="s">
        <v>19636</v>
      </c>
      <c r="B568" s="1" t="s">
        <v>19622</v>
      </c>
      <c r="F568">
        <v>1</v>
      </c>
      <c r="G568" t="str">
        <f>HYPERLINK("http://babel.hathitrust.org/cgi/pt?id=uc1.b266635")</f>
        <v>http://babel.hathitrust.org/cgi/pt?id=uc1.b266635</v>
      </c>
      <c r="H568" t="str">
        <f t="shared" si="11"/>
        <v>http://catalog.hathitrust.org/Record/000916764</v>
      </c>
      <c r="I568" s="1" t="s">
        <v>20796</v>
      </c>
      <c r="J568" s="1">
        <v>1826</v>
      </c>
      <c r="K568" t="s">
        <v>19623</v>
      </c>
      <c r="L568" t="s">
        <v>19624</v>
      </c>
    </row>
    <row r="569" spans="1:12">
      <c r="A569" t="s">
        <v>19637</v>
      </c>
      <c r="B569" s="1" t="s">
        <v>19622</v>
      </c>
      <c r="F569">
        <v>1</v>
      </c>
      <c r="G569" t="str">
        <f>HYPERLINK("http://babel.hathitrust.org/cgi/pt?id=uc1.b266636")</f>
        <v>http://babel.hathitrust.org/cgi/pt?id=uc1.b266636</v>
      </c>
      <c r="H569" t="str">
        <f t="shared" si="11"/>
        <v>http://catalog.hathitrust.org/Record/000916764</v>
      </c>
      <c r="I569" s="1" t="s">
        <v>20799</v>
      </c>
      <c r="J569" s="1">
        <v>1826</v>
      </c>
      <c r="K569" t="s">
        <v>19623</v>
      </c>
      <c r="L569" t="s">
        <v>19624</v>
      </c>
    </row>
    <row r="570" spans="1:12">
      <c r="A570" t="s">
        <v>19638</v>
      </c>
      <c r="B570" s="1" t="s">
        <v>19622</v>
      </c>
      <c r="F570">
        <v>1</v>
      </c>
      <c r="G570" t="str">
        <f>HYPERLINK("http://babel.hathitrust.org/cgi/pt?id=uc1.b266637")</f>
        <v>http://babel.hathitrust.org/cgi/pt?id=uc1.b266637</v>
      </c>
      <c r="H570" t="str">
        <f t="shared" si="11"/>
        <v>http://catalog.hathitrust.org/Record/000916764</v>
      </c>
      <c r="I570" s="1" t="s">
        <v>20801</v>
      </c>
      <c r="J570" s="1">
        <v>1826</v>
      </c>
      <c r="K570" t="s">
        <v>19623</v>
      </c>
      <c r="L570" t="s">
        <v>19624</v>
      </c>
    </row>
    <row r="571" spans="1:12">
      <c r="A571" t="s">
        <v>19639</v>
      </c>
      <c r="B571" s="1" t="s">
        <v>19622</v>
      </c>
      <c r="F571">
        <v>1</v>
      </c>
      <c r="G571" t="str">
        <f>HYPERLINK("http://babel.hathitrust.org/cgi/pt?id=uc2.ark:/13960/t1vd6vp2h")</f>
        <v>http://babel.hathitrust.org/cgi/pt?id=uc2.ark:/13960/t1vd6vp2h</v>
      </c>
      <c r="H571" t="str">
        <f t="shared" si="11"/>
        <v>http://catalog.hathitrust.org/Record/000916764</v>
      </c>
      <c r="I571" s="1" t="s">
        <v>20920</v>
      </c>
      <c r="J571" s="1">
        <v>1826</v>
      </c>
      <c r="K571" t="s">
        <v>19623</v>
      </c>
      <c r="L571" t="s">
        <v>19624</v>
      </c>
    </row>
    <row r="572" spans="1:12">
      <c r="A572" t="s">
        <v>19640</v>
      </c>
      <c r="B572" s="1" t="s">
        <v>19622</v>
      </c>
      <c r="F572">
        <v>1</v>
      </c>
      <c r="G572" t="str">
        <f>HYPERLINK("http://babel.hathitrust.org/cgi/pt?id=uc2.ark:/13960/t85h7jw71")</f>
        <v>http://babel.hathitrust.org/cgi/pt?id=uc2.ark:/13960/t85h7jw71</v>
      </c>
      <c r="H572" t="str">
        <f t="shared" si="11"/>
        <v>http://catalog.hathitrust.org/Record/000916764</v>
      </c>
      <c r="I572" s="1" t="s">
        <v>20916</v>
      </c>
      <c r="J572" s="1">
        <v>1826</v>
      </c>
      <c r="K572" t="s">
        <v>19623</v>
      </c>
      <c r="L572" t="s">
        <v>19624</v>
      </c>
    </row>
    <row r="573" spans="1:12">
      <c r="A573" t="s">
        <v>19641</v>
      </c>
      <c r="B573" s="1" t="s">
        <v>19642</v>
      </c>
      <c r="F573">
        <v>1</v>
      </c>
      <c r="G573" t="str">
        <f>HYPERLINK("http://babel.hathitrust.org/cgi/pt?id=mdp.39015076749129")</f>
        <v>http://babel.hathitrust.org/cgi/pt?id=mdp.39015076749129</v>
      </c>
      <c r="H573" t="str">
        <f>HYPERLINK("http://catalog.hathitrust.org/Record/000917633")</f>
        <v>http://catalog.hathitrust.org/Record/000917633</v>
      </c>
      <c r="J573" s="1">
        <v>1879</v>
      </c>
      <c r="K573" t="s">
        <v>19643</v>
      </c>
      <c r="L573" t="s">
        <v>19644</v>
      </c>
    </row>
    <row r="574" spans="1:12">
      <c r="A574" t="s">
        <v>19645</v>
      </c>
      <c r="B574" s="1" t="s">
        <v>19646</v>
      </c>
      <c r="F574">
        <v>1</v>
      </c>
      <c r="G574" t="str">
        <f>HYPERLINK("http://babel.hathitrust.org/cgi/pt?id=mdp.39015011492389")</f>
        <v>http://babel.hathitrust.org/cgi/pt?id=mdp.39015011492389</v>
      </c>
      <c r="H574" t="str">
        <f>HYPERLINK("http://catalog.hathitrust.org/Record/000918302")</f>
        <v>http://catalog.hathitrust.org/Record/000918302</v>
      </c>
      <c r="J574" s="1">
        <v>1876</v>
      </c>
      <c r="K574" t="s">
        <v>19647</v>
      </c>
      <c r="L574" t="s">
        <v>19648</v>
      </c>
    </row>
    <row r="575" spans="1:12">
      <c r="A575" t="s">
        <v>19649</v>
      </c>
      <c r="B575" s="1" t="s">
        <v>19650</v>
      </c>
      <c r="F575">
        <v>1</v>
      </c>
      <c r="G575" t="str">
        <f>HYPERLINK("http://babel.hathitrust.org/cgi/pt?id=mdp.39015059895865")</f>
        <v>http://babel.hathitrust.org/cgi/pt?id=mdp.39015059895865</v>
      </c>
      <c r="H575" t="str">
        <f>HYPERLINK("http://catalog.hathitrust.org/Record/000937330")</f>
        <v>http://catalog.hathitrust.org/Record/000937330</v>
      </c>
      <c r="J575" s="1">
        <v>1895</v>
      </c>
      <c r="K575" t="s">
        <v>19539</v>
      </c>
      <c r="L575" t="s">
        <v>19540</v>
      </c>
    </row>
    <row r="576" spans="1:12">
      <c r="A576" t="s">
        <v>19541</v>
      </c>
      <c r="B576" s="1" t="s">
        <v>19542</v>
      </c>
      <c r="D576">
        <v>1</v>
      </c>
      <c r="G576" t="str">
        <f>HYPERLINK("http://babel.hathitrust.org/cgi/pt?id=mdp.39015059895667")</f>
        <v>http://babel.hathitrust.org/cgi/pt?id=mdp.39015059895667</v>
      </c>
      <c r="H576" t="str">
        <f>HYPERLINK("http://catalog.hathitrust.org/Record/000937333")</f>
        <v>http://catalog.hathitrust.org/Record/000937333</v>
      </c>
      <c r="J576" s="1">
        <v>1852</v>
      </c>
      <c r="K576" t="s">
        <v>19543</v>
      </c>
      <c r="L576" t="s">
        <v>19544</v>
      </c>
    </row>
    <row r="577" spans="1:12">
      <c r="A577" t="s">
        <v>19545</v>
      </c>
      <c r="B577" s="1" t="s">
        <v>19546</v>
      </c>
      <c r="F577">
        <v>1</v>
      </c>
      <c r="G577" t="str">
        <f>HYPERLINK("http://babel.hathitrust.org/cgi/pt?id=hvd.32044019567858")</f>
        <v>http://babel.hathitrust.org/cgi/pt?id=hvd.32044019567858</v>
      </c>
      <c r="H577" t="str">
        <f>HYPERLINK("http://catalog.hathitrust.org/Record/000937342")</f>
        <v>http://catalog.hathitrust.org/Record/000937342</v>
      </c>
      <c r="J577" s="1">
        <v>1870</v>
      </c>
      <c r="K577" t="s">
        <v>19547</v>
      </c>
      <c r="L577" t="s">
        <v>19548</v>
      </c>
    </row>
    <row r="578" spans="1:12">
      <c r="A578" t="s">
        <v>19549</v>
      </c>
      <c r="B578" s="1" t="s">
        <v>19546</v>
      </c>
      <c r="F578">
        <v>1</v>
      </c>
      <c r="G578" t="str">
        <f>HYPERLINK("http://babel.hathitrust.org/cgi/pt?id=uc2.ark:/13960/t5m904d3b")</f>
        <v>http://babel.hathitrust.org/cgi/pt?id=uc2.ark:/13960/t5m904d3b</v>
      </c>
      <c r="H578" t="str">
        <f>HYPERLINK("http://catalog.hathitrust.org/Record/000937342")</f>
        <v>http://catalog.hathitrust.org/Record/000937342</v>
      </c>
      <c r="J578" s="1">
        <v>1870</v>
      </c>
      <c r="K578" t="s">
        <v>19547</v>
      </c>
      <c r="L578" t="s">
        <v>19548</v>
      </c>
    </row>
    <row r="579" spans="1:12">
      <c r="A579" t="s">
        <v>19550</v>
      </c>
      <c r="B579" s="1" t="s">
        <v>19551</v>
      </c>
      <c r="F579">
        <v>1</v>
      </c>
      <c r="G579" t="str">
        <f>HYPERLINK("http://babel.hathitrust.org/cgi/pt?id=mdp.39015031012456")</f>
        <v>http://babel.hathitrust.org/cgi/pt?id=mdp.39015031012456</v>
      </c>
      <c r="H579" t="str">
        <f>HYPERLINK("http://catalog.hathitrust.org/Record/000940210")</f>
        <v>http://catalog.hathitrust.org/Record/000940210</v>
      </c>
      <c r="J579" s="1">
        <v>1891</v>
      </c>
      <c r="K579" t="s">
        <v>19552</v>
      </c>
      <c r="L579" t="s">
        <v>19553</v>
      </c>
    </row>
    <row r="580" spans="1:12">
      <c r="A580" t="s">
        <v>19554</v>
      </c>
      <c r="B580" s="1" t="s">
        <v>19555</v>
      </c>
      <c r="F580">
        <v>1</v>
      </c>
      <c r="G580" t="str">
        <f>HYPERLINK("http://babel.hathitrust.org/cgi/pt?id=mdp.39015030868882")</f>
        <v>http://babel.hathitrust.org/cgi/pt?id=mdp.39015030868882</v>
      </c>
      <c r="H580" t="str">
        <f>HYPERLINK("http://catalog.hathitrust.org/Record/000940693")</f>
        <v>http://catalog.hathitrust.org/Record/000940693</v>
      </c>
      <c r="J580" s="1">
        <v>1898</v>
      </c>
      <c r="K580" t="s">
        <v>19556</v>
      </c>
      <c r="L580" t="s">
        <v>19557</v>
      </c>
    </row>
    <row r="581" spans="1:12">
      <c r="A581" t="s">
        <v>19558</v>
      </c>
      <c r="B581" s="1" t="s">
        <v>19559</v>
      </c>
      <c r="F581">
        <v>1</v>
      </c>
      <c r="G581" t="str">
        <f>HYPERLINK("http://babel.hathitrust.org/cgi/pt?id=mdp.39015030868841")</f>
        <v>http://babel.hathitrust.org/cgi/pt?id=mdp.39015030868841</v>
      </c>
      <c r="H581" t="str">
        <f>HYPERLINK("http://catalog.hathitrust.org/Record/000940789")</f>
        <v>http://catalog.hathitrust.org/Record/000940789</v>
      </c>
      <c r="J581" s="1">
        <v>1878</v>
      </c>
      <c r="K581" t="s">
        <v>19560</v>
      </c>
      <c r="L581" t="s">
        <v>19561</v>
      </c>
    </row>
    <row r="582" spans="1:12">
      <c r="A582" t="s">
        <v>19562</v>
      </c>
      <c r="B582" s="1" t="s">
        <v>19563</v>
      </c>
      <c r="F582">
        <v>1</v>
      </c>
      <c r="G582" t="str">
        <f>HYPERLINK("http://babel.hathitrust.org/cgi/pt?id=mdp.39015030868155")</f>
        <v>http://babel.hathitrust.org/cgi/pt?id=mdp.39015030868155</v>
      </c>
      <c r="H582" t="str">
        <f>HYPERLINK("http://catalog.hathitrust.org/Record/000941680")</f>
        <v>http://catalog.hathitrust.org/Record/000941680</v>
      </c>
      <c r="J582" s="1">
        <v>1903</v>
      </c>
      <c r="K582" t="s">
        <v>19564</v>
      </c>
      <c r="L582" t="s">
        <v>19565</v>
      </c>
    </row>
    <row r="583" spans="1:12">
      <c r="A583" t="s">
        <v>19566</v>
      </c>
      <c r="B583" s="1" t="s">
        <v>19567</v>
      </c>
      <c r="D583">
        <v>1</v>
      </c>
      <c r="G583" t="str">
        <f>HYPERLINK("http://babel.hathitrust.org/cgi/pt?id=mdp.39015008880067")</f>
        <v>http://babel.hathitrust.org/cgi/pt?id=mdp.39015008880067</v>
      </c>
      <c r="H583" t="str">
        <f>HYPERLINK("http://catalog.hathitrust.org/Record/000941739")</f>
        <v>http://catalog.hathitrust.org/Record/000941739</v>
      </c>
      <c r="J583" s="1">
        <v>1901</v>
      </c>
      <c r="K583" t="s">
        <v>19568</v>
      </c>
      <c r="L583" t="s">
        <v>19569</v>
      </c>
    </row>
    <row r="584" spans="1:12">
      <c r="A584" t="s">
        <v>19570</v>
      </c>
      <c r="B584" s="1" t="s">
        <v>19567</v>
      </c>
      <c r="F584">
        <v>1</v>
      </c>
      <c r="G584" t="str">
        <f>HYPERLINK("http://babel.hathitrust.org/cgi/pt?id=uc2.ark:/13960/t8pc2x17r")</f>
        <v>http://babel.hathitrust.org/cgi/pt?id=uc2.ark:/13960/t8pc2x17r</v>
      </c>
      <c r="H584" t="str">
        <f>HYPERLINK("http://catalog.hathitrust.org/Record/000941739")</f>
        <v>http://catalog.hathitrust.org/Record/000941739</v>
      </c>
      <c r="J584" s="1">
        <v>1901</v>
      </c>
      <c r="K584" t="s">
        <v>19568</v>
      </c>
      <c r="L584" t="s">
        <v>19569</v>
      </c>
    </row>
    <row r="585" spans="1:12">
      <c r="A585" t="s">
        <v>19571</v>
      </c>
      <c r="B585" s="1" t="s">
        <v>19572</v>
      </c>
      <c r="F585">
        <v>1</v>
      </c>
      <c r="G585" t="str">
        <f>HYPERLINK("http://babel.hathitrust.org/cgi/pt?id=mdp.39015028688730")</f>
        <v>http://babel.hathitrust.org/cgi/pt?id=mdp.39015028688730</v>
      </c>
      <c r="H585" t="str">
        <f>HYPERLINK("http://catalog.hathitrust.org/Record/000941740")</f>
        <v>http://catalog.hathitrust.org/Record/000941740</v>
      </c>
      <c r="J585" s="1">
        <v>1873</v>
      </c>
      <c r="K585" t="s">
        <v>19573</v>
      </c>
      <c r="L585" t="s">
        <v>19574</v>
      </c>
    </row>
    <row r="586" spans="1:12">
      <c r="A586" t="s">
        <v>19575</v>
      </c>
      <c r="B586" s="1" t="s">
        <v>19576</v>
      </c>
      <c r="F586">
        <v>1</v>
      </c>
      <c r="G586" t="str">
        <f>HYPERLINK("http://babel.hathitrust.org/cgi/pt?id=mdp.39015031040135")</f>
        <v>http://babel.hathitrust.org/cgi/pt?id=mdp.39015031040135</v>
      </c>
      <c r="H586" t="str">
        <f>HYPERLINK("http://catalog.hathitrust.org/Record/000941742")</f>
        <v>http://catalog.hathitrust.org/Record/000941742</v>
      </c>
      <c r="J586" s="1">
        <v>1882</v>
      </c>
      <c r="K586" t="s">
        <v>19577</v>
      </c>
      <c r="L586" t="s">
        <v>19578</v>
      </c>
    </row>
    <row r="587" spans="1:12">
      <c r="A587" t="s">
        <v>19579</v>
      </c>
      <c r="B587" s="1" t="s">
        <v>19580</v>
      </c>
      <c r="F587">
        <v>1</v>
      </c>
      <c r="G587" t="str">
        <f>HYPERLINK("http://babel.hathitrust.org/cgi/pt?id=mdp.39015031040606")</f>
        <v>http://babel.hathitrust.org/cgi/pt?id=mdp.39015031040606</v>
      </c>
      <c r="H587" t="str">
        <f>HYPERLINK("http://catalog.hathitrust.org/Record/000941745")</f>
        <v>http://catalog.hathitrust.org/Record/000941745</v>
      </c>
      <c r="J587" s="1">
        <v>1902</v>
      </c>
      <c r="K587" t="s">
        <v>19581</v>
      </c>
      <c r="L587" t="s">
        <v>19582</v>
      </c>
    </row>
    <row r="588" spans="1:12">
      <c r="A588" t="s">
        <v>19583</v>
      </c>
      <c r="B588" s="1" t="s">
        <v>19584</v>
      </c>
      <c r="F588">
        <v>1</v>
      </c>
      <c r="G588" t="str">
        <f>HYPERLINK("http://babel.hathitrust.org/cgi/pt?id=mdp.39015030870011")</f>
        <v>http://babel.hathitrust.org/cgi/pt?id=mdp.39015030870011</v>
      </c>
      <c r="H588" t="str">
        <f>HYPERLINK("http://catalog.hathitrust.org/Record/000941746")</f>
        <v>http://catalog.hathitrust.org/Record/000941746</v>
      </c>
      <c r="J588" s="1">
        <v>1892</v>
      </c>
      <c r="K588" t="s">
        <v>19585</v>
      </c>
      <c r="L588" t="s">
        <v>19586</v>
      </c>
    </row>
    <row r="589" spans="1:12">
      <c r="A589" t="s">
        <v>19587</v>
      </c>
      <c r="B589" s="1" t="s">
        <v>19584</v>
      </c>
      <c r="F589">
        <v>1</v>
      </c>
      <c r="G589" t="str">
        <f>HYPERLINK("http://babel.hathitrust.org/cgi/pt?id=uc1.b252803")</f>
        <v>http://babel.hathitrust.org/cgi/pt?id=uc1.b252803</v>
      </c>
      <c r="H589" t="str">
        <f>HYPERLINK("http://catalog.hathitrust.org/Record/000941746")</f>
        <v>http://catalog.hathitrust.org/Record/000941746</v>
      </c>
      <c r="J589" s="1">
        <v>1892</v>
      </c>
      <c r="K589" t="s">
        <v>19585</v>
      </c>
      <c r="L589" t="s">
        <v>19586</v>
      </c>
    </row>
    <row r="590" spans="1:12">
      <c r="A590" t="s">
        <v>19588</v>
      </c>
      <c r="B590" s="1" t="s">
        <v>19584</v>
      </c>
      <c r="F590">
        <v>1</v>
      </c>
      <c r="G590" t="str">
        <f>HYPERLINK("http://babel.hathitrust.org/cgi/pt?id=uc2.ark:/13960/t90866887")</f>
        <v>http://babel.hathitrust.org/cgi/pt?id=uc2.ark:/13960/t90866887</v>
      </c>
      <c r="H590" t="str">
        <f>HYPERLINK("http://catalog.hathitrust.org/Record/000941746")</f>
        <v>http://catalog.hathitrust.org/Record/000941746</v>
      </c>
      <c r="J590" s="1">
        <v>1892</v>
      </c>
      <c r="K590" t="s">
        <v>19585</v>
      </c>
      <c r="L590" t="s">
        <v>19586</v>
      </c>
    </row>
    <row r="591" spans="1:12">
      <c r="A591" t="s">
        <v>19589</v>
      </c>
      <c r="B591" s="1" t="s">
        <v>19590</v>
      </c>
      <c r="F591">
        <v>1</v>
      </c>
      <c r="G591" t="str">
        <f>HYPERLINK("http://babel.hathitrust.org/cgi/pt?id=miun.adz9762.0001.001")</f>
        <v>http://babel.hathitrust.org/cgi/pt?id=miun.adz9762.0001.001</v>
      </c>
      <c r="H591" t="str">
        <f>HYPERLINK("http://catalog.hathitrust.org/Record/000941764")</f>
        <v>http://catalog.hathitrust.org/Record/000941764</v>
      </c>
      <c r="J591" s="1">
        <v>1867</v>
      </c>
      <c r="K591" t="s">
        <v>19591</v>
      </c>
      <c r="L591" t="s">
        <v>19492</v>
      </c>
    </row>
    <row r="592" spans="1:12">
      <c r="A592" t="s">
        <v>19493</v>
      </c>
      <c r="B592" s="1" t="s">
        <v>19494</v>
      </c>
      <c r="F592">
        <v>1</v>
      </c>
      <c r="G592" t="str">
        <f>HYPERLINK("http://babel.hathitrust.org/cgi/pt?id=mdp.39015003935072")</f>
        <v>http://babel.hathitrust.org/cgi/pt?id=mdp.39015003935072</v>
      </c>
      <c r="H592" t="str">
        <f>HYPERLINK("http://catalog.hathitrust.org/Record/000941767")</f>
        <v>http://catalog.hathitrust.org/Record/000941767</v>
      </c>
      <c r="J592" s="1">
        <v>1845</v>
      </c>
      <c r="K592" t="s">
        <v>19495</v>
      </c>
      <c r="L592" t="s">
        <v>19496</v>
      </c>
    </row>
    <row r="593" spans="1:12">
      <c r="A593" t="s">
        <v>19497</v>
      </c>
      <c r="B593" s="1" t="s">
        <v>19498</v>
      </c>
      <c r="F593">
        <v>1</v>
      </c>
      <c r="G593" t="str">
        <f>HYPERLINK("http://babel.hathitrust.org/cgi/pt?id=mdp.39015003937342")</f>
        <v>http://babel.hathitrust.org/cgi/pt?id=mdp.39015003937342</v>
      </c>
      <c r="H593" t="str">
        <f>HYPERLINK("http://catalog.hathitrust.org/Record/000941790")</f>
        <v>http://catalog.hathitrust.org/Record/000941790</v>
      </c>
      <c r="J593" s="1">
        <v>1893</v>
      </c>
      <c r="K593" t="s">
        <v>19499</v>
      </c>
      <c r="L593" t="s">
        <v>19500</v>
      </c>
    </row>
    <row r="594" spans="1:12">
      <c r="A594" t="s">
        <v>19501</v>
      </c>
      <c r="B594" s="1" t="s">
        <v>19498</v>
      </c>
      <c r="F594">
        <v>1</v>
      </c>
      <c r="G594" t="str">
        <f>HYPERLINK("http://babel.hathitrust.org/cgi/pt?id=mdp.39015003937375")</f>
        <v>http://babel.hathitrust.org/cgi/pt?id=mdp.39015003937375</v>
      </c>
      <c r="H594" t="str">
        <f>HYPERLINK("http://catalog.hathitrust.org/Record/000941790")</f>
        <v>http://catalog.hathitrust.org/Record/000941790</v>
      </c>
      <c r="J594" s="1">
        <v>1893</v>
      </c>
      <c r="K594" t="s">
        <v>19499</v>
      </c>
      <c r="L594" t="s">
        <v>19500</v>
      </c>
    </row>
    <row r="595" spans="1:12">
      <c r="A595" t="s">
        <v>19502</v>
      </c>
      <c r="B595" s="1" t="s">
        <v>19503</v>
      </c>
      <c r="F595">
        <v>1</v>
      </c>
      <c r="G595" t="str">
        <f>HYPERLINK("http://babel.hathitrust.org/cgi/pt?id=mdp.39015013733616")</f>
        <v>http://babel.hathitrust.org/cgi/pt?id=mdp.39015013733616</v>
      </c>
      <c r="H595" t="str">
        <f>HYPERLINK("http://catalog.hathitrust.org/Record/000941796")</f>
        <v>http://catalog.hathitrust.org/Record/000941796</v>
      </c>
      <c r="J595" s="1">
        <v>1883</v>
      </c>
      <c r="K595" t="s">
        <v>19504</v>
      </c>
      <c r="L595" t="s">
        <v>19505</v>
      </c>
    </row>
    <row r="596" spans="1:12">
      <c r="A596" t="s">
        <v>19506</v>
      </c>
      <c r="B596" s="1" t="s">
        <v>19503</v>
      </c>
      <c r="F596">
        <v>1</v>
      </c>
      <c r="G596" t="str">
        <f>HYPERLINK("http://babel.hathitrust.org/cgi/pt?id=mdp.39015030883923")</f>
        <v>http://babel.hathitrust.org/cgi/pt?id=mdp.39015030883923</v>
      </c>
      <c r="H596" t="str">
        <f>HYPERLINK("http://catalog.hathitrust.org/Record/000941796")</f>
        <v>http://catalog.hathitrust.org/Record/000941796</v>
      </c>
      <c r="J596" s="1">
        <v>1883</v>
      </c>
      <c r="K596" t="s">
        <v>19504</v>
      </c>
      <c r="L596" t="s">
        <v>19505</v>
      </c>
    </row>
    <row r="597" spans="1:12">
      <c r="A597" t="s">
        <v>19507</v>
      </c>
      <c r="B597" s="1" t="s">
        <v>19508</v>
      </c>
      <c r="F597">
        <v>1</v>
      </c>
      <c r="G597" t="str">
        <f>HYPERLINK("http://babel.hathitrust.org/cgi/pt?id=mdp.39015019134686")</f>
        <v>http://babel.hathitrust.org/cgi/pt?id=mdp.39015019134686</v>
      </c>
      <c r="H597" t="str">
        <f>HYPERLINK("http://catalog.hathitrust.org/Record/000941799")</f>
        <v>http://catalog.hathitrust.org/Record/000941799</v>
      </c>
      <c r="J597" s="1">
        <v>1890</v>
      </c>
      <c r="K597" t="s">
        <v>19509</v>
      </c>
      <c r="L597" t="s">
        <v>19510</v>
      </c>
    </row>
    <row r="598" spans="1:12">
      <c r="A598" t="s">
        <v>19511</v>
      </c>
      <c r="B598" s="1" t="s">
        <v>19512</v>
      </c>
      <c r="F598">
        <v>1</v>
      </c>
      <c r="G598" t="str">
        <f>HYPERLINK("http://babel.hathitrust.org/cgi/pt?id=mdp.39015003956565")</f>
        <v>http://babel.hathitrust.org/cgi/pt?id=mdp.39015003956565</v>
      </c>
      <c r="H598" t="str">
        <f>HYPERLINK("http://catalog.hathitrust.org/Record/000941805")</f>
        <v>http://catalog.hathitrust.org/Record/000941805</v>
      </c>
      <c r="J598" s="1">
        <v>1851</v>
      </c>
      <c r="K598" t="s">
        <v>19513</v>
      </c>
      <c r="L598" t="s">
        <v>19514</v>
      </c>
    </row>
    <row r="599" spans="1:12">
      <c r="A599" t="s">
        <v>19515</v>
      </c>
      <c r="B599" s="1" t="s">
        <v>19516</v>
      </c>
      <c r="F599">
        <v>1</v>
      </c>
      <c r="G599" t="str">
        <f>HYPERLINK("http://babel.hathitrust.org/cgi/pt?id=mdp.39015003956201")</f>
        <v>http://babel.hathitrust.org/cgi/pt?id=mdp.39015003956201</v>
      </c>
      <c r="H599" t="str">
        <f>HYPERLINK("http://catalog.hathitrust.org/Record/000941809")</f>
        <v>http://catalog.hathitrust.org/Record/000941809</v>
      </c>
      <c r="J599" s="1">
        <v>1834</v>
      </c>
      <c r="K599" t="s">
        <v>19517</v>
      </c>
      <c r="L599" t="s">
        <v>19518</v>
      </c>
    </row>
    <row r="600" spans="1:12">
      <c r="A600" t="s">
        <v>19519</v>
      </c>
      <c r="B600" s="1" t="s">
        <v>19520</v>
      </c>
      <c r="F600">
        <v>1</v>
      </c>
      <c r="G600" t="str">
        <f>HYPERLINK("http://babel.hathitrust.org/cgi/pt?id=mdp.39015030866472")</f>
        <v>http://babel.hathitrust.org/cgi/pt?id=mdp.39015030866472</v>
      </c>
      <c r="H600" t="str">
        <f>HYPERLINK("http://catalog.hathitrust.org/Record/000941814")</f>
        <v>http://catalog.hathitrust.org/Record/000941814</v>
      </c>
      <c r="J600" s="1">
        <v>1891</v>
      </c>
      <c r="K600" t="s">
        <v>19521</v>
      </c>
      <c r="L600" t="s">
        <v>19522</v>
      </c>
    </row>
    <row r="601" spans="1:12">
      <c r="A601" t="s">
        <v>19523</v>
      </c>
      <c r="B601" s="1" t="s">
        <v>19524</v>
      </c>
      <c r="D601">
        <v>1</v>
      </c>
      <c r="G601" t="str">
        <f>HYPERLINK("http://babel.hathitrust.org/cgi/pt?id=uc1.b616441")</f>
        <v>http://babel.hathitrust.org/cgi/pt?id=uc1.b616441</v>
      </c>
      <c r="H601" t="str">
        <f>HYPERLINK("http://catalog.hathitrust.org/Record/000943246")</f>
        <v>http://catalog.hathitrust.org/Record/000943246</v>
      </c>
      <c r="J601" s="1">
        <v>1880</v>
      </c>
      <c r="K601" t="s">
        <v>19799</v>
      </c>
      <c r="L601" t="s">
        <v>19800</v>
      </c>
    </row>
    <row r="602" spans="1:12">
      <c r="A602" t="s">
        <v>19525</v>
      </c>
      <c r="B602" s="1" t="s">
        <v>19526</v>
      </c>
      <c r="F602">
        <v>1</v>
      </c>
      <c r="G602" t="str">
        <f>HYPERLINK("http://babel.hathitrust.org/cgi/pt?id=mdp.39015005770816")</f>
        <v>http://babel.hathitrust.org/cgi/pt?id=mdp.39015005770816</v>
      </c>
      <c r="H602" t="str">
        <f>HYPERLINK("http://catalog.hathitrust.org/Record/000945500")</f>
        <v>http://catalog.hathitrust.org/Record/000945500</v>
      </c>
      <c r="J602" s="1">
        <v>1899</v>
      </c>
      <c r="K602" t="s">
        <v>19527</v>
      </c>
      <c r="L602" t="s">
        <v>19528</v>
      </c>
    </row>
    <row r="603" spans="1:12">
      <c r="A603" t="s">
        <v>19529</v>
      </c>
      <c r="B603" s="1" t="s">
        <v>19530</v>
      </c>
      <c r="F603">
        <v>1</v>
      </c>
      <c r="G603" t="str">
        <f>HYPERLINK("http://babel.hathitrust.org/cgi/pt?id=mdp.39015030999653")</f>
        <v>http://babel.hathitrust.org/cgi/pt?id=mdp.39015030999653</v>
      </c>
      <c r="H603" t="str">
        <f>HYPERLINK("http://catalog.hathitrust.org/Record/000945512")</f>
        <v>http://catalog.hathitrust.org/Record/000945512</v>
      </c>
      <c r="J603" s="1">
        <v>1884</v>
      </c>
      <c r="K603" t="s">
        <v>19531</v>
      </c>
      <c r="L603" t="s">
        <v>19532</v>
      </c>
    </row>
    <row r="604" spans="1:12">
      <c r="A604" t="s">
        <v>19533</v>
      </c>
      <c r="B604" s="1" t="s">
        <v>19534</v>
      </c>
      <c r="F604">
        <v>1</v>
      </c>
      <c r="G604" t="str">
        <f>HYPERLINK("http://babel.hathitrust.org/cgi/pt?id=mdp.39015058690101")</f>
        <v>http://babel.hathitrust.org/cgi/pt?id=mdp.39015058690101</v>
      </c>
      <c r="H604" t="str">
        <f>HYPERLINK("http://catalog.hathitrust.org/Record/000945527")</f>
        <v>http://catalog.hathitrust.org/Record/000945527</v>
      </c>
      <c r="J604" s="1">
        <v>1858</v>
      </c>
      <c r="K604" t="s">
        <v>19535</v>
      </c>
      <c r="L604" t="s">
        <v>19536</v>
      </c>
    </row>
    <row r="605" spans="1:12">
      <c r="A605" t="s">
        <v>19537</v>
      </c>
      <c r="B605" s="1" t="s">
        <v>19538</v>
      </c>
      <c r="E605">
        <v>1</v>
      </c>
      <c r="F605">
        <v>1</v>
      </c>
      <c r="G605" t="str">
        <f>HYPERLINK("http://babel.hathitrust.org/cgi/pt?id=miun.aea3585.0001.001")</f>
        <v>http://babel.hathitrust.org/cgi/pt?id=miun.aea3585.0001.001</v>
      </c>
      <c r="H605" t="str">
        <f>HYPERLINK("http://catalog.hathitrust.org/Record/000945551")</f>
        <v>http://catalog.hathitrust.org/Record/000945551</v>
      </c>
      <c r="J605" s="1">
        <v>1868</v>
      </c>
      <c r="K605" t="s">
        <v>19441</v>
      </c>
      <c r="L605" t="s">
        <v>19442</v>
      </c>
    </row>
    <row r="606" spans="1:12">
      <c r="A606" t="s">
        <v>19443</v>
      </c>
      <c r="B606" s="1" t="s">
        <v>19444</v>
      </c>
      <c r="E606">
        <v>1</v>
      </c>
      <c r="F606">
        <v>1</v>
      </c>
      <c r="G606" t="str">
        <f>HYPERLINK("http://babel.hathitrust.org/cgi/pt?id=mdp.39015011426379")</f>
        <v>http://babel.hathitrust.org/cgi/pt?id=mdp.39015011426379</v>
      </c>
      <c r="H606" t="str">
        <f>HYPERLINK("http://catalog.hathitrust.org/Record/000945560")</f>
        <v>http://catalog.hathitrust.org/Record/000945560</v>
      </c>
      <c r="J606" s="1">
        <v>1875</v>
      </c>
      <c r="K606" t="s">
        <v>19445</v>
      </c>
      <c r="L606" t="s">
        <v>19446</v>
      </c>
    </row>
    <row r="607" spans="1:12">
      <c r="A607" t="s">
        <v>19447</v>
      </c>
      <c r="B607" s="1" t="s">
        <v>19448</v>
      </c>
      <c r="F607">
        <v>1</v>
      </c>
      <c r="G607" t="str">
        <f>HYPERLINK("http://babel.hathitrust.org/cgi/pt?id=mdp.39015058690721")</f>
        <v>http://babel.hathitrust.org/cgi/pt?id=mdp.39015058690721</v>
      </c>
      <c r="H607" t="str">
        <f>HYPERLINK("http://catalog.hathitrust.org/Record/000945667")</f>
        <v>http://catalog.hathitrust.org/Record/000945667</v>
      </c>
      <c r="J607" s="1">
        <v>1887</v>
      </c>
      <c r="K607" t="s">
        <v>19449</v>
      </c>
      <c r="L607" t="s">
        <v>19601</v>
      </c>
    </row>
    <row r="608" spans="1:12">
      <c r="A608" t="s">
        <v>19450</v>
      </c>
      <c r="B608" s="1" t="s">
        <v>19451</v>
      </c>
      <c r="F608">
        <v>1</v>
      </c>
      <c r="G608" t="str">
        <f>HYPERLINK("http://babel.hathitrust.org/cgi/pt?id=mdp.39015030926128")</f>
        <v>http://babel.hathitrust.org/cgi/pt?id=mdp.39015030926128</v>
      </c>
      <c r="H608" t="str">
        <f>HYPERLINK("http://catalog.hathitrust.org/Record/000945703")</f>
        <v>http://catalog.hathitrust.org/Record/000945703</v>
      </c>
      <c r="J608" s="1">
        <v>1885</v>
      </c>
      <c r="K608" t="s">
        <v>19452</v>
      </c>
    </row>
    <row r="609" spans="1:12">
      <c r="A609" t="s">
        <v>19453</v>
      </c>
      <c r="B609" s="1" t="s">
        <v>19454</v>
      </c>
      <c r="E609">
        <v>1</v>
      </c>
      <c r="F609">
        <v>1</v>
      </c>
      <c r="G609" t="str">
        <f>HYPERLINK("http://babel.hathitrust.org/cgi/pt?id=mdp.39015023260626")</f>
        <v>http://babel.hathitrust.org/cgi/pt?id=mdp.39015023260626</v>
      </c>
      <c r="H609" t="str">
        <f>HYPERLINK("http://catalog.hathitrust.org/Record/000945711")</f>
        <v>http://catalog.hathitrust.org/Record/000945711</v>
      </c>
      <c r="I609" s="1" t="s">
        <v>20755</v>
      </c>
      <c r="J609" s="1">
        <v>1897</v>
      </c>
      <c r="K609" t="s">
        <v>20870</v>
      </c>
      <c r="L609" t="s">
        <v>19455</v>
      </c>
    </row>
    <row r="610" spans="1:12">
      <c r="A610" t="s">
        <v>19456</v>
      </c>
      <c r="B610" s="1" t="s">
        <v>19454</v>
      </c>
      <c r="E610">
        <v>1</v>
      </c>
      <c r="F610">
        <v>1</v>
      </c>
      <c r="G610" t="str">
        <f>HYPERLINK("http://babel.hathitrust.org/cgi/pt?id=mdp.39015030925369")</f>
        <v>http://babel.hathitrust.org/cgi/pt?id=mdp.39015030925369</v>
      </c>
      <c r="H610" t="str">
        <f>HYPERLINK("http://catalog.hathitrust.org/Record/000945711")</f>
        <v>http://catalog.hathitrust.org/Record/000945711</v>
      </c>
      <c r="I610" s="1" t="s">
        <v>20916</v>
      </c>
      <c r="J610" s="1">
        <v>1897</v>
      </c>
      <c r="K610" t="s">
        <v>20870</v>
      </c>
      <c r="L610" t="s">
        <v>19455</v>
      </c>
    </row>
    <row r="611" spans="1:12">
      <c r="A611" t="s">
        <v>19457</v>
      </c>
      <c r="B611" s="1" t="s">
        <v>19458</v>
      </c>
      <c r="F611">
        <v>1</v>
      </c>
      <c r="G611" t="str">
        <f>HYPERLINK("http://babel.hathitrust.org/cgi/pt?id=mdp.39015030925286")</f>
        <v>http://babel.hathitrust.org/cgi/pt?id=mdp.39015030925286</v>
      </c>
      <c r="H611" t="str">
        <f>HYPERLINK("http://catalog.hathitrust.org/Record/000945712")</f>
        <v>http://catalog.hathitrust.org/Record/000945712</v>
      </c>
      <c r="J611" s="1">
        <v>1888</v>
      </c>
      <c r="K611" t="s">
        <v>19459</v>
      </c>
      <c r="L611" t="s">
        <v>19460</v>
      </c>
    </row>
    <row r="612" spans="1:12">
      <c r="A612" t="s">
        <v>19461</v>
      </c>
      <c r="B612" s="1" t="s">
        <v>19462</v>
      </c>
      <c r="F612">
        <v>1</v>
      </c>
      <c r="G612" t="str">
        <f>HYPERLINK("http://babel.hathitrust.org/cgi/pt?id=mdp.39015030933512")</f>
        <v>http://babel.hathitrust.org/cgi/pt?id=mdp.39015030933512</v>
      </c>
      <c r="H612" t="str">
        <f>HYPERLINK("http://catalog.hathitrust.org/Record/000945717")</f>
        <v>http://catalog.hathitrust.org/Record/000945717</v>
      </c>
      <c r="J612" s="1">
        <v>1882</v>
      </c>
      <c r="K612" t="s">
        <v>19463</v>
      </c>
      <c r="L612" t="s">
        <v>19464</v>
      </c>
    </row>
    <row r="613" spans="1:12">
      <c r="A613" t="s">
        <v>19465</v>
      </c>
      <c r="B613" s="1" t="s">
        <v>19466</v>
      </c>
      <c r="F613">
        <v>1</v>
      </c>
      <c r="G613" t="str">
        <f>HYPERLINK("http://babel.hathitrust.org/cgi/pt?id=mdp.39015030934817")</f>
        <v>http://babel.hathitrust.org/cgi/pt?id=mdp.39015030934817</v>
      </c>
      <c r="H613" t="str">
        <f>HYPERLINK("http://catalog.hathitrust.org/Record/000946275")</f>
        <v>http://catalog.hathitrust.org/Record/000946275</v>
      </c>
      <c r="J613" s="1">
        <v>1877</v>
      </c>
      <c r="K613" t="s">
        <v>19467</v>
      </c>
      <c r="L613" t="s">
        <v>19468</v>
      </c>
    </row>
    <row r="614" spans="1:12">
      <c r="A614" t="s">
        <v>19469</v>
      </c>
      <c r="B614" s="1" t="s">
        <v>19470</v>
      </c>
      <c r="E614">
        <v>1</v>
      </c>
      <c r="F614">
        <v>1</v>
      </c>
      <c r="G614" t="str">
        <f>HYPERLINK("http://babel.hathitrust.org/cgi/pt?id=mdp.39015010528654")</f>
        <v>http://babel.hathitrust.org/cgi/pt?id=mdp.39015010528654</v>
      </c>
      <c r="H614" t="str">
        <f>HYPERLINK("http://catalog.hathitrust.org/Record/000946281")</f>
        <v>http://catalog.hathitrust.org/Record/000946281</v>
      </c>
      <c r="J614" s="1">
        <v>1900</v>
      </c>
      <c r="K614" t="s">
        <v>19471</v>
      </c>
      <c r="L614" t="s">
        <v>19472</v>
      </c>
    </row>
    <row r="615" spans="1:12">
      <c r="A615" t="s">
        <v>19473</v>
      </c>
      <c r="B615" s="1" t="s">
        <v>19474</v>
      </c>
      <c r="F615">
        <v>1</v>
      </c>
      <c r="G615" t="str">
        <f>HYPERLINK("http://babel.hathitrust.org/cgi/pt?id=mdp.39015030934650")</f>
        <v>http://babel.hathitrust.org/cgi/pt?id=mdp.39015030934650</v>
      </c>
      <c r="H615" t="str">
        <f>HYPERLINK("http://catalog.hathitrust.org/Record/000946286")</f>
        <v>http://catalog.hathitrust.org/Record/000946286</v>
      </c>
      <c r="J615" s="1">
        <v>1890</v>
      </c>
      <c r="K615" t="s">
        <v>19475</v>
      </c>
      <c r="L615" t="s">
        <v>19476</v>
      </c>
    </row>
    <row r="616" spans="1:12">
      <c r="A616" t="s">
        <v>19477</v>
      </c>
      <c r="B616" s="1" t="s">
        <v>19478</v>
      </c>
      <c r="F616">
        <v>1</v>
      </c>
      <c r="G616" t="str">
        <f>HYPERLINK("http://babel.hathitrust.org/cgi/pt?id=mdp.39015059373533")</f>
        <v>http://babel.hathitrust.org/cgi/pt?id=mdp.39015059373533</v>
      </c>
      <c r="H616" t="str">
        <f>HYPERLINK("http://catalog.hathitrust.org/Record/000946300")</f>
        <v>http://catalog.hathitrust.org/Record/000946300</v>
      </c>
      <c r="I616" s="1" t="s">
        <v>19480</v>
      </c>
      <c r="J616" s="1">
        <v>1882</v>
      </c>
      <c r="K616" t="s">
        <v>19479</v>
      </c>
      <c r="L616" t="s">
        <v>19481</v>
      </c>
    </row>
    <row r="617" spans="1:12">
      <c r="A617" t="s">
        <v>19482</v>
      </c>
      <c r="B617" s="1" t="s">
        <v>19478</v>
      </c>
      <c r="F617">
        <v>1</v>
      </c>
      <c r="G617" t="str">
        <f>HYPERLINK("http://babel.hathitrust.org/cgi/pt?id=mdp.39015068057887")</f>
        <v>http://babel.hathitrust.org/cgi/pt?id=mdp.39015068057887</v>
      </c>
      <c r="H617" t="str">
        <f>HYPERLINK("http://catalog.hathitrust.org/Record/000946300")</f>
        <v>http://catalog.hathitrust.org/Record/000946300</v>
      </c>
      <c r="I617" s="1" t="s">
        <v>19483</v>
      </c>
      <c r="J617" s="1">
        <v>1882</v>
      </c>
      <c r="K617" t="s">
        <v>19479</v>
      </c>
      <c r="L617" t="s">
        <v>19481</v>
      </c>
    </row>
    <row r="618" spans="1:12">
      <c r="A618" t="s">
        <v>19484</v>
      </c>
      <c r="B618" s="1" t="s">
        <v>19485</v>
      </c>
      <c r="F618">
        <v>1</v>
      </c>
      <c r="G618" t="str">
        <f>HYPERLINK("http://babel.hathitrust.org/cgi/pt?id=mdp.39015058412845")</f>
        <v>http://babel.hathitrust.org/cgi/pt?id=mdp.39015058412845</v>
      </c>
      <c r="H618" t="str">
        <f>HYPERLINK("http://catalog.hathitrust.org/Record/000946303")</f>
        <v>http://catalog.hathitrust.org/Record/000946303</v>
      </c>
      <c r="J618" s="1">
        <v>1873</v>
      </c>
      <c r="K618" t="s">
        <v>19486</v>
      </c>
      <c r="L618" t="s">
        <v>19487</v>
      </c>
    </row>
    <row r="619" spans="1:12">
      <c r="A619" t="s">
        <v>19488</v>
      </c>
      <c r="B619" s="1" t="s">
        <v>19489</v>
      </c>
      <c r="D619">
        <v>1</v>
      </c>
      <c r="G619" t="str">
        <f>HYPERLINK("http://babel.hathitrust.org/cgi/pt?id=mdp.39015023260469")</f>
        <v>http://babel.hathitrust.org/cgi/pt?id=mdp.39015023260469</v>
      </c>
      <c r="H619" t="str">
        <f>HYPERLINK("http://catalog.hathitrust.org/Record/000946556")</f>
        <v>http://catalog.hathitrust.org/Record/000946556</v>
      </c>
      <c r="J619" s="1">
        <v>1883</v>
      </c>
      <c r="K619" t="s">
        <v>19490</v>
      </c>
      <c r="L619" t="s">
        <v>19491</v>
      </c>
    </row>
    <row r="620" spans="1:12">
      <c r="A620" t="s">
        <v>19377</v>
      </c>
      <c r="B620" s="1" t="s">
        <v>19378</v>
      </c>
      <c r="F620">
        <v>1</v>
      </c>
      <c r="G620" t="str">
        <f>HYPERLINK("http://babel.hathitrust.org/cgi/pt?id=mdp.39015031011003")</f>
        <v>http://babel.hathitrust.org/cgi/pt?id=mdp.39015031011003</v>
      </c>
      <c r="H620" t="str">
        <f>HYPERLINK("http://catalog.hathitrust.org/Record/000946582")</f>
        <v>http://catalog.hathitrust.org/Record/000946582</v>
      </c>
      <c r="J620" s="1">
        <v>1882</v>
      </c>
      <c r="K620" t="s">
        <v>19379</v>
      </c>
      <c r="L620" t="s">
        <v>19380</v>
      </c>
    </row>
    <row r="621" spans="1:12">
      <c r="A621" t="s">
        <v>19381</v>
      </c>
      <c r="B621" s="1" t="s">
        <v>19382</v>
      </c>
      <c r="F621">
        <v>1</v>
      </c>
      <c r="G621" t="str">
        <f>HYPERLINK("http://babel.hathitrust.org/cgi/pt?id=miun.aea5401.0001.001")</f>
        <v>http://babel.hathitrust.org/cgi/pt?id=miun.aea5401.0001.001</v>
      </c>
      <c r="H621" t="str">
        <f>HYPERLINK("http://catalog.hathitrust.org/Record/000947331")</f>
        <v>http://catalog.hathitrust.org/Record/000947331</v>
      </c>
      <c r="I621" s="1">
        <v>1.0009999999999999</v>
      </c>
      <c r="J621" s="1">
        <v>1860</v>
      </c>
      <c r="K621" t="s">
        <v>19383</v>
      </c>
      <c r="L621" t="s">
        <v>19384</v>
      </c>
    </row>
    <row r="622" spans="1:12">
      <c r="A622" t="s">
        <v>19385</v>
      </c>
      <c r="B622" s="1" t="s">
        <v>19382</v>
      </c>
      <c r="F622">
        <v>1</v>
      </c>
      <c r="G622" t="str">
        <f>HYPERLINK("http://babel.hathitrust.org/cgi/pt?id=miun.aea5401.0002.001")</f>
        <v>http://babel.hathitrust.org/cgi/pt?id=miun.aea5401.0002.001</v>
      </c>
      <c r="H622" t="str">
        <f>HYPERLINK("http://catalog.hathitrust.org/Record/000947331")</f>
        <v>http://catalog.hathitrust.org/Record/000947331</v>
      </c>
      <c r="I622" s="1">
        <v>2.0009999999999999</v>
      </c>
      <c r="J622" s="1">
        <v>1860</v>
      </c>
      <c r="K622" t="s">
        <v>19383</v>
      </c>
      <c r="L622" t="s">
        <v>19384</v>
      </c>
    </row>
    <row r="623" spans="1:12">
      <c r="A623" t="s">
        <v>19386</v>
      </c>
      <c r="B623" s="1" t="s">
        <v>19387</v>
      </c>
      <c r="F623">
        <v>1</v>
      </c>
      <c r="G623" t="str">
        <f>HYPERLINK("http://babel.hathitrust.org/cgi/pt?id=mdp.39015070462430")</f>
        <v>http://babel.hathitrust.org/cgi/pt?id=mdp.39015070462430</v>
      </c>
      <c r="H623" t="str">
        <f>HYPERLINK("http://catalog.hathitrust.org/Record/000947342")</f>
        <v>http://catalog.hathitrust.org/Record/000947342</v>
      </c>
      <c r="J623" s="1">
        <v>1896</v>
      </c>
      <c r="K623" t="s">
        <v>19388</v>
      </c>
      <c r="L623" t="s">
        <v>19389</v>
      </c>
    </row>
    <row r="624" spans="1:12">
      <c r="A624" t="s">
        <v>19390</v>
      </c>
      <c r="B624" s="1" t="s">
        <v>19387</v>
      </c>
      <c r="F624">
        <v>1</v>
      </c>
      <c r="G624" t="str">
        <f>HYPERLINK("http://babel.hathitrust.org/cgi/pt?id=uc2.ark:/13960/t8z896c08")</f>
        <v>http://babel.hathitrust.org/cgi/pt?id=uc2.ark:/13960/t8z896c08</v>
      </c>
      <c r="H624" t="str">
        <f>HYPERLINK("http://catalog.hathitrust.org/Record/000947342")</f>
        <v>http://catalog.hathitrust.org/Record/000947342</v>
      </c>
      <c r="J624" s="1">
        <v>1896</v>
      </c>
      <c r="K624" t="s">
        <v>19388</v>
      </c>
      <c r="L624" t="s">
        <v>19389</v>
      </c>
    </row>
    <row r="625" spans="1:12">
      <c r="A625" t="s">
        <v>19391</v>
      </c>
      <c r="B625" s="1" t="s">
        <v>19392</v>
      </c>
      <c r="F625">
        <v>1</v>
      </c>
      <c r="G625" t="str">
        <f>HYPERLINK("http://babel.hathitrust.org/cgi/pt?id=mdp.39015005581551")</f>
        <v>http://babel.hathitrust.org/cgi/pt?id=mdp.39015005581551</v>
      </c>
      <c r="H625" t="str">
        <f t="shared" ref="H625:H632" si="12">HYPERLINK("http://catalog.hathitrust.org/Record/000947383")</f>
        <v>http://catalog.hathitrust.org/Record/000947383</v>
      </c>
      <c r="I625" s="1" t="s">
        <v>20916</v>
      </c>
      <c r="J625" s="1">
        <v>1811</v>
      </c>
      <c r="K625" t="s">
        <v>19393</v>
      </c>
      <c r="L625" t="s">
        <v>20753</v>
      </c>
    </row>
    <row r="626" spans="1:12">
      <c r="A626" t="s">
        <v>19394</v>
      </c>
      <c r="B626" s="1" t="s">
        <v>19392</v>
      </c>
      <c r="F626">
        <v>1</v>
      </c>
      <c r="G626" t="str">
        <f>HYPERLINK("http://babel.hathitrust.org/cgi/pt?id=mdp.39015005581973")</f>
        <v>http://babel.hathitrust.org/cgi/pt?id=mdp.39015005581973</v>
      </c>
      <c r="H626" t="str">
        <f t="shared" si="12"/>
        <v>http://catalog.hathitrust.org/Record/000947383</v>
      </c>
      <c r="I626" s="1" t="s">
        <v>20755</v>
      </c>
      <c r="J626" s="1">
        <v>1811</v>
      </c>
      <c r="K626" t="s">
        <v>19393</v>
      </c>
      <c r="L626" t="s">
        <v>20753</v>
      </c>
    </row>
    <row r="627" spans="1:12">
      <c r="A627" t="s">
        <v>19395</v>
      </c>
      <c r="B627" s="1" t="s">
        <v>19392</v>
      </c>
      <c r="F627">
        <v>1</v>
      </c>
      <c r="G627" t="str">
        <f>HYPERLINK("http://babel.hathitrust.org/cgi/pt?id=mdp.39015005581981")</f>
        <v>http://babel.hathitrust.org/cgi/pt?id=mdp.39015005581981</v>
      </c>
      <c r="H627" t="str">
        <f t="shared" si="12"/>
        <v>http://catalog.hathitrust.org/Record/000947383</v>
      </c>
      <c r="I627" s="1" t="s">
        <v>20920</v>
      </c>
      <c r="J627" s="1">
        <v>1811</v>
      </c>
      <c r="K627" t="s">
        <v>19393</v>
      </c>
      <c r="L627" t="s">
        <v>20753</v>
      </c>
    </row>
    <row r="628" spans="1:12">
      <c r="A628" t="s">
        <v>19396</v>
      </c>
      <c r="B628" s="1" t="s">
        <v>19392</v>
      </c>
      <c r="F628">
        <v>1</v>
      </c>
      <c r="G628" t="str">
        <f>HYPERLINK("http://babel.hathitrust.org/cgi/pt?id=nyp.33433076037146")</f>
        <v>http://babel.hathitrust.org/cgi/pt?id=nyp.33433076037146</v>
      </c>
      <c r="H628" t="str">
        <f t="shared" si="12"/>
        <v>http://catalog.hathitrust.org/Record/000947383</v>
      </c>
      <c r="I628" s="1" t="s">
        <v>20796</v>
      </c>
      <c r="J628" s="1">
        <v>1811</v>
      </c>
      <c r="K628" t="s">
        <v>19393</v>
      </c>
      <c r="L628" t="s">
        <v>20753</v>
      </c>
    </row>
    <row r="629" spans="1:12">
      <c r="A629" t="s">
        <v>19397</v>
      </c>
      <c r="B629" s="1" t="s">
        <v>19392</v>
      </c>
      <c r="F629">
        <v>1</v>
      </c>
      <c r="G629" t="str">
        <f>HYPERLINK("http://babel.hathitrust.org/cgi/pt?id=nyp.33433076037153")</f>
        <v>http://babel.hathitrust.org/cgi/pt?id=nyp.33433076037153</v>
      </c>
      <c r="H629" t="str">
        <f t="shared" si="12"/>
        <v>http://catalog.hathitrust.org/Record/000947383</v>
      </c>
      <c r="I629" s="1" t="s">
        <v>20799</v>
      </c>
      <c r="J629" s="1">
        <v>1811</v>
      </c>
      <c r="K629" t="s">
        <v>19393</v>
      </c>
      <c r="L629" t="s">
        <v>20753</v>
      </c>
    </row>
    <row r="630" spans="1:12">
      <c r="A630" t="s">
        <v>19398</v>
      </c>
      <c r="B630" s="1" t="s">
        <v>19392</v>
      </c>
      <c r="F630">
        <v>1</v>
      </c>
      <c r="G630" t="str">
        <f>HYPERLINK("http://babel.hathitrust.org/cgi/pt?id=nyp.33433076037179")</f>
        <v>http://babel.hathitrust.org/cgi/pt?id=nyp.33433076037179</v>
      </c>
      <c r="H630" t="str">
        <f t="shared" si="12"/>
        <v>http://catalog.hathitrust.org/Record/000947383</v>
      </c>
      <c r="I630" s="1" t="s">
        <v>20801</v>
      </c>
      <c r="J630" s="1">
        <v>1811</v>
      </c>
      <c r="K630" t="s">
        <v>19393</v>
      </c>
      <c r="L630" t="s">
        <v>20753</v>
      </c>
    </row>
    <row r="631" spans="1:12">
      <c r="A631" t="s">
        <v>19399</v>
      </c>
      <c r="B631" s="1" t="s">
        <v>19392</v>
      </c>
      <c r="F631">
        <v>1</v>
      </c>
      <c r="G631" t="str">
        <f>HYPERLINK("http://babel.hathitrust.org/cgi/pt?id=uc2.ark:/13960/t55d8rr2t")</f>
        <v>http://babel.hathitrust.org/cgi/pt?id=uc2.ark:/13960/t55d8rr2t</v>
      </c>
      <c r="H631" t="str">
        <f t="shared" si="12"/>
        <v>http://catalog.hathitrust.org/Record/000947383</v>
      </c>
      <c r="I631" s="1" t="s">
        <v>20920</v>
      </c>
      <c r="J631" s="1">
        <v>1811</v>
      </c>
      <c r="K631" t="s">
        <v>19393</v>
      </c>
      <c r="L631" t="s">
        <v>20753</v>
      </c>
    </row>
    <row r="632" spans="1:12">
      <c r="A632" t="s">
        <v>19400</v>
      </c>
      <c r="B632" s="1" t="s">
        <v>19392</v>
      </c>
      <c r="F632">
        <v>1</v>
      </c>
      <c r="G632" t="str">
        <f>HYPERLINK("http://babel.hathitrust.org/cgi/pt?id=uc2.ark:/13960/t9q23vh8j")</f>
        <v>http://babel.hathitrust.org/cgi/pt?id=uc2.ark:/13960/t9q23vh8j</v>
      </c>
      <c r="H632" t="str">
        <f t="shared" si="12"/>
        <v>http://catalog.hathitrust.org/Record/000947383</v>
      </c>
      <c r="I632" s="1" t="s">
        <v>20916</v>
      </c>
      <c r="J632" s="1">
        <v>1811</v>
      </c>
      <c r="K632" t="s">
        <v>19393</v>
      </c>
      <c r="L632" t="s">
        <v>20753</v>
      </c>
    </row>
    <row r="633" spans="1:12">
      <c r="A633" t="s">
        <v>19401</v>
      </c>
      <c r="B633" s="1" t="s">
        <v>19402</v>
      </c>
      <c r="E633">
        <v>1</v>
      </c>
      <c r="G633" t="str">
        <f>HYPERLINK("http://babel.hathitrust.org/cgi/pt?id=mdp.39015063522836")</f>
        <v>http://babel.hathitrust.org/cgi/pt?id=mdp.39015063522836</v>
      </c>
      <c r="H633" t="str">
        <f>HYPERLINK("http://catalog.hathitrust.org/Record/000949391")</f>
        <v>http://catalog.hathitrust.org/Record/000949391</v>
      </c>
      <c r="J633" s="1">
        <v>1852</v>
      </c>
      <c r="K633" t="s">
        <v>19403</v>
      </c>
      <c r="L633" t="s">
        <v>19404</v>
      </c>
    </row>
    <row r="634" spans="1:12">
      <c r="A634" t="s">
        <v>19405</v>
      </c>
      <c r="B634" s="1" t="s">
        <v>19406</v>
      </c>
      <c r="D634">
        <v>1</v>
      </c>
      <c r="G634" t="str">
        <f>HYPERLINK("http://babel.hathitrust.org/cgi/pt?id=miun.aeb0151.0001.001")</f>
        <v>http://babel.hathitrust.org/cgi/pt?id=miun.aeb0151.0001.001</v>
      </c>
      <c r="H634" t="str">
        <f>HYPERLINK("http://catalog.hathitrust.org/Record/000952028")</f>
        <v>http://catalog.hathitrust.org/Record/000952028</v>
      </c>
      <c r="J634" s="1">
        <v>1896</v>
      </c>
      <c r="K634" t="s">
        <v>19407</v>
      </c>
      <c r="L634" t="s">
        <v>19408</v>
      </c>
    </row>
    <row r="635" spans="1:12">
      <c r="A635" t="s">
        <v>19409</v>
      </c>
      <c r="B635" s="1" t="s">
        <v>19410</v>
      </c>
      <c r="F635">
        <v>1</v>
      </c>
      <c r="G635" t="str">
        <f>HYPERLINK("http://babel.hathitrust.org/cgi/pt?id=mdp.39015046455385")</f>
        <v>http://babel.hathitrust.org/cgi/pt?id=mdp.39015046455385</v>
      </c>
      <c r="H635" t="str">
        <f>HYPERLINK("http://catalog.hathitrust.org/Record/000983673")</f>
        <v>http://catalog.hathitrust.org/Record/000983673</v>
      </c>
      <c r="J635" s="1">
        <v>1963</v>
      </c>
      <c r="K635" t="s">
        <v>19411</v>
      </c>
      <c r="L635" t="s">
        <v>19412</v>
      </c>
    </row>
    <row r="636" spans="1:12">
      <c r="A636" t="s">
        <v>19413</v>
      </c>
      <c r="B636" s="1" t="s">
        <v>19414</v>
      </c>
      <c r="F636">
        <v>1</v>
      </c>
      <c r="G636" t="str">
        <f>HYPERLINK("http://babel.hathitrust.org/cgi/pt?id=mdp.39015009034086")</f>
        <v>http://babel.hathitrust.org/cgi/pt?id=mdp.39015009034086</v>
      </c>
      <c r="H636" t="str">
        <f>HYPERLINK("http://catalog.hathitrust.org/Record/000987410")</f>
        <v>http://catalog.hathitrust.org/Record/000987410</v>
      </c>
      <c r="J636" s="1">
        <v>1898</v>
      </c>
      <c r="K636" t="s">
        <v>19415</v>
      </c>
      <c r="L636" t="s">
        <v>19416</v>
      </c>
    </row>
    <row r="637" spans="1:12">
      <c r="A637" t="s">
        <v>19417</v>
      </c>
      <c r="B637" s="1" t="s">
        <v>19418</v>
      </c>
      <c r="F637">
        <v>1</v>
      </c>
      <c r="G637" t="str">
        <f>HYPERLINK("http://babel.hathitrust.org/cgi/pt?id=mdp.39015008390398")</f>
        <v>http://babel.hathitrust.org/cgi/pt?id=mdp.39015008390398</v>
      </c>
      <c r="H637" t="str">
        <f>HYPERLINK("http://catalog.hathitrust.org/Record/001002236")</f>
        <v>http://catalog.hathitrust.org/Record/001002236</v>
      </c>
      <c r="J637" s="1">
        <v>1963</v>
      </c>
      <c r="K637" t="s">
        <v>19419</v>
      </c>
      <c r="L637" t="s">
        <v>19420</v>
      </c>
    </row>
    <row r="638" spans="1:12">
      <c r="A638" t="s">
        <v>19421</v>
      </c>
      <c r="B638" s="1" t="s">
        <v>19422</v>
      </c>
      <c r="F638">
        <v>1</v>
      </c>
      <c r="G638" t="str">
        <f>HYPERLINK("http://babel.hathitrust.org/cgi/pt?id=njp.32101002995379")</f>
        <v>http://babel.hathitrust.org/cgi/pt?id=njp.32101002995379</v>
      </c>
      <c r="H638" t="str">
        <f>HYPERLINK("http://catalog.hathitrust.org/Record/001003185")</f>
        <v>http://catalog.hathitrust.org/Record/001003185</v>
      </c>
      <c r="I638" s="1" t="s">
        <v>19424</v>
      </c>
      <c r="J638" s="1">
        <v>1913</v>
      </c>
      <c r="K638" t="s">
        <v>19423</v>
      </c>
    </row>
    <row r="639" spans="1:12">
      <c r="A639" t="s">
        <v>19425</v>
      </c>
      <c r="B639" s="1" t="s">
        <v>19422</v>
      </c>
      <c r="F639">
        <v>1</v>
      </c>
      <c r="G639" t="str">
        <f>HYPERLINK("http://babel.hathitrust.org/cgi/pt?id=uc1.b3537733")</f>
        <v>http://babel.hathitrust.org/cgi/pt?id=uc1.b3537733</v>
      </c>
      <c r="H639" t="str">
        <f>HYPERLINK("http://catalog.hathitrust.org/Record/001003185")</f>
        <v>http://catalog.hathitrust.org/Record/001003185</v>
      </c>
      <c r="I639" s="1" t="s">
        <v>20916</v>
      </c>
      <c r="J639" s="1">
        <v>1913</v>
      </c>
      <c r="K639" t="s">
        <v>19423</v>
      </c>
    </row>
    <row r="640" spans="1:12">
      <c r="A640" t="s">
        <v>19426</v>
      </c>
      <c r="B640" s="1" t="s">
        <v>19422</v>
      </c>
      <c r="F640">
        <v>1</v>
      </c>
      <c r="G640" t="str">
        <f>HYPERLINK("http://babel.hathitrust.org/cgi/pt?id=uc1.b3537734")</f>
        <v>http://babel.hathitrust.org/cgi/pt?id=uc1.b3537734</v>
      </c>
      <c r="H640" t="str">
        <f>HYPERLINK("http://catalog.hathitrust.org/Record/001003185")</f>
        <v>http://catalog.hathitrust.org/Record/001003185</v>
      </c>
      <c r="I640" s="1" t="s">
        <v>20755</v>
      </c>
      <c r="J640" s="1">
        <v>1913</v>
      </c>
      <c r="K640" t="s">
        <v>19423</v>
      </c>
    </row>
    <row r="641" spans="1:12">
      <c r="A641" t="s">
        <v>19427</v>
      </c>
      <c r="B641" s="1" t="s">
        <v>19428</v>
      </c>
      <c r="F641">
        <v>1</v>
      </c>
      <c r="G641" t="str">
        <f>HYPERLINK("http://babel.hathitrust.org/cgi/pt?id=mdp.39015009329643")</f>
        <v>http://babel.hathitrust.org/cgi/pt?id=mdp.39015009329643</v>
      </c>
      <c r="H641" t="str">
        <f>HYPERLINK("http://catalog.hathitrust.org/Record/001003324")</f>
        <v>http://catalog.hathitrust.org/Record/001003324</v>
      </c>
      <c r="J641" s="1">
        <v>1941</v>
      </c>
      <c r="K641" t="s">
        <v>19429</v>
      </c>
      <c r="L641" t="s">
        <v>19430</v>
      </c>
    </row>
    <row r="642" spans="1:12">
      <c r="A642" t="s">
        <v>19431</v>
      </c>
      <c r="B642" s="1" t="s">
        <v>19432</v>
      </c>
      <c r="F642">
        <v>1</v>
      </c>
      <c r="G642" t="str">
        <f>HYPERLINK("http://babel.hathitrust.org/cgi/pt?id=mdp.39015030912391")</f>
        <v>http://babel.hathitrust.org/cgi/pt?id=mdp.39015030912391</v>
      </c>
      <c r="H642" t="str">
        <f>HYPERLINK("http://catalog.hathitrust.org/Record/001003547")</f>
        <v>http://catalog.hathitrust.org/Record/001003547</v>
      </c>
      <c r="J642" s="1">
        <v>1920</v>
      </c>
      <c r="K642" t="s">
        <v>19433</v>
      </c>
      <c r="L642" t="s">
        <v>19434</v>
      </c>
    </row>
    <row r="643" spans="1:12">
      <c r="A643" t="s">
        <v>19435</v>
      </c>
      <c r="B643" s="1" t="s">
        <v>19432</v>
      </c>
      <c r="F643">
        <v>1</v>
      </c>
      <c r="G643" t="str">
        <f>HYPERLINK("http://babel.hathitrust.org/cgi/pt?id=mdp.39015062913457")</f>
        <v>http://babel.hathitrust.org/cgi/pt?id=mdp.39015062913457</v>
      </c>
      <c r="H643" t="str">
        <f>HYPERLINK("http://catalog.hathitrust.org/Record/001003547")</f>
        <v>http://catalog.hathitrust.org/Record/001003547</v>
      </c>
      <c r="J643" s="1">
        <v>1920</v>
      </c>
      <c r="K643" t="s">
        <v>19433</v>
      </c>
      <c r="L643" t="s">
        <v>19434</v>
      </c>
    </row>
    <row r="644" spans="1:12">
      <c r="A644" t="s">
        <v>19436</v>
      </c>
      <c r="B644" s="1" t="s">
        <v>19437</v>
      </c>
      <c r="F644">
        <v>1</v>
      </c>
      <c r="G644" t="str">
        <f>HYPERLINK("http://babel.hathitrust.org/cgi/pt?id=mdp.39015062402568")</f>
        <v>http://babel.hathitrust.org/cgi/pt?id=mdp.39015062402568</v>
      </c>
      <c r="H644" t="str">
        <f>HYPERLINK("http://catalog.hathitrust.org/Record/001004133")</f>
        <v>http://catalog.hathitrust.org/Record/001004133</v>
      </c>
      <c r="J644" s="1">
        <v>1926</v>
      </c>
      <c r="K644" t="s">
        <v>19438</v>
      </c>
      <c r="L644" t="s">
        <v>20582</v>
      </c>
    </row>
    <row r="645" spans="1:12">
      <c r="A645" t="s">
        <v>19439</v>
      </c>
      <c r="B645" s="1" t="s">
        <v>19440</v>
      </c>
      <c r="F645">
        <v>1</v>
      </c>
      <c r="G645" t="str">
        <f>HYPERLINK("http://babel.hathitrust.org/cgi/pt?id=mdp.39015030930245")</f>
        <v>http://babel.hathitrust.org/cgi/pt?id=mdp.39015030930245</v>
      </c>
      <c r="H645" t="str">
        <f>HYPERLINK("http://catalog.hathitrust.org/Record/001004150")</f>
        <v>http://catalog.hathitrust.org/Record/001004150</v>
      </c>
      <c r="J645" s="1">
        <v>1915</v>
      </c>
      <c r="K645" t="s">
        <v>19314</v>
      </c>
      <c r="L645" t="s">
        <v>20501</v>
      </c>
    </row>
    <row r="646" spans="1:12">
      <c r="A646" t="s">
        <v>19315</v>
      </c>
      <c r="B646" s="1" t="s">
        <v>19440</v>
      </c>
      <c r="F646">
        <v>1</v>
      </c>
      <c r="G646" t="str">
        <f>HYPERLINK("http://babel.hathitrust.org/cgi/pt?id=mdp.39015063041266")</f>
        <v>http://babel.hathitrust.org/cgi/pt?id=mdp.39015063041266</v>
      </c>
      <c r="H646" t="str">
        <f>HYPERLINK("http://catalog.hathitrust.org/Record/001004150")</f>
        <v>http://catalog.hathitrust.org/Record/001004150</v>
      </c>
      <c r="J646" s="1">
        <v>1915</v>
      </c>
      <c r="K646" t="s">
        <v>19314</v>
      </c>
      <c r="L646" t="s">
        <v>20501</v>
      </c>
    </row>
    <row r="647" spans="1:12">
      <c r="A647" t="s">
        <v>19316</v>
      </c>
      <c r="B647" s="1" t="s">
        <v>19440</v>
      </c>
      <c r="F647">
        <v>1</v>
      </c>
      <c r="G647" t="str">
        <f>HYPERLINK("http://babel.hathitrust.org/cgi/pt?id=uc1.b3130527")</f>
        <v>http://babel.hathitrust.org/cgi/pt?id=uc1.b3130527</v>
      </c>
      <c r="H647" t="str">
        <f>HYPERLINK("http://catalog.hathitrust.org/Record/001004150")</f>
        <v>http://catalog.hathitrust.org/Record/001004150</v>
      </c>
      <c r="J647" s="1">
        <v>1915</v>
      </c>
      <c r="K647" t="s">
        <v>19314</v>
      </c>
      <c r="L647" t="s">
        <v>20501</v>
      </c>
    </row>
    <row r="648" spans="1:12">
      <c r="A648" t="s">
        <v>19317</v>
      </c>
      <c r="B648" s="1" t="s">
        <v>19440</v>
      </c>
      <c r="F648">
        <v>1</v>
      </c>
      <c r="G648" t="str">
        <f>HYPERLINK("http://babel.hathitrust.org/cgi/pt?id=uc2.ark:/13960/t5bc4201w")</f>
        <v>http://babel.hathitrust.org/cgi/pt?id=uc2.ark:/13960/t5bc4201w</v>
      </c>
      <c r="H648" t="str">
        <f>HYPERLINK("http://catalog.hathitrust.org/Record/001004150")</f>
        <v>http://catalog.hathitrust.org/Record/001004150</v>
      </c>
      <c r="J648" s="1">
        <v>1915</v>
      </c>
      <c r="K648" t="s">
        <v>19314</v>
      </c>
      <c r="L648" t="s">
        <v>20501</v>
      </c>
    </row>
    <row r="649" spans="1:12">
      <c r="A649" t="s">
        <v>19318</v>
      </c>
      <c r="B649" s="1" t="s">
        <v>19319</v>
      </c>
      <c r="F649">
        <v>1</v>
      </c>
      <c r="G649" t="str">
        <f>HYPERLINK("http://babel.hathitrust.org/cgi/pt?id=loc.ark:/13960/t56d6fn0b")</f>
        <v>http://babel.hathitrust.org/cgi/pt?id=loc.ark:/13960/t56d6fn0b</v>
      </c>
      <c r="H649" t="str">
        <f>HYPERLINK("http://catalog.hathitrust.org/Record/001004164")</f>
        <v>http://catalog.hathitrust.org/Record/001004164</v>
      </c>
      <c r="J649" s="1">
        <v>1922</v>
      </c>
      <c r="K649" t="s">
        <v>19320</v>
      </c>
      <c r="L649" t="s">
        <v>19321</v>
      </c>
    </row>
    <row r="650" spans="1:12">
      <c r="A650" t="s">
        <v>19322</v>
      </c>
      <c r="B650" s="1" t="s">
        <v>19319</v>
      </c>
      <c r="F650">
        <v>1</v>
      </c>
      <c r="G650" t="str">
        <f>HYPERLINK("http://babel.hathitrust.org/cgi/pt?id=mdp.39015063793619")</f>
        <v>http://babel.hathitrust.org/cgi/pt?id=mdp.39015063793619</v>
      </c>
      <c r="H650" t="str">
        <f>HYPERLINK("http://catalog.hathitrust.org/Record/001004164")</f>
        <v>http://catalog.hathitrust.org/Record/001004164</v>
      </c>
      <c r="J650" s="1">
        <v>1922</v>
      </c>
      <c r="K650" t="s">
        <v>19320</v>
      </c>
      <c r="L650" t="s">
        <v>19321</v>
      </c>
    </row>
    <row r="651" spans="1:12">
      <c r="A651" t="s">
        <v>19323</v>
      </c>
      <c r="B651" s="1" t="s">
        <v>19324</v>
      </c>
      <c r="F651">
        <v>1</v>
      </c>
      <c r="G651" t="str">
        <f>HYPERLINK("http://babel.hathitrust.org/cgi/pt?id=mdp.39015004035120")</f>
        <v>http://babel.hathitrust.org/cgi/pt?id=mdp.39015004035120</v>
      </c>
      <c r="H651" t="str">
        <f>HYPERLINK("http://catalog.hathitrust.org/Record/001004193")</f>
        <v>http://catalog.hathitrust.org/Record/001004193</v>
      </c>
      <c r="J651" s="1">
        <v>1886</v>
      </c>
      <c r="K651" t="s">
        <v>19325</v>
      </c>
      <c r="L651" t="s">
        <v>19326</v>
      </c>
    </row>
    <row r="652" spans="1:12">
      <c r="A652" t="s">
        <v>19327</v>
      </c>
      <c r="B652" s="1" t="s">
        <v>19324</v>
      </c>
      <c r="F652">
        <v>1</v>
      </c>
      <c r="G652" t="str">
        <f>HYPERLINK("http://babel.hathitrust.org/cgi/pt?id=mdp.39015024527148")</f>
        <v>http://babel.hathitrust.org/cgi/pt?id=mdp.39015024527148</v>
      </c>
      <c r="H652" t="str">
        <f>HYPERLINK("http://catalog.hathitrust.org/Record/001004193")</f>
        <v>http://catalog.hathitrust.org/Record/001004193</v>
      </c>
      <c r="J652" s="1">
        <v>1886</v>
      </c>
      <c r="K652" t="s">
        <v>19325</v>
      </c>
      <c r="L652" t="s">
        <v>19326</v>
      </c>
    </row>
    <row r="653" spans="1:12">
      <c r="A653" t="s">
        <v>19328</v>
      </c>
      <c r="B653" s="1" t="s">
        <v>19329</v>
      </c>
      <c r="F653">
        <v>1</v>
      </c>
      <c r="G653" t="str">
        <f>HYPERLINK("http://babel.hathitrust.org/cgi/pt?id=uc1.b272555")</f>
        <v>http://babel.hathitrust.org/cgi/pt?id=uc1.b272555</v>
      </c>
      <c r="H653" t="str">
        <f t="shared" ref="H653:H660" si="13">HYPERLINK("http://catalog.hathitrust.org/Record/001004491")</f>
        <v>http://catalog.hathitrust.org/Record/001004491</v>
      </c>
      <c r="I653" s="1" t="s">
        <v>20796</v>
      </c>
      <c r="J653" s="1">
        <v>1905</v>
      </c>
      <c r="K653" t="s">
        <v>19330</v>
      </c>
      <c r="L653" t="s">
        <v>19331</v>
      </c>
    </row>
    <row r="654" spans="1:12">
      <c r="A654" t="s">
        <v>19332</v>
      </c>
      <c r="B654" s="1" t="s">
        <v>19329</v>
      </c>
      <c r="F654">
        <v>1</v>
      </c>
      <c r="G654" t="str">
        <f>HYPERLINK("http://babel.hathitrust.org/cgi/pt?id=uc1.b272556")</f>
        <v>http://babel.hathitrust.org/cgi/pt?id=uc1.b272556</v>
      </c>
      <c r="H654" t="str">
        <f t="shared" si="13"/>
        <v>http://catalog.hathitrust.org/Record/001004491</v>
      </c>
      <c r="I654" s="1" t="s">
        <v>20799</v>
      </c>
      <c r="J654" s="1">
        <v>1905</v>
      </c>
      <c r="K654" t="s">
        <v>19330</v>
      </c>
      <c r="L654" t="s">
        <v>19331</v>
      </c>
    </row>
    <row r="655" spans="1:12">
      <c r="A655" t="s">
        <v>19333</v>
      </c>
      <c r="B655" s="1" t="s">
        <v>19329</v>
      </c>
      <c r="F655">
        <v>1</v>
      </c>
      <c r="G655" t="str">
        <f>HYPERLINK("http://babel.hathitrust.org/cgi/pt?id=uc1.b272557")</f>
        <v>http://babel.hathitrust.org/cgi/pt?id=uc1.b272557</v>
      </c>
      <c r="H655" t="str">
        <f t="shared" si="13"/>
        <v>http://catalog.hathitrust.org/Record/001004491</v>
      </c>
      <c r="I655" s="1" t="s">
        <v>20801</v>
      </c>
      <c r="J655" s="1">
        <v>1905</v>
      </c>
      <c r="K655" t="s">
        <v>19330</v>
      </c>
      <c r="L655" t="s">
        <v>19331</v>
      </c>
    </row>
    <row r="656" spans="1:12">
      <c r="A656" t="s">
        <v>19334</v>
      </c>
      <c r="B656" s="1" t="s">
        <v>19329</v>
      </c>
      <c r="F656">
        <v>1</v>
      </c>
      <c r="G656" t="str">
        <f>HYPERLINK("http://babel.hathitrust.org/cgi/pt?id=uc1.b3310680")</f>
        <v>http://babel.hathitrust.org/cgi/pt?id=uc1.b3310680</v>
      </c>
      <c r="H656" t="str">
        <f t="shared" si="13"/>
        <v>http://catalog.hathitrust.org/Record/001004491</v>
      </c>
      <c r="I656" s="1" t="s">
        <v>20796</v>
      </c>
      <c r="J656" s="1">
        <v>1905</v>
      </c>
      <c r="K656" t="s">
        <v>19330</v>
      </c>
      <c r="L656" t="s">
        <v>19331</v>
      </c>
    </row>
    <row r="657" spans="1:12">
      <c r="A657" t="s">
        <v>19335</v>
      </c>
      <c r="B657" s="1" t="s">
        <v>19329</v>
      </c>
      <c r="F657">
        <v>1</v>
      </c>
      <c r="G657" t="str">
        <f>HYPERLINK("http://babel.hathitrust.org/cgi/pt?id=uc1.b3310681")</f>
        <v>http://babel.hathitrust.org/cgi/pt?id=uc1.b3310681</v>
      </c>
      <c r="H657" t="str">
        <f t="shared" si="13"/>
        <v>http://catalog.hathitrust.org/Record/001004491</v>
      </c>
      <c r="I657" s="1" t="s">
        <v>20799</v>
      </c>
      <c r="J657" s="1">
        <v>1905</v>
      </c>
      <c r="K657" t="s">
        <v>19330</v>
      </c>
      <c r="L657" t="s">
        <v>19331</v>
      </c>
    </row>
    <row r="658" spans="1:12">
      <c r="A658" t="s">
        <v>19336</v>
      </c>
      <c r="B658" s="1" t="s">
        <v>19329</v>
      </c>
      <c r="F658">
        <v>1</v>
      </c>
      <c r="G658" t="str">
        <f>HYPERLINK("http://babel.hathitrust.org/cgi/pt?id=uc1.b3310682")</f>
        <v>http://babel.hathitrust.org/cgi/pt?id=uc1.b3310682</v>
      </c>
      <c r="H658" t="str">
        <f t="shared" si="13"/>
        <v>http://catalog.hathitrust.org/Record/001004491</v>
      </c>
      <c r="I658" s="1" t="s">
        <v>20801</v>
      </c>
      <c r="J658" s="1">
        <v>1905</v>
      </c>
      <c r="K658" t="s">
        <v>19330</v>
      </c>
      <c r="L658" t="s">
        <v>19331</v>
      </c>
    </row>
    <row r="659" spans="1:12">
      <c r="A659" t="s">
        <v>19337</v>
      </c>
      <c r="B659" s="1" t="s">
        <v>19329</v>
      </c>
      <c r="F659">
        <v>1</v>
      </c>
      <c r="G659" t="str">
        <f>HYPERLINK("http://babel.hathitrust.org/cgi/pt?id=uc2.ark:/13960/t6639r64g")</f>
        <v>http://babel.hathitrust.org/cgi/pt?id=uc2.ark:/13960/t6639r64g</v>
      </c>
      <c r="H659" t="str">
        <f t="shared" si="13"/>
        <v>http://catalog.hathitrust.org/Record/001004491</v>
      </c>
      <c r="I659" s="1" t="s">
        <v>20916</v>
      </c>
      <c r="J659" s="1">
        <v>1905</v>
      </c>
      <c r="K659" t="s">
        <v>19330</v>
      </c>
      <c r="L659" t="s">
        <v>19331</v>
      </c>
    </row>
    <row r="660" spans="1:12">
      <c r="A660" t="s">
        <v>19338</v>
      </c>
      <c r="B660" s="1" t="s">
        <v>19329</v>
      </c>
      <c r="F660">
        <v>1</v>
      </c>
      <c r="G660" t="str">
        <f>HYPERLINK("http://babel.hathitrust.org/cgi/pt?id=uc2.ark:/13960/t9n29v92m")</f>
        <v>http://babel.hathitrust.org/cgi/pt?id=uc2.ark:/13960/t9n29v92m</v>
      </c>
      <c r="H660" t="str">
        <f t="shared" si="13"/>
        <v>http://catalog.hathitrust.org/Record/001004491</v>
      </c>
      <c r="I660" s="1" t="s">
        <v>20755</v>
      </c>
      <c r="J660" s="1">
        <v>1905</v>
      </c>
      <c r="K660" t="s">
        <v>19330</v>
      </c>
      <c r="L660" t="s">
        <v>19331</v>
      </c>
    </row>
    <row r="661" spans="1:12">
      <c r="A661" t="s">
        <v>19339</v>
      </c>
      <c r="B661" s="1" t="s">
        <v>19340</v>
      </c>
      <c r="F661">
        <v>1</v>
      </c>
      <c r="G661" t="str">
        <f>HYPERLINK("http://babel.hathitrust.org/cgi/pt?id=dul1.ark:/13960/t42r4p345")</f>
        <v>http://babel.hathitrust.org/cgi/pt?id=dul1.ark:/13960/t42r4p345</v>
      </c>
      <c r="H661" t="str">
        <f t="shared" ref="H661:H669" si="14">HYPERLINK("http://catalog.hathitrust.org/Record/001010541")</f>
        <v>http://catalog.hathitrust.org/Record/001010541</v>
      </c>
      <c r="I661" s="1" t="s">
        <v>20916</v>
      </c>
      <c r="J661" s="1">
        <v>1810</v>
      </c>
      <c r="K661" t="s">
        <v>19341</v>
      </c>
      <c r="L661" t="s">
        <v>19342</v>
      </c>
    </row>
    <row r="662" spans="1:12">
      <c r="A662" t="s">
        <v>19343</v>
      </c>
      <c r="B662" s="1" t="s">
        <v>19340</v>
      </c>
      <c r="F662">
        <v>1</v>
      </c>
      <c r="G662" t="str">
        <f>HYPERLINK("http://babel.hathitrust.org/cgi/pt?id=dul1.ark:/13960/t6vx16b2t")</f>
        <v>http://babel.hathitrust.org/cgi/pt?id=dul1.ark:/13960/t6vx16b2t</v>
      </c>
      <c r="H662" t="str">
        <f t="shared" si="14"/>
        <v>http://catalog.hathitrust.org/Record/001010541</v>
      </c>
      <c r="I662" s="1" t="s">
        <v>20755</v>
      </c>
      <c r="J662" s="1">
        <v>1810</v>
      </c>
      <c r="K662" t="s">
        <v>19341</v>
      </c>
      <c r="L662" t="s">
        <v>19342</v>
      </c>
    </row>
    <row r="663" spans="1:12">
      <c r="A663" t="s">
        <v>19344</v>
      </c>
      <c r="B663" s="1" t="s">
        <v>19340</v>
      </c>
      <c r="F663">
        <v>1</v>
      </c>
      <c r="G663" t="str">
        <f>HYPERLINK("http://babel.hathitrust.org/cgi/pt?id=hvd.32044020255246")</f>
        <v>http://babel.hathitrust.org/cgi/pt?id=hvd.32044020255246</v>
      </c>
      <c r="H663" t="str">
        <f t="shared" si="14"/>
        <v>http://catalog.hathitrust.org/Record/001010541</v>
      </c>
      <c r="I663" s="1" t="s">
        <v>20755</v>
      </c>
      <c r="J663" s="1">
        <v>1810</v>
      </c>
      <c r="K663" t="s">
        <v>19341</v>
      </c>
      <c r="L663" t="s">
        <v>19342</v>
      </c>
    </row>
    <row r="664" spans="1:12">
      <c r="A664" t="s">
        <v>19345</v>
      </c>
      <c r="B664" s="1" t="s">
        <v>19340</v>
      </c>
      <c r="F664">
        <v>1</v>
      </c>
      <c r="G664" t="str">
        <f>HYPERLINK("http://babel.hathitrust.org/cgi/pt?id=hvd.32044020255253")</f>
        <v>http://babel.hathitrust.org/cgi/pt?id=hvd.32044020255253</v>
      </c>
      <c r="H664" t="str">
        <f t="shared" si="14"/>
        <v>http://catalog.hathitrust.org/Record/001010541</v>
      </c>
      <c r="I664" s="1" t="s">
        <v>20916</v>
      </c>
      <c r="J664" s="1">
        <v>1810</v>
      </c>
      <c r="K664" t="s">
        <v>19341</v>
      </c>
      <c r="L664" t="s">
        <v>19342</v>
      </c>
    </row>
    <row r="665" spans="1:12">
      <c r="A665" t="s">
        <v>19346</v>
      </c>
      <c r="B665" s="1" t="s">
        <v>19340</v>
      </c>
      <c r="F665">
        <v>1</v>
      </c>
      <c r="G665" t="str">
        <f>HYPERLINK("http://babel.hathitrust.org/cgi/pt?id=hvd.hn3a9q")</f>
        <v>http://babel.hathitrust.org/cgi/pt?id=hvd.hn3a9q</v>
      </c>
      <c r="H665" t="str">
        <f t="shared" si="14"/>
        <v>http://catalog.hathitrust.org/Record/001010541</v>
      </c>
      <c r="I665" s="1" t="s">
        <v>20755</v>
      </c>
      <c r="J665" s="1">
        <v>1810</v>
      </c>
      <c r="K665" t="s">
        <v>19341</v>
      </c>
      <c r="L665" t="s">
        <v>19342</v>
      </c>
    </row>
    <row r="666" spans="1:12">
      <c r="A666" t="s">
        <v>19347</v>
      </c>
      <c r="B666" s="1" t="s">
        <v>19340</v>
      </c>
      <c r="F666">
        <v>1</v>
      </c>
      <c r="G666" t="str">
        <f>HYPERLINK("http://babel.hathitrust.org/cgi/pt?id=hvd.hn3aab")</f>
        <v>http://babel.hathitrust.org/cgi/pt?id=hvd.hn3aab</v>
      </c>
      <c r="H666" t="str">
        <f t="shared" si="14"/>
        <v>http://catalog.hathitrust.org/Record/001010541</v>
      </c>
      <c r="I666" s="1" t="s">
        <v>20916</v>
      </c>
      <c r="J666" s="1">
        <v>1810</v>
      </c>
      <c r="K666" t="s">
        <v>19341</v>
      </c>
      <c r="L666" t="s">
        <v>19342</v>
      </c>
    </row>
    <row r="667" spans="1:12">
      <c r="A667" t="s">
        <v>19348</v>
      </c>
      <c r="B667" s="1" t="s">
        <v>19340</v>
      </c>
      <c r="F667">
        <v>1</v>
      </c>
      <c r="G667" t="str">
        <f>HYPERLINK("http://babel.hathitrust.org/cgi/pt?id=hvd.hwhtv2")</f>
        <v>http://babel.hathitrust.org/cgi/pt?id=hvd.hwhtv2</v>
      </c>
      <c r="H667" t="str">
        <f t="shared" si="14"/>
        <v>http://catalog.hathitrust.org/Record/001010541</v>
      </c>
      <c r="I667" s="1" t="s">
        <v>20755</v>
      </c>
      <c r="J667" s="1">
        <v>1810</v>
      </c>
      <c r="K667" t="s">
        <v>19341</v>
      </c>
      <c r="L667" t="s">
        <v>19342</v>
      </c>
    </row>
    <row r="668" spans="1:12">
      <c r="A668" t="s">
        <v>19349</v>
      </c>
      <c r="B668" s="1" t="s">
        <v>19340</v>
      </c>
      <c r="F668">
        <v>1</v>
      </c>
      <c r="G668" t="str">
        <f>HYPERLINK("http://babel.hathitrust.org/cgi/pt?id=hvd.hwhtv3")</f>
        <v>http://babel.hathitrust.org/cgi/pt?id=hvd.hwhtv3</v>
      </c>
      <c r="H668" t="str">
        <f t="shared" si="14"/>
        <v>http://catalog.hathitrust.org/Record/001010541</v>
      </c>
      <c r="I668" s="1" t="s">
        <v>20916</v>
      </c>
      <c r="J668" s="1">
        <v>1810</v>
      </c>
      <c r="K668" t="s">
        <v>19341</v>
      </c>
      <c r="L668" t="s">
        <v>19342</v>
      </c>
    </row>
    <row r="669" spans="1:12">
      <c r="A669" t="s">
        <v>19350</v>
      </c>
      <c r="B669" s="1" t="s">
        <v>19340</v>
      </c>
      <c r="F669">
        <v>1</v>
      </c>
      <c r="G669" t="str">
        <f>HYPERLINK("http://babel.hathitrust.org/cgi/pt?id=uc2.ark:/13960/t18k77z0h")</f>
        <v>http://babel.hathitrust.org/cgi/pt?id=uc2.ark:/13960/t18k77z0h</v>
      </c>
      <c r="H669" t="str">
        <f t="shared" si="14"/>
        <v>http://catalog.hathitrust.org/Record/001010541</v>
      </c>
      <c r="I669" s="1" t="s">
        <v>19351</v>
      </c>
      <c r="J669" s="1">
        <v>1810</v>
      </c>
      <c r="K669" t="s">
        <v>19341</v>
      </c>
      <c r="L669" t="s">
        <v>19342</v>
      </c>
    </row>
    <row r="670" spans="1:12">
      <c r="A670" t="s">
        <v>19352</v>
      </c>
      <c r="B670" s="1" t="s">
        <v>19353</v>
      </c>
      <c r="F670">
        <v>1</v>
      </c>
      <c r="G670" t="str">
        <f>HYPERLINK("http://babel.hathitrust.org/cgi/pt?id=mdp.39015005372506")</f>
        <v>http://babel.hathitrust.org/cgi/pt?id=mdp.39015005372506</v>
      </c>
      <c r="H670" t="str">
        <f>HYPERLINK("http://catalog.hathitrust.org/Record/001010773")</f>
        <v>http://catalog.hathitrust.org/Record/001010773</v>
      </c>
      <c r="J670" s="1">
        <v>1958</v>
      </c>
      <c r="K670" t="s">
        <v>19354</v>
      </c>
      <c r="L670" t="s">
        <v>19355</v>
      </c>
    </row>
    <row r="671" spans="1:12">
      <c r="A671" t="s">
        <v>19356</v>
      </c>
      <c r="B671" s="1" t="s">
        <v>19357</v>
      </c>
      <c r="F671">
        <v>1</v>
      </c>
      <c r="G671" t="str">
        <f>HYPERLINK("http://babel.hathitrust.org/cgi/pt?id=mdp.39015005359313")</f>
        <v>http://babel.hathitrust.org/cgi/pt?id=mdp.39015005359313</v>
      </c>
      <c r="H671" t="str">
        <f>HYPERLINK("http://catalog.hathitrust.org/Record/001010802")</f>
        <v>http://catalog.hathitrust.org/Record/001010802</v>
      </c>
      <c r="J671" s="1">
        <v>1939</v>
      </c>
      <c r="K671" t="s">
        <v>19358</v>
      </c>
      <c r="L671" t="s">
        <v>20193</v>
      </c>
    </row>
    <row r="672" spans="1:12">
      <c r="A672" t="s">
        <v>19359</v>
      </c>
      <c r="B672" s="1" t="s">
        <v>19357</v>
      </c>
      <c r="F672">
        <v>1</v>
      </c>
      <c r="G672" t="str">
        <f>HYPERLINK("http://babel.hathitrust.org/cgi/pt?id=mdp.39015010440025")</f>
        <v>http://babel.hathitrust.org/cgi/pt?id=mdp.39015010440025</v>
      </c>
      <c r="H672" t="str">
        <f>HYPERLINK("http://catalog.hathitrust.org/Record/001010802")</f>
        <v>http://catalog.hathitrust.org/Record/001010802</v>
      </c>
      <c r="J672" s="1">
        <v>1939</v>
      </c>
      <c r="K672" t="s">
        <v>19358</v>
      </c>
      <c r="L672" t="s">
        <v>20193</v>
      </c>
    </row>
    <row r="673" spans="1:12">
      <c r="A673" t="s">
        <v>19360</v>
      </c>
      <c r="B673" s="1" t="s">
        <v>19357</v>
      </c>
      <c r="F673">
        <v>1</v>
      </c>
      <c r="G673" t="str">
        <f>HYPERLINK("http://babel.hathitrust.org/cgi/pt?id=mdp.39015012426105")</f>
        <v>http://babel.hathitrust.org/cgi/pt?id=mdp.39015012426105</v>
      </c>
      <c r="H673" t="str">
        <f>HYPERLINK("http://catalog.hathitrust.org/Record/001010802")</f>
        <v>http://catalog.hathitrust.org/Record/001010802</v>
      </c>
      <c r="J673" s="1">
        <v>1939</v>
      </c>
      <c r="K673" t="s">
        <v>19358</v>
      </c>
      <c r="L673" t="s">
        <v>20193</v>
      </c>
    </row>
    <row r="674" spans="1:12">
      <c r="A674" t="s">
        <v>19361</v>
      </c>
      <c r="B674" s="1" t="s">
        <v>19357</v>
      </c>
      <c r="F674">
        <v>1</v>
      </c>
      <c r="G674" t="str">
        <f>HYPERLINK("http://babel.hathitrust.org/cgi/pt?id=mdp.39015065773668")</f>
        <v>http://babel.hathitrust.org/cgi/pt?id=mdp.39015065773668</v>
      </c>
      <c r="H674" t="str">
        <f>HYPERLINK("http://catalog.hathitrust.org/Record/001010802")</f>
        <v>http://catalog.hathitrust.org/Record/001010802</v>
      </c>
      <c r="J674" s="1">
        <v>1939</v>
      </c>
      <c r="K674" t="s">
        <v>19358</v>
      </c>
      <c r="L674" t="s">
        <v>20193</v>
      </c>
    </row>
    <row r="675" spans="1:12">
      <c r="A675" t="s">
        <v>19362</v>
      </c>
      <c r="B675" s="1" t="s">
        <v>19363</v>
      </c>
      <c r="D675">
        <v>1</v>
      </c>
      <c r="G675" t="str">
        <f>HYPERLINK("http://babel.hathitrust.org/cgi/pt?id=mdp.39015030869450")</f>
        <v>http://babel.hathitrust.org/cgi/pt?id=mdp.39015030869450</v>
      </c>
      <c r="H675" t="str">
        <f>HYPERLINK("http://catalog.hathitrust.org/Record/001010981")</f>
        <v>http://catalog.hathitrust.org/Record/001010981</v>
      </c>
      <c r="J675" s="1">
        <v>1920</v>
      </c>
      <c r="K675" t="s">
        <v>19364</v>
      </c>
      <c r="L675" t="s">
        <v>19365</v>
      </c>
    </row>
    <row r="676" spans="1:12">
      <c r="A676" t="s">
        <v>19366</v>
      </c>
      <c r="B676" s="1" t="s">
        <v>19367</v>
      </c>
      <c r="F676">
        <v>1</v>
      </c>
      <c r="G676" t="str">
        <f>HYPERLINK("http://babel.hathitrust.org/cgi/pt?id=mdp.39015005077428")</f>
        <v>http://babel.hathitrust.org/cgi/pt?id=mdp.39015005077428</v>
      </c>
      <c r="H676" t="str">
        <f>HYPERLINK("http://catalog.hathitrust.org/Record/001011001")</f>
        <v>http://catalog.hathitrust.org/Record/001011001</v>
      </c>
      <c r="J676" s="1">
        <v>1922</v>
      </c>
      <c r="K676" t="s">
        <v>19368</v>
      </c>
      <c r="L676" t="s">
        <v>19369</v>
      </c>
    </row>
    <row r="677" spans="1:12">
      <c r="A677" t="s">
        <v>19370</v>
      </c>
      <c r="B677" s="1" t="s">
        <v>19367</v>
      </c>
      <c r="F677">
        <v>1</v>
      </c>
      <c r="G677" t="str">
        <f>HYPERLINK("http://babel.hathitrust.org/cgi/pt?id=mdp.39015025899595")</f>
        <v>http://babel.hathitrust.org/cgi/pt?id=mdp.39015025899595</v>
      </c>
      <c r="H677" t="str">
        <f>HYPERLINK("http://catalog.hathitrust.org/Record/001011001")</f>
        <v>http://catalog.hathitrust.org/Record/001011001</v>
      </c>
      <c r="J677" s="1">
        <v>1922</v>
      </c>
      <c r="K677" t="s">
        <v>19368</v>
      </c>
      <c r="L677" t="s">
        <v>19369</v>
      </c>
    </row>
    <row r="678" spans="1:12">
      <c r="A678" t="s">
        <v>19371</v>
      </c>
      <c r="B678" s="1" t="s">
        <v>19367</v>
      </c>
      <c r="F678">
        <v>1</v>
      </c>
      <c r="G678" t="str">
        <f>HYPERLINK("http://babel.hathitrust.org/cgi/pt?id=mdp.39015066092837")</f>
        <v>http://babel.hathitrust.org/cgi/pt?id=mdp.39015066092837</v>
      </c>
      <c r="H678" t="str">
        <f>HYPERLINK("http://catalog.hathitrust.org/Record/001011001")</f>
        <v>http://catalog.hathitrust.org/Record/001011001</v>
      </c>
      <c r="J678" s="1">
        <v>1922</v>
      </c>
      <c r="K678" t="s">
        <v>19368</v>
      </c>
      <c r="L678" t="s">
        <v>19369</v>
      </c>
    </row>
    <row r="679" spans="1:12">
      <c r="A679" t="s">
        <v>19372</v>
      </c>
      <c r="B679" s="1" t="s">
        <v>19373</v>
      </c>
      <c r="F679">
        <v>1</v>
      </c>
      <c r="G679" t="str">
        <f>HYPERLINK("http://babel.hathitrust.org/cgi/pt?id=mdp.39015001988479")</f>
        <v>http://babel.hathitrust.org/cgi/pt?id=mdp.39015001988479</v>
      </c>
      <c r="H679" t="str">
        <f>HYPERLINK("http://catalog.hathitrust.org/Record/001011004")</f>
        <v>http://catalog.hathitrust.org/Record/001011004</v>
      </c>
      <c r="J679" s="1">
        <v>1947</v>
      </c>
      <c r="K679" t="s">
        <v>19374</v>
      </c>
      <c r="L679" t="s">
        <v>19375</v>
      </c>
    </row>
    <row r="680" spans="1:12">
      <c r="A680" t="s">
        <v>19376</v>
      </c>
      <c r="B680" s="1" t="s">
        <v>19373</v>
      </c>
      <c r="F680">
        <v>1</v>
      </c>
      <c r="G680" t="str">
        <f>HYPERLINK("http://babel.hathitrust.org/cgi/pt?id=mdp.39015002981143")</f>
        <v>http://babel.hathitrust.org/cgi/pt?id=mdp.39015002981143</v>
      </c>
      <c r="H680" t="str">
        <f>HYPERLINK("http://catalog.hathitrust.org/Record/001011004")</f>
        <v>http://catalog.hathitrust.org/Record/001011004</v>
      </c>
      <c r="J680" s="1">
        <v>1947</v>
      </c>
      <c r="K680" t="s">
        <v>19374</v>
      </c>
      <c r="L680" t="s">
        <v>19375</v>
      </c>
    </row>
    <row r="681" spans="1:12">
      <c r="A681" t="s">
        <v>19244</v>
      </c>
      <c r="B681" s="1" t="s">
        <v>19245</v>
      </c>
      <c r="F681">
        <v>1</v>
      </c>
      <c r="G681" t="str">
        <f>HYPERLINK("http://babel.hathitrust.org/cgi/pt?id=mdp.39015010910100")</f>
        <v>http://babel.hathitrust.org/cgi/pt?id=mdp.39015010910100</v>
      </c>
      <c r="H681" t="str">
        <f>HYPERLINK("http://catalog.hathitrust.org/Record/001011028")</f>
        <v>http://catalog.hathitrust.org/Record/001011028</v>
      </c>
      <c r="J681" s="1">
        <v>1913</v>
      </c>
      <c r="K681" t="s">
        <v>19246</v>
      </c>
      <c r="L681" t="s">
        <v>19247</v>
      </c>
    </row>
    <row r="682" spans="1:12">
      <c r="A682" t="s">
        <v>19248</v>
      </c>
      <c r="B682" s="1" t="s">
        <v>19245</v>
      </c>
      <c r="F682">
        <v>1</v>
      </c>
      <c r="G682" t="str">
        <f>HYPERLINK("http://babel.hathitrust.org/cgi/pt?id=uc1.b4097998")</f>
        <v>http://babel.hathitrust.org/cgi/pt?id=uc1.b4097998</v>
      </c>
      <c r="H682" t="str">
        <f>HYPERLINK("http://catalog.hathitrust.org/Record/001011028")</f>
        <v>http://catalog.hathitrust.org/Record/001011028</v>
      </c>
      <c r="J682" s="1">
        <v>1913</v>
      </c>
      <c r="K682" t="s">
        <v>19246</v>
      </c>
      <c r="L682" t="s">
        <v>19247</v>
      </c>
    </row>
    <row r="683" spans="1:12">
      <c r="A683" t="s">
        <v>19249</v>
      </c>
      <c r="B683" s="1" t="s">
        <v>19245</v>
      </c>
      <c r="F683">
        <v>1</v>
      </c>
      <c r="G683" t="str">
        <f>HYPERLINK("http://babel.hathitrust.org/cgi/pt?id=uc2.ark:/13960/t02z14v47")</f>
        <v>http://babel.hathitrust.org/cgi/pt?id=uc2.ark:/13960/t02z14v47</v>
      </c>
      <c r="H683" t="str">
        <f>HYPERLINK("http://catalog.hathitrust.org/Record/001011028")</f>
        <v>http://catalog.hathitrust.org/Record/001011028</v>
      </c>
      <c r="J683" s="1">
        <v>1913</v>
      </c>
      <c r="K683" t="s">
        <v>19246</v>
      </c>
      <c r="L683" t="s">
        <v>19247</v>
      </c>
    </row>
    <row r="684" spans="1:12">
      <c r="A684" t="s">
        <v>19250</v>
      </c>
      <c r="B684" s="1" t="s">
        <v>19251</v>
      </c>
      <c r="F684">
        <v>1</v>
      </c>
      <c r="G684" t="str">
        <f>HYPERLINK("http://babel.hathitrust.org/cgi/pt?id=mdp.39015032130596")</f>
        <v>http://babel.hathitrust.org/cgi/pt?id=mdp.39015032130596</v>
      </c>
      <c r="H684" t="str">
        <f>HYPERLINK("http://catalog.hathitrust.org/Record/001011073")</f>
        <v>http://catalog.hathitrust.org/Record/001011073</v>
      </c>
      <c r="J684" s="1">
        <v>1920</v>
      </c>
      <c r="K684" t="s">
        <v>19252</v>
      </c>
      <c r="L684" t="s">
        <v>19253</v>
      </c>
    </row>
    <row r="685" spans="1:12">
      <c r="A685" t="s">
        <v>19254</v>
      </c>
      <c r="B685" s="1" t="s">
        <v>19251</v>
      </c>
      <c r="F685">
        <v>1</v>
      </c>
      <c r="G685" t="str">
        <f>HYPERLINK("http://babel.hathitrust.org/cgi/pt?id=mdp.39015049421012")</f>
        <v>http://babel.hathitrust.org/cgi/pt?id=mdp.39015049421012</v>
      </c>
      <c r="H685" t="str">
        <f>HYPERLINK("http://catalog.hathitrust.org/Record/001011073")</f>
        <v>http://catalog.hathitrust.org/Record/001011073</v>
      </c>
      <c r="J685" s="1">
        <v>1920</v>
      </c>
      <c r="K685" t="s">
        <v>19252</v>
      </c>
      <c r="L685" t="s">
        <v>19253</v>
      </c>
    </row>
    <row r="686" spans="1:12">
      <c r="A686" t="s">
        <v>19255</v>
      </c>
      <c r="B686" s="1" t="s">
        <v>19251</v>
      </c>
      <c r="F686">
        <v>1</v>
      </c>
      <c r="G686" t="str">
        <f>HYPERLINK("http://babel.hathitrust.org/cgi/pt?id=uc1.b3571886")</f>
        <v>http://babel.hathitrust.org/cgi/pt?id=uc1.b3571886</v>
      </c>
      <c r="H686" t="str">
        <f>HYPERLINK("http://catalog.hathitrust.org/Record/001011073")</f>
        <v>http://catalog.hathitrust.org/Record/001011073</v>
      </c>
      <c r="J686" s="1">
        <v>1920</v>
      </c>
      <c r="K686" t="s">
        <v>19252</v>
      </c>
      <c r="L686" t="s">
        <v>19253</v>
      </c>
    </row>
    <row r="687" spans="1:12">
      <c r="A687" t="s">
        <v>19256</v>
      </c>
      <c r="B687" s="1" t="s">
        <v>19257</v>
      </c>
      <c r="F687">
        <v>1</v>
      </c>
      <c r="G687" t="str">
        <f>HYPERLINK("http://babel.hathitrust.org/cgi/pt?id=mdp.39015059791056")</f>
        <v>http://babel.hathitrust.org/cgi/pt?id=mdp.39015059791056</v>
      </c>
      <c r="H687" t="str">
        <f>HYPERLINK("http://catalog.hathitrust.org/Record/001012779")</f>
        <v>http://catalog.hathitrust.org/Record/001012779</v>
      </c>
      <c r="J687" s="1">
        <v>1936</v>
      </c>
      <c r="K687" t="s">
        <v>19258</v>
      </c>
      <c r="L687" t="s">
        <v>19259</v>
      </c>
    </row>
    <row r="688" spans="1:12">
      <c r="A688" t="s">
        <v>19260</v>
      </c>
      <c r="B688" s="1" t="s">
        <v>19261</v>
      </c>
      <c r="F688">
        <v>1</v>
      </c>
      <c r="G688" t="str">
        <f>HYPERLINK("http://babel.hathitrust.org/cgi/pt?id=mdp.39015065840020")</f>
        <v>http://babel.hathitrust.org/cgi/pt?id=mdp.39015065840020</v>
      </c>
      <c r="H688" t="str">
        <f>HYPERLINK("http://catalog.hathitrust.org/Record/001012805")</f>
        <v>http://catalog.hathitrust.org/Record/001012805</v>
      </c>
      <c r="J688" s="1">
        <v>1951</v>
      </c>
      <c r="K688" t="s">
        <v>19262</v>
      </c>
      <c r="L688" t="s">
        <v>19263</v>
      </c>
    </row>
    <row r="689" spans="1:12">
      <c r="A689" t="s">
        <v>19264</v>
      </c>
      <c r="B689" s="1" t="s">
        <v>19265</v>
      </c>
      <c r="F689">
        <v>1</v>
      </c>
      <c r="G689" t="str">
        <f>HYPERLINK("http://babel.hathitrust.org/cgi/pt?id=mdp.39015063768256")</f>
        <v>http://babel.hathitrust.org/cgi/pt?id=mdp.39015063768256</v>
      </c>
      <c r="H689" t="str">
        <f>HYPERLINK("http://catalog.hathitrust.org/Record/001012824")</f>
        <v>http://catalog.hathitrust.org/Record/001012824</v>
      </c>
      <c r="J689" s="1">
        <v>1953</v>
      </c>
      <c r="K689" t="s">
        <v>19266</v>
      </c>
      <c r="L689" t="s">
        <v>19267</v>
      </c>
    </row>
    <row r="690" spans="1:12">
      <c r="A690" t="s">
        <v>19268</v>
      </c>
      <c r="B690" s="1" t="s">
        <v>19269</v>
      </c>
      <c r="F690">
        <v>1</v>
      </c>
      <c r="G690" t="str">
        <f>HYPERLINK("http://babel.hathitrust.org/cgi/pt?id=mdp.39015062336691")</f>
        <v>http://babel.hathitrust.org/cgi/pt?id=mdp.39015062336691</v>
      </c>
      <c r="H690" t="str">
        <f>HYPERLINK("http://catalog.hathitrust.org/Record/001012859")</f>
        <v>http://catalog.hathitrust.org/Record/001012859</v>
      </c>
      <c r="J690" s="1">
        <v>1915</v>
      </c>
      <c r="K690" t="s">
        <v>19270</v>
      </c>
      <c r="L690" t="s">
        <v>19271</v>
      </c>
    </row>
    <row r="691" spans="1:12">
      <c r="A691" t="s">
        <v>19272</v>
      </c>
      <c r="B691" s="1" t="s">
        <v>19269</v>
      </c>
      <c r="F691">
        <v>1</v>
      </c>
      <c r="G691" t="str">
        <f>HYPERLINK("http://babel.hathitrust.org/cgi/pt?id=uc1.$b617725")</f>
        <v>http://babel.hathitrust.org/cgi/pt?id=uc1.$b617725</v>
      </c>
      <c r="H691" t="str">
        <f>HYPERLINK("http://catalog.hathitrust.org/Record/001012859")</f>
        <v>http://catalog.hathitrust.org/Record/001012859</v>
      </c>
      <c r="I691" s="1" t="s">
        <v>19273</v>
      </c>
      <c r="J691" s="1">
        <v>1915</v>
      </c>
      <c r="K691" t="s">
        <v>19270</v>
      </c>
      <c r="L691" t="s">
        <v>19271</v>
      </c>
    </row>
    <row r="692" spans="1:12">
      <c r="A692" t="s">
        <v>19274</v>
      </c>
      <c r="B692" s="1" t="s">
        <v>19269</v>
      </c>
      <c r="F692">
        <v>1</v>
      </c>
      <c r="G692" t="str">
        <f>HYPERLINK("http://babel.hathitrust.org/cgi/pt?id=uc1.b4093333")</f>
        <v>http://babel.hathitrust.org/cgi/pt?id=uc1.b4093333</v>
      </c>
      <c r="H692" t="str">
        <f>HYPERLINK("http://catalog.hathitrust.org/Record/001012859")</f>
        <v>http://catalog.hathitrust.org/Record/001012859</v>
      </c>
      <c r="J692" s="1">
        <v>1915</v>
      </c>
      <c r="K692" t="s">
        <v>19270</v>
      </c>
      <c r="L692" t="s">
        <v>19271</v>
      </c>
    </row>
    <row r="693" spans="1:12">
      <c r="A693" t="s">
        <v>19275</v>
      </c>
      <c r="B693" s="1" t="s">
        <v>19269</v>
      </c>
      <c r="F693">
        <v>1</v>
      </c>
      <c r="G693" t="str">
        <f>HYPERLINK("http://babel.hathitrust.org/cgi/pt?id=uc2.ark:/13960/t2d79gv6s")</f>
        <v>http://babel.hathitrust.org/cgi/pt?id=uc2.ark:/13960/t2d79gv6s</v>
      </c>
      <c r="H693" t="str">
        <f>HYPERLINK("http://catalog.hathitrust.org/Record/001012859")</f>
        <v>http://catalog.hathitrust.org/Record/001012859</v>
      </c>
      <c r="J693" s="1">
        <v>1915</v>
      </c>
      <c r="K693" t="s">
        <v>19270</v>
      </c>
      <c r="L693" t="s">
        <v>19271</v>
      </c>
    </row>
    <row r="694" spans="1:12">
      <c r="A694" t="s">
        <v>19276</v>
      </c>
      <c r="B694" s="1" t="s">
        <v>19277</v>
      </c>
      <c r="F694">
        <v>1</v>
      </c>
      <c r="G694" t="str">
        <f>HYPERLINK("http://babel.hathitrust.org/cgi/pt?id=mdp.39015048995263")</f>
        <v>http://babel.hathitrust.org/cgi/pt?id=mdp.39015048995263</v>
      </c>
      <c r="H694" t="str">
        <f>HYPERLINK("http://catalog.hathitrust.org/Record/001016183")</f>
        <v>http://catalog.hathitrust.org/Record/001016183</v>
      </c>
      <c r="J694" s="1">
        <v>1945</v>
      </c>
      <c r="K694" t="s">
        <v>19278</v>
      </c>
      <c r="L694" t="s">
        <v>19279</v>
      </c>
    </row>
    <row r="695" spans="1:12">
      <c r="A695" t="s">
        <v>19280</v>
      </c>
      <c r="B695" s="1" t="s">
        <v>19281</v>
      </c>
      <c r="F695">
        <v>1</v>
      </c>
      <c r="G695" t="str">
        <f>HYPERLINK("http://babel.hathitrust.org/cgi/pt?id=mdp.39076006147743")</f>
        <v>http://babel.hathitrust.org/cgi/pt?id=mdp.39076006147743</v>
      </c>
      <c r="H695" t="str">
        <f>HYPERLINK("http://catalog.hathitrust.org/Record/001016290")</f>
        <v>http://catalog.hathitrust.org/Record/001016290</v>
      </c>
      <c r="J695" s="1">
        <v>1959</v>
      </c>
      <c r="K695" t="s">
        <v>19282</v>
      </c>
      <c r="L695" t="s">
        <v>19283</v>
      </c>
    </row>
    <row r="696" spans="1:12">
      <c r="A696" t="s">
        <v>19284</v>
      </c>
      <c r="B696" s="1" t="s">
        <v>19285</v>
      </c>
      <c r="F696">
        <v>1</v>
      </c>
      <c r="G696" t="str">
        <f>HYPERLINK("http://babel.hathitrust.org/cgi/pt?id=mdp.39015039367704")</f>
        <v>http://babel.hathitrust.org/cgi/pt?id=mdp.39015039367704</v>
      </c>
      <c r="H696" t="str">
        <f>HYPERLINK("http://catalog.hathitrust.org/Record/001016307")</f>
        <v>http://catalog.hathitrust.org/Record/001016307</v>
      </c>
      <c r="J696" s="1">
        <v>1951</v>
      </c>
      <c r="K696" t="s">
        <v>19286</v>
      </c>
      <c r="L696" t="s">
        <v>19287</v>
      </c>
    </row>
    <row r="697" spans="1:12">
      <c r="A697" t="s">
        <v>19288</v>
      </c>
      <c r="B697" s="1" t="s">
        <v>19285</v>
      </c>
      <c r="F697">
        <v>1</v>
      </c>
      <c r="G697" t="str">
        <f>HYPERLINK("http://babel.hathitrust.org/cgi/pt?id=mdp.39015053667955")</f>
        <v>http://babel.hathitrust.org/cgi/pt?id=mdp.39015053667955</v>
      </c>
      <c r="H697" t="str">
        <f>HYPERLINK("http://catalog.hathitrust.org/Record/001016307")</f>
        <v>http://catalog.hathitrust.org/Record/001016307</v>
      </c>
      <c r="J697" s="1">
        <v>1951</v>
      </c>
      <c r="K697" t="s">
        <v>19286</v>
      </c>
      <c r="L697" t="s">
        <v>19287</v>
      </c>
    </row>
    <row r="698" spans="1:12">
      <c r="A698" t="s">
        <v>19289</v>
      </c>
      <c r="B698" s="1" t="s">
        <v>19290</v>
      </c>
      <c r="F698">
        <v>1</v>
      </c>
      <c r="G698" t="str">
        <f>HYPERLINK("http://babel.hathitrust.org/cgi/pt?id=mdp.39015020241942")</f>
        <v>http://babel.hathitrust.org/cgi/pt?id=mdp.39015020241942</v>
      </c>
      <c r="H698" t="str">
        <f>HYPERLINK("http://catalog.hathitrust.org/Record/001016319")</f>
        <v>http://catalog.hathitrust.org/Record/001016319</v>
      </c>
      <c r="J698" s="1">
        <v>1948</v>
      </c>
      <c r="K698" t="s">
        <v>19291</v>
      </c>
      <c r="L698" t="s">
        <v>19292</v>
      </c>
    </row>
    <row r="699" spans="1:12">
      <c r="A699" t="s">
        <v>19293</v>
      </c>
      <c r="B699" s="1" t="s">
        <v>19290</v>
      </c>
      <c r="F699">
        <v>1</v>
      </c>
      <c r="G699" t="str">
        <f>HYPERLINK("http://babel.hathitrust.org/cgi/pt?id=mdp.39015030936697")</f>
        <v>http://babel.hathitrust.org/cgi/pt?id=mdp.39015030936697</v>
      </c>
      <c r="H699" t="str">
        <f>HYPERLINK("http://catalog.hathitrust.org/Record/001016319")</f>
        <v>http://catalog.hathitrust.org/Record/001016319</v>
      </c>
      <c r="J699" s="1">
        <v>1948</v>
      </c>
      <c r="K699" t="s">
        <v>19291</v>
      </c>
      <c r="L699" t="s">
        <v>19292</v>
      </c>
    </row>
    <row r="700" spans="1:12">
      <c r="A700" t="s">
        <v>19294</v>
      </c>
      <c r="B700" s="1" t="s">
        <v>19290</v>
      </c>
      <c r="F700">
        <v>1</v>
      </c>
      <c r="G700" t="str">
        <f>HYPERLINK("http://babel.hathitrust.org/cgi/pt?id=uc1.b3543277")</f>
        <v>http://babel.hathitrust.org/cgi/pt?id=uc1.b3543277</v>
      </c>
      <c r="H700" t="str">
        <f>HYPERLINK("http://catalog.hathitrust.org/Record/001016319")</f>
        <v>http://catalog.hathitrust.org/Record/001016319</v>
      </c>
      <c r="J700" s="1">
        <v>1948</v>
      </c>
      <c r="K700" t="s">
        <v>19291</v>
      </c>
      <c r="L700" t="s">
        <v>19292</v>
      </c>
    </row>
    <row r="701" spans="1:12">
      <c r="A701" t="s">
        <v>19295</v>
      </c>
      <c r="B701" s="1" t="s">
        <v>19296</v>
      </c>
      <c r="F701">
        <v>1</v>
      </c>
      <c r="G701" t="str">
        <f>HYPERLINK("http://babel.hathitrust.org/cgi/pt?id=mdp.39015013284339")</f>
        <v>http://babel.hathitrust.org/cgi/pt?id=mdp.39015013284339</v>
      </c>
      <c r="H701" t="str">
        <f>HYPERLINK("http://catalog.hathitrust.org/Record/001016330")</f>
        <v>http://catalog.hathitrust.org/Record/001016330</v>
      </c>
      <c r="J701" s="1">
        <v>1947</v>
      </c>
      <c r="K701" t="s">
        <v>19297</v>
      </c>
      <c r="L701" t="s">
        <v>19298</v>
      </c>
    </row>
    <row r="702" spans="1:12">
      <c r="A702" t="s">
        <v>19299</v>
      </c>
      <c r="B702" s="1" t="s">
        <v>19296</v>
      </c>
      <c r="F702">
        <v>1</v>
      </c>
      <c r="G702" t="str">
        <f>HYPERLINK("http://babel.hathitrust.org/cgi/pt?id=mdp.39015022660065")</f>
        <v>http://babel.hathitrust.org/cgi/pt?id=mdp.39015022660065</v>
      </c>
      <c r="H702" t="str">
        <f>HYPERLINK("http://catalog.hathitrust.org/Record/001016330")</f>
        <v>http://catalog.hathitrust.org/Record/001016330</v>
      </c>
      <c r="J702" s="1">
        <v>1947</v>
      </c>
      <c r="K702" t="s">
        <v>19297</v>
      </c>
      <c r="L702" t="s">
        <v>19298</v>
      </c>
    </row>
    <row r="703" spans="1:12">
      <c r="A703" t="s">
        <v>19300</v>
      </c>
      <c r="B703" s="1" t="s">
        <v>19296</v>
      </c>
      <c r="F703">
        <v>1</v>
      </c>
      <c r="G703" t="str">
        <f>HYPERLINK("http://babel.hathitrust.org/cgi/pt?id=mdp.39015067308869")</f>
        <v>http://babel.hathitrust.org/cgi/pt?id=mdp.39015067308869</v>
      </c>
      <c r="H703" t="str">
        <f>HYPERLINK("http://catalog.hathitrust.org/Record/001016330")</f>
        <v>http://catalog.hathitrust.org/Record/001016330</v>
      </c>
      <c r="J703" s="1">
        <v>1947</v>
      </c>
      <c r="K703" t="s">
        <v>19297</v>
      </c>
      <c r="L703" t="s">
        <v>19298</v>
      </c>
    </row>
    <row r="704" spans="1:12">
      <c r="A704" t="s">
        <v>19301</v>
      </c>
      <c r="B704" s="1" t="s">
        <v>19302</v>
      </c>
      <c r="F704">
        <v>1</v>
      </c>
      <c r="G704" t="str">
        <f>HYPERLINK("http://babel.hathitrust.org/cgi/pt?id=mdp.39015008281209")</f>
        <v>http://babel.hathitrust.org/cgi/pt?id=mdp.39015008281209</v>
      </c>
      <c r="H704" t="str">
        <f>HYPERLINK("http://catalog.hathitrust.org/Record/001016333")</f>
        <v>http://catalog.hathitrust.org/Record/001016333</v>
      </c>
      <c r="J704" s="1">
        <v>1940</v>
      </c>
      <c r="K704" t="s">
        <v>19303</v>
      </c>
      <c r="L704" t="s">
        <v>19304</v>
      </c>
    </row>
    <row r="705" spans="1:12">
      <c r="A705" t="s">
        <v>19305</v>
      </c>
      <c r="B705" s="1" t="s">
        <v>19302</v>
      </c>
      <c r="F705">
        <v>1</v>
      </c>
      <c r="G705" t="str">
        <f>HYPERLINK("http://babel.hathitrust.org/cgi/pt?id=uc1.b3539798")</f>
        <v>http://babel.hathitrust.org/cgi/pt?id=uc1.b3539798</v>
      </c>
      <c r="H705" t="str">
        <f>HYPERLINK("http://catalog.hathitrust.org/Record/001016333")</f>
        <v>http://catalog.hathitrust.org/Record/001016333</v>
      </c>
      <c r="J705" s="1">
        <v>1940</v>
      </c>
      <c r="K705" t="s">
        <v>19303</v>
      </c>
      <c r="L705" t="s">
        <v>19304</v>
      </c>
    </row>
    <row r="706" spans="1:12">
      <c r="A706" t="s">
        <v>19306</v>
      </c>
      <c r="B706" s="1" t="s">
        <v>19307</v>
      </c>
      <c r="F706">
        <v>1</v>
      </c>
      <c r="G706" t="str">
        <f>HYPERLINK("http://babel.hathitrust.org/cgi/pt?id=mdp.39015063863701")</f>
        <v>http://babel.hathitrust.org/cgi/pt?id=mdp.39015063863701</v>
      </c>
      <c r="H706" t="str">
        <f>HYPERLINK("http://catalog.hathitrust.org/Record/001016429")</f>
        <v>http://catalog.hathitrust.org/Record/001016429</v>
      </c>
      <c r="I706" s="1" t="s">
        <v>20920</v>
      </c>
      <c r="J706" s="1">
        <v>1962</v>
      </c>
      <c r="K706" t="s">
        <v>19308</v>
      </c>
      <c r="L706" t="s">
        <v>19309</v>
      </c>
    </row>
    <row r="707" spans="1:12">
      <c r="A707" t="s">
        <v>19310</v>
      </c>
      <c r="B707" s="1" t="s">
        <v>19307</v>
      </c>
      <c r="F707">
        <v>1</v>
      </c>
      <c r="G707" t="str">
        <f>HYPERLINK("http://babel.hathitrust.org/cgi/pt?id=mdp.39015063863719")</f>
        <v>http://babel.hathitrust.org/cgi/pt?id=mdp.39015063863719</v>
      </c>
      <c r="H707" t="str">
        <f>HYPERLINK("http://catalog.hathitrust.org/Record/001016429")</f>
        <v>http://catalog.hathitrust.org/Record/001016429</v>
      </c>
      <c r="I707" s="1" t="s">
        <v>20755</v>
      </c>
      <c r="J707" s="1">
        <v>1962</v>
      </c>
      <c r="K707" t="s">
        <v>19308</v>
      </c>
      <c r="L707" t="s">
        <v>19309</v>
      </c>
    </row>
    <row r="708" spans="1:12">
      <c r="A708" t="s">
        <v>19311</v>
      </c>
      <c r="B708" s="1" t="s">
        <v>19307</v>
      </c>
      <c r="F708">
        <v>1</v>
      </c>
      <c r="G708" t="str">
        <f>HYPERLINK("http://babel.hathitrust.org/cgi/pt?id=mdp.39015063863826")</f>
        <v>http://babel.hathitrust.org/cgi/pt?id=mdp.39015063863826</v>
      </c>
      <c r="H708" t="str">
        <f>HYPERLINK("http://catalog.hathitrust.org/Record/001016429")</f>
        <v>http://catalog.hathitrust.org/Record/001016429</v>
      </c>
      <c r="I708" s="1" t="s">
        <v>20916</v>
      </c>
      <c r="J708" s="1">
        <v>1962</v>
      </c>
      <c r="K708" t="s">
        <v>19308</v>
      </c>
      <c r="L708" t="s">
        <v>19309</v>
      </c>
    </row>
    <row r="709" spans="1:12">
      <c r="A709" t="s">
        <v>19312</v>
      </c>
      <c r="B709" s="1" t="s">
        <v>19307</v>
      </c>
      <c r="F709">
        <v>1</v>
      </c>
      <c r="G709" t="str">
        <f>HYPERLINK("http://babel.hathitrust.org/cgi/pt?id=mdp.39015063863834")</f>
        <v>http://babel.hathitrust.org/cgi/pt?id=mdp.39015063863834</v>
      </c>
      <c r="H709" t="str">
        <f>HYPERLINK("http://catalog.hathitrust.org/Record/001016429")</f>
        <v>http://catalog.hathitrust.org/Record/001016429</v>
      </c>
      <c r="I709" s="1" t="s">
        <v>20679</v>
      </c>
      <c r="J709" s="1">
        <v>1962</v>
      </c>
      <c r="K709" t="s">
        <v>19308</v>
      </c>
      <c r="L709" t="s">
        <v>19309</v>
      </c>
    </row>
    <row r="710" spans="1:12">
      <c r="A710" t="s">
        <v>19313</v>
      </c>
      <c r="B710" s="1" t="s">
        <v>19307</v>
      </c>
      <c r="F710">
        <v>1</v>
      </c>
      <c r="G710" t="str">
        <f>HYPERLINK("http://babel.hathitrust.org/cgi/pt?id=mdp.39015063863842")</f>
        <v>http://babel.hathitrust.org/cgi/pt?id=mdp.39015063863842</v>
      </c>
      <c r="H710" t="str">
        <f>HYPERLINK("http://catalog.hathitrust.org/Record/001016429")</f>
        <v>http://catalog.hathitrust.org/Record/001016429</v>
      </c>
      <c r="I710" s="1" t="s">
        <v>21018</v>
      </c>
      <c r="J710" s="1">
        <v>1962</v>
      </c>
      <c r="K710" t="s">
        <v>19308</v>
      </c>
      <c r="L710" t="s">
        <v>19309</v>
      </c>
    </row>
    <row r="711" spans="1:12">
      <c r="A711" t="s">
        <v>19174</v>
      </c>
      <c r="B711" s="1" t="s">
        <v>19175</v>
      </c>
      <c r="F711">
        <v>1</v>
      </c>
      <c r="G711" t="str">
        <f>HYPERLINK("http://babel.hathitrust.org/cgi/pt?id=mdp.39015009059117")</f>
        <v>http://babel.hathitrust.org/cgi/pt?id=mdp.39015009059117</v>
      </c>
      <c r="H711" t="str">
        <f t="shared" ref="H711:H717" si="15">HYPERLINK("http://catalog.hathitrust.org/Record/001016436")</f>
        <v>http://catalog.hathitrust.org/Record/001016436</v>
      </c>
      <c r="I711" s="1" t="s">
        <v>20920</v>
      </c>
      <c r="J711" s="1">
        <v>1906</v>
      </c>
      <c r="K711" t="s">
        <v>19176</v>
      </c>
      <c r="L711" t="s">
        <v>19690</v>
      </c>
    </row>
    <row r="712" spans="1:12">
      <c r="A712" t="s">
        <v>19177</v>
      </c>
      <c r="B712" s="1" t="s">
        <v>19175</v>
      </c>
      <c r="D712">
        <v>1</v>
      </c>
      <c r="G712" t="str">
        <f>HYPERLINK("http://babel.hathitrust.org/cgi/pt?id=uc1.b3515127")</f>
        <v>http://babel.hathitrust.org/cgi/pt?id=uc1.b3515127</v>
      </c>
      <c r="H712" t="str">
        <f t="shared" si="15"/>
        <v>http://catalog.hathitrust.org/Record/001016436</v>
      </c>
      <c r="I712" s="1" t="s">
        <v>20916</v>
      </c>
      <c r="J712" s="1">
        <v>1906</v>
      </c>
      <c r="K712" t="s">
        <v>19176</v>
      </c>
      <c r="L712" t="s">
        <v>19690</v>
      </c>
    </row>
    <row r="713" spans="1:12">
      <c r="A713" t="s">
        <v>19178</v>
      </c>
      <c r="B713" s="1" t="s">
        <v>19175</v>
      </c>
      <c r="D713">
        <v>1</v>
      </c>
      <c r="G713" t="str">
        <f>HYPERLINK("http://babel.hathitrust.org/cgi/pt?id=uc1.b3515128")</f>
        <v>http://babel.hathitrust.org/cgi/pt?id=uc1.b3515128</v>
      </c>
      <c r="H713" t="str">
        <f t="shared" si="15"/>
        <v>http://catalog.hathitrust.org/Record/001016436</v>
      </c>
      <c r="I713" s="1" t="s">
        <v>20920</v>
      </c>
      <c r="J713" s="1">
        <v>1906</v>
      </c>
      <c r="K713" t="s">
        <v>19176</v>
      </c>
      <c r="L713" t="s">
        <v>19690</v>
      </c>
    </row>
    <row r="714" spans="1:12">
      <c r="A714" t="s">
        <v>19179</v>
      </c>
      <c r="B714" s="1" t="s">
        <v>19175</v>
      </c>
      <c r="D714">
        <v>1</v>
      </c>
      <c r="G714" t="str">
        <f>HYPERLINK("http://babel.hathitrust.org/cgi/pt?id=uc1.b3515213")</f>
        <v>http://babel.hathitrust.org/cgi/pt?id=uc1.b3515213</v>
      </c>
      <c r="H714" t="str">
        <f t="shared" si="15"/>
        <v>http://catalog.hathitrust.org/Record/001016436</v>
      </c>
      <c r="I714" s="1" t="s">
        <v>20755</v>
      </c>
      <c r="J714" s="1">
        <v>1906</v>
      </c>
      <c r="K714" t="s">
        <v>19176</v>
      </c>
      <c r="L714" t="s">
        <v>19690</v>
      </c>
    </row>
    <row r="715" spans="1:12">
      <c r="A715" t="s">
        <v>19180</v>
      </c>
      <c r="B715" s="1" t="s">
        <v>19175</v>
      </c>
      <c r="F715">
        <v>1</v>
      </c>
      <c r="G715" t="str">
        <f>HYPERLINK("http://babel.hathitrust.org/cgi/pt?id=uc2.ark:/13960/t2n58gk69")</f>
        <v>http://babel.hathitrust.org/cgi/pt?id=uc2.ark:/13960/t2n58gk69</v>
      </c>
      <c r="H715" t="str">
        <f t="shared" si="15"/>
        <v>http://catalog.hathitrust.org/Record/001016436</v>
      </c>
      <c r="I715" s="1" t="s">
        <v>20755</v>
      </c>
      <c r="J715" s="1">
        <v>1906</v>
      </c>
      <c r="K715" t="s">
        <v>19176</v>
      </c>
      <c r="L715" t="s">
        <v>19690</v>
      </c>
    </row>
    <row r="716" spans="1:12">
      <c r="A716" t="s">
        <v>19181</v>
      </c>
      <c r="B716" s="1" t="s">
        <v>19175</v>
      </c>
      <c r="F716">
        <v>1</v>
      </c>
      <c r="G716" t="str">
        <f>HYPERLINK("http://babel.hathitrust.org/cgi/pt?id=uc2.ark:/13960/t4sj1n37h")</f>
        <v>http://babel.hathitrust.org/cgi/pt?id=uc2.ark:/13960/t4sj1n37h</v>
      </c>
      <c r="H716" t="str">
        <f t="shared" si="15"/>
        <v>http://catalog.hathitrust.org/Record/001016436</v>
      </c>
      <c r="I716" s="1" t="s">
        <v>20920</v>
      </c>
      <c r="J716" s="1">
        <v>1906</v>
      </c>
      <c r="K716" t="s">
        <v>19176</v>
      </c>
      <c r="L716" t="s">
        <v>19690</v>
      </c>
    </row>
    <row r="717" spans="1:12">
      <c r="A717" t="s">
        <v>19182</v>
      </c>
      <c r="B717" s="1" t="s">
        <v>19175</v>
      </c>
      <c r="F717">
        <v>1</v>
      </c>
      <c r="G717" t="str">
        <f>HYPERLINK("http://babel.hathitrust.org/cgi/pt?id=uc2.ark:/13960/t6vx0999m")</f>
        <v>http://babel.hathitrust.org/cgi/pt?id=uc2.ark:/13960/t6vx0999m</v>
      </c>
      <c r="H717" t="str">
        <f t="shared" si="15"/>
        <v>http://catalog.hathitrust.org/Record/001016436</v>
      </c>
      <c r="I717" s="1" t="s">
        <v>20916</v>
      </c>
      <c r="J717" s="1">
        <v>1906</v>
      </c>
      <c r="K717" t="s">
        <v>19176</v>
      </c>
      <c r="L717" t="s">
        <v>19690</v>
      </c>
    </row>
    <row r="718" spans="1:12">
      <c r="A718" t="s">
        <v>19183</v>
      </c>
      <c r="B718" s="1" t="s">
        <v>19184</v>
      </c>
      <c r="F718">
        <v>1</v>
      </c>
      <c r="G718" t="str">
        <f>HYPERLINK("http://babel.hathitrust.org/cgi/pt?id=mdp.39015063742186")</f>
        <v>http://babel.hathitrust.org/cgi/pt?id=mdp.39015063742186</v>
      </c>
      <c r="H718" t="str">
        <f>HYPERLINK("http://catalog.hathitrust.org/Record/001016440")</f>
        <v>http://catalog.hathitrust.org/Record/001016440</v>
      </c>
      <c r="J718" s="1">
        <v>1963</v>
      </c>
      <c r="K718" t="s">
        <v>19185</v>
      </c>
      <c r="L718" t="s">
        <v>19186</v>
      </c>
    </row>
    <row r="719" spans="1:12">
      <c r="A719" t="s">
        <v>19187</v>
      </c>
      <c r="B719" s="1" t="s">
        <v>19184</v>
      </c>
      <c r="F719">
        <v>1</v>
      </c>
      <c r="G719" t="str">
        <f>HYPERLINK("http://babel.hathitrust.org/cgi/pt?id=uc1.b4278866")</f>
        <v>http://babel.hathitrust.org/cgi/pt?id=uc1.b4278866</v>
      </c>
      <c r="H719" t="str">
        <f>HYPERLINK("http://catalog.hathitrust.org/Record/001016440")</f>
        <v>http://catalog.hathitrust.org/Record/001016440</v>
      </c>
      <c r="J719" s="1">
        <v>1963</v>
      </c>
      <c r="K719" t="s">
        <v>19185</v>
      </c>
      <c r="L719" t="s">
        <v>19186</v>
      </c>
    </row>
    <row r="720" spans="1:12">
      <c r="A720" t="s">
        <v>19188</v>
      </c>
      <c r="B720" s="1" t="s">
        <v>19189</v>
      </c>
      <c r="F720">
        <v>1</v>
      </c>
      <c r="G720" t="str">
        <f>HYPERLINK("http://babel.hathitrust.org/cgi/pt?id=mdp.39015030929189")</f>
        <v>http://babel.hathitrust.org/cgi/pt?id=mdp.39015030929189</v>
      </c>
      <c r="H720" t="str">
        <f>HYPERLINK("http://catalog.hathitrust.org/Record/001016443")</f>
        <v>http://catalog.hathitrust.org/Record/001016443</v>
      </c>
      <c r="J720" s="1">
        <v>1915</v>
      </c>
      <c r="K720" t="s">
        <v>19190</v>
      </c>
      <c r="L720" t="s">
        <v>19191</v>
      </c>
    </row>
    <row r="721" spans="1:12">
      <c r="A721" t="s">
        <v>19192</v>
      </c>
      <c r="B721" s="1" t="s">
        <v>19189</v>
      </c>
      <c r="F721">
        <v>1</v>
      </c>
      <c r="G721" t="str">
        <f>HYPERLINK("http://babel.hathitrust.org/cgi/pt?id=mdp.39015063862828")</f>
        <v>http://babel.hathitrust.org/cgi/pt?id=mdp.39015063862828</v>
      </c>
      <c r="H721" t="str">
        <f>HYPERLINK("http://catalog.hathitrust.org/Record/001016443")</f>
        <v>http://catalog.hathitrust.org/Record/001016443</v>
      </c>
      <c r="J721" s="1">
        <v>1915</v>
      </c>
      <c r="K721" t="s">
        <v>19190</v>
      </c>
      <c r="L721" t="s">
        <v>19191</v>
      </c>
    </row>
    <row r="722" spans="1:12">
      <c r="A722" t="s">
        <v>19193</v>
      </c>
      <c r="B722" s="1" t="s">
        <v>19194</v>
      </c>
      <c r="F722">
        <v>1</v>
      </c>
      <c r="G722" t="str">
        <f>HYPERLINK("http://babel.hathitrust.org/cgi/pt?id=mdp.39015013413300")</f>
        <v>http://babel.hathitrust.org/cgi/pt?id=mdp.39015013413300</v>
      </c>
      <c r="H722" t="str">
        <f>HYPERLINK("http://catalog.hathitrust.org/Record/001016445")</f>
        <v>http://catalog.hathitrust.org/Record/001016445</v>
      </c>
      <c r="J722" s="1">
        <v>1909</v>
      </c>
      <c r="K722" t="s">
        <v>19195</v>
      </c>
      <c r="L722" t="s">
        <v>19196</v>
      </c>
    </row>
    <row r="723" spans="1:12">
      <c r="A723" t="s">
        <v>19197</v>
      </c>
      <c r="B723" s="1" t="s">
        <v>19194</v>
      </c>
      <c r="F723">
        <v>1</v>
      </c>
      <c r="G723" t="str">
        <f>HYPERLINK("http://babel.hathitrust.org/cgi/pt?id=mdp.39015031007985")</f>
        <v>http://babel.hathitrust.org/cgi/pt?id=mdp.39015031007985</v>
      </c>
      <c r="H723" t="str">
        <f>HYPERLINK("http://catalog.hathitrust.org/Record/001016445")</f>
        <v>http://catalog.hathitrust.org/Record/001016445</v>
      </c>
      <c r="J723" s="1">
        <v>1909</v>
      </c>
      <c r="K723" t="s">
        <v>19195</v>
      </c>
      <c r="L723" t="s">
        <v>19196</v>
      </c>
    </row>
    <row r="724" spans="1:12">
      <c r="A724" t="s">
        <v>19198</v>
      </c>
      <c r="B724" s="1" t="s">
        <v>19194</v>
      </c>
      <c r="F724">
        <v>1</v>
      </c>
      <c r="G724" t="str">
        <f>HYPERLINK("http://babel.hathitrust.org/cgi/pt?id=mdp.39015065731641")</f>
        <v>http://babel.hathitrust.org/cgi/pt?id=mdp.39015065731641</v>
      </c>
      <c r="H724" t="str">
        <f>HYPERLINK("http://catalog.hathitrust.org/Record/001016445")</f>
        <v>http://catalog.hathitrust.org/Record/001016445</v>
      </c>
      <c r="J724" s="1">
        <v>1909</v>
      </c>
      <c r="K724" t="s">
        <v>19195</v>
      </c>
      <c r="L724" t="s">
        <v>19196</v>
      </c>
    </row>
    <row r="725" spans="1:12">
      <c r="A725" t="s">
        <v>19199</v>
      </c>
      <c r="B725" s="1" t="s">
        <v>19194</v>
      </c>
      <c r="F725">
        <v>1</v>
      </c>
      <c r="G725" t="str">
        <f>HYPERLINK("http://babel.hathitrust.org/cgi/pt?id=uc1.b158089")</f>
        <v>http://babel.hathitrust.org/cgi/pt?id=uc1.b158089</v>
      </c>
      <c r="H725" t="str">
        <f>HYPERLINK("http://catalog.hathitrust.org/Record/001016445")</f>
        <v>http://catalog.hathitrust.org/Record/001016445</v>
      </c>
      <c r="J725" s="1">
        <v>1909</v>
      </c>
      <c r="K725" t="s">
        <v>19195</v>
      </c>
      <c r="L725" t="s">
        <v>19196</v>
      </c>
    </row>
    <row r="726" spans="1:12">
      <c r="A726" t="s">
        <v>19200</v>
      </c>
      <c r="B726" s="1" t="s">
        <v>19194</v>
      </c>
      <c r="F726">
        <v>1</v>
      </c>
      <c r="G726" t="str">
        <f>HYPERLINK("http://babel.hathitrust.org/cgi/pt?id=uc2.ark:/13960/t0xp6xp9t")</f>
        <v>http://babel.hathitrust.org/cgi/pt?id=uc2.ark:/13960/t0xp6xp9t</v>
      </c>
      <c r="H726" t="str">
        <f>HYPERLINK("http://catalog.hathitrust.org/Record/001016445")</f>
        <v>http://catalog.hathitrust.org/Record/001016445</v>
      </c>
      <c r="J726" s="1">
        <v>1909</v>
      </c>
      <c r="K726" t="s">
        <v>19195</v>
      </c>
      <c r="L726" t="s">
        <v>19196</v>
      </c>
    </row>
    <row r="727" spans="1:12">
      <c r="A727" t="s">
        <v>19201</v>
      </c>
      <c r="B727" s="1" t="s">
        <v>19202</v>
      </c>
      <c r="F727">
        <v>1</v>
      </c>
      <c r="G727" t="str">
        <f>HYPERLINK("http://babel.hathitrust.org/cgi/pt?id=mdp.39015031009270")</f>
        <v>http://babel.hathitrust.org/cgi/pt?id=mdp.39015031009270</v>
      </c>
      <c r="H727" t="str">
        <f>HYPERLINK("http://catalog.hathitrust.org/Record/001016472")</f>
        <v>http://catalog.hathitrust.org/Record/001016472</v>
      </c>
      <c r="J727" s="1">
        <v>1913</v>
      </c>
      <c r="K727" t="s">
        <v>19203</v>
      </c>
      <c r="L727" t="s">
        <v>19204</v>
      </c>
    </row>
    <row r="728" spans="1:12">
      <c r="A728" t="s">
        <v>19205</v>
      </c>
      <c r="B728" s="1" t="s">
        <v>19202</v>
      </c>
      <c r="F728">
        <v>1</v>
      </c>
      <c r="G728" t="str">
        <f>HYPERLINK("http://babel.hathitrust.org/cgi/pt?id=mdp.39015065731443")</f>
        <v>http://babel.hathitrust.org/cgi/pt?id=mdp.39015065731443</v>
      </c>
      <c r="H728" t="str">
        <f>HYPERLINK("http://catalog.hathitrust.org/Record/001016472")</f>
        <v>http://catalog.hathitrust.org/Record/001016472</v>
      </c>
      <c r="J728" s="1">
        <v>1913</v>
      </c>
      <c r="K728" t="s">
        <v>19203</v>
      </c>
      <c r="L728" t="s">
        <v>19204</v>
      </c>
    </row>
    <row r="729" spans="1:12">
      <c r="A729" t="s">
        <v>19206</v>
      </c>
      <c r="B729" s="1" t="s">
        <v>19202</v>
      </c>
      <c r="F729">
        <v>1</v>
      </c>
      <c r="G729" t="str">
        <f>HYPERLINK("http://babel.hathitrust.org/cgi/pt?id=nyp.33433074840038")</f>
        <v>http://babel.hathitrust.org/cgi/pt?id=nyp.33433074840038</v>
      </c>
      <c r="H729" t="str">
        <f>HYPERLINK("http://catalog.hathitrust.org/Record/001016472")</f>
        <v>http://catalog.hathitrust.org/Record/001016472</v>
      </c>
      <c r="J729" s="1">
        <v>1913</v>
      </c>
      <c r="K729" t="s">
        <v>19203</v>
      </c>
      <c r="L729" t="s">
        <v>19204</v>
      </c>
    </row>
    <row r="730" spans="1:12">
      <c r="A730" t="s">
        <v>19207</v>
      </c>
      <c r="B730" s="1" t="s">
        <v>19202</v>
      </c>
      <c r="F730">
        <v>1</v>
      </c>
      <c r="G730" t="str">
        <f>HYPERLINK("http://babel.hathitrust.org/cgi/pt?id=uc2.ark:/13960/t6vx0dp89")</f>
        <v>http://babel.hathitrust.org/cgi/pt?id=uc2.ark:/13960/t6vx0dp89</v>
      </c>
      <c r="H730" t="str">
        <f>HYPERLINK("http://catalog.hathitrust.org/Record/001016472")</f>
        <v>http://catalog.hathitrust.org/Record/001016472</v>
      </c>
      <c r="J730" s="1">
        <v>1913</v>
      </c>
      <c r="K730" t="s">
        <v>19203</v>
      </c>
      <c r="L730" t="s">
        <v>19204</v>
      </c>
    </row>
    <row r="731" spans="1:12">
      <c r="A731" t="s">
        <v>19208</v>
      </c>
      <c r="B731" s="1" t="s">
        <v>19209</v>
      </c>
      <c r="F731">
        <v>1</v>
      </c>
      <c r="G731" t="str">
        <f>HYPERLINK("http://babel.hathitrust.org/cgi/pt?id=mdp.39015067092877")</f>
        <v>http://babel.hathitrust.org/cgi/pt?id=mdp.39015067092877</v>
      </c>
      <c r="H731" t="str">
        <f>HYPERLINK("http://catalog.hathitrust.org/Record/001016488")</f>
        <v>http://catalog.hathitrust.org/Record/001016488</v>
      </c>
      <c r="J731" s="1">
        <v>1897</v>
      </c>
      <c r="K731" t="s">
        <v>19210</v>
      </c>
      <c r="L731" t="s">
        <v>19211</v>
      </c>
    </row>
    <row r="732" spans="1:12">
      <c r="A732" t="s">
        <v>19212</v>
      </c>
      <c r="B732" s="1" t="s">
        <v>19209</v>
      </c>
      <c r="F732">
        <v>1</v>
      </c>
      <c r="G732" t="str">
        <f>HYPERLINK("http://babel.hathitrust.org/cgi/pt?id=uc1.b3861028")</f>
        <v>http://babel.hathitrust.org/cgi/pt?id=uc1.b3861028</v>
      </c>
      <c r="H732" t="str">
        <f>HYPERLINK("http://catalog.hathitrust.org/Record/001016488")</f>
        <v>http://catalog.hathitrust.org/Record/001016488</v>
      </c>
      <c r="J732" s="1">
        <v>1897</v>
      </c>
      <c r="K732" t="s">
        <v>19210</v>
      </c>
      <c r="L732" t="s">
        <v>19211</v>
      </c>
    </row>
    <row r="733" spans="1:12">
      <c r="A733" t="s">
        <v>19213</v>
      </c>
      <c r="B733" s="1" t="s">
        <v>19209</v>
      </c>
      <c r="F733">
        <v>1</v>
      </c>
      <c r="G733" t="str">
        <f>HYPERLINK("http://babel.hathitrust.org/cgi/pt?id=uc2.ark:/13960/t29886g6k")</f>
        <v>http://babel.hathitrust.org/cgi/pt?id=uc2.ark:/13960/t29886g6k</v>
      </c>
      <c r="H733" t="str">
        <f>HYPERLINK("http://catalog.hathitrust.org/Record/001016488")</f>
        <v>http://catalog.hathitrust.org/Record/001016488</v>
      </c>
      <c r="J733" s="1">
        <v>1897</v>
      </c>
      <c r="K733" t="s">
        <v>19210</v>
      </c>
      <c r="L733" t="s">
        <v>19211</v>
      </c>
    </row>
    <row r="734" spans="1:12">
      <c r="A734" t="s">
        <v>19214</v>
      </c>
      <c r="B734" s="1" t="s">
        <v>19215</v>
      </c>
      <c r="F734">
        <v>1</v>
      </c>
      <c r="G734" t="str">
        <f>HYPERLINK("http://babel.hathitrust.org/cgi/pt?id=mdp.39015000956667")</f>
        <v>http://babel.hathitrust.org/cgi/pt?id=mdp.39015000956667</v>
      </c>
      <c r="H734" t="str">
        <f>HYPERLINK("http://catalog.hathitrust.org/Record/001016504")</f>
        <v>http://catalog.hathitrust.org/Record/001016504</v>
      </c>
      <c r="J734" s="1">
        <v>1954</v>
      </c>
      <c r="K734" t="s">
        <v>19216</v>
      </c>
      <c r="L734" t="s">
        <v>19217</v>
      </c>
    </row>
    <row r="735" spans="1:12">
      <c r="A735" t="s">
        <v>19218</v>
      </c>
      <c r="B735" s="1" t="s">
        <v>19219</v>
      </c>
      <c r="F735">
        <v>1</v>
      </c>
      <c r="G735" t="str">
        <f>HYPERLINK("http://babel.hathitrust.org/cgi/pt?id=nyp.33433082540240")</f>
        <v>http://babel.hathitrust.org/cgi/pt?id=nyp.33433082540240</v>
      </c>
      <c r="H735" t="str">
        <f>HYPERLINK("http://catalog.hathitrust.org/Record/001016510")</f>
        <v>http://catalog.hathitrust.org/Record/001016510</v>
      </c>
      <c r="I735" s="1" t="s">
        <v>20796</v>
      </c>
      <c r="J735" s="1">
        <v>1810</v>
      </c>
      <c r="K735" t="s">
        <v>20085</v>
      </c>
      <c r="L735" t="s">
        <v>20086</v>
      </c>
    </row>
    <row r="736" spans="1:12">
      <c r="A736" t="s">
        <v>19220</v>
      </c>
      <c r="B736" s="1" t="s">
        <v>19219</v>
      </c>
      <c r="F736">
        <v>1</v>
      </c>
      <c r="G736" t="str">
        <f>HYPERLINK("http://babel.hathitrust.org/cgi/pt?id=nyp.33433082540257")</f>
        <v>http://babel.hathitrust.org/cgi/pt?id=nyp.33433082540257</v>
      </c>
      <c r="H736" t="str">
        <f>HYPERLINK("http://catalog.hathitrust.org/Record/001016510")</f>
        <v>http://catalog.hathitrust.org/Record/001016510</v>
      </c>
      <c r="I736" s="1" t="s">
        <v>20799</v>
      </c>
      <c r="J736" s="1">
        <v>1810</v>
      </c>
      <c r="K736" t="s">
        <v>20085</v>
      </c>
      <c r="L736" t="s">
        <v>20086</v>
      </c>
    </row>
    <row r="737" spans="1:12">
      <c r="A737" t="s">
        <v>19221</v>
      </c>
      <c r="B737" s="1" t="s">
        <v>19222</v>
      </c>
      <c r="F737">
        <v>1</v>
      </c>
      <c r="G737" t="str">
        <f>HYPERLINK("http://babel.hathitrust.org/cgi/pt?id=mdp.39015065526249")</f>
        <v>http://babel.hathitrust.org/cgi/pt?id=mdp.39015065526249</v>
      </c>
      <c r="H737" t="str">
        <f>HYPERLINK("http://catalog.hathitrust.org/Record/001016517")</f>
        <v>http://catalog.hathitrust.org/Record/001016517</v>
      </c>
      <c r="J737" s="1">
        <v>1947</v>
      </c>
      <c r="K737" t="s">
        <v>19223</v>
      </c>
      <c r="L737" t="s">
        <v>19224</v>
      </c>
    </row>
    <row r="738" spans="1:12">
      <c r="A738" t="s">
        <v>19225</v>
      </c>
      <c r="B738" s="1" t="s">
        <v>19222</v>
      </c>
      <c r="F738">
        <v>1</v>
      </c>
      <c r="G738" t="str">
        <f>HYPERLINK("http://babel.hathitrust.org/cgi/pt?id=uc1.b4095573")</f>
        <v>http://babel.hathitrust.org/cgi/pt?id=uc1.b4095573</v>
      </c>
      <c r="H738" t="str">
        <f>HYPERLINK("http://catalog.hathitrust.org/Record/001016517")</f>
        <v>http://catalog.hathitrust.org/Record/001016517</v>
      </c>
      <c r="J738" s="1">
        <v>1947</v>
      </c>
      <c r="K738" t="s">
        <v>19223</v>
      </c>
      <c r="L738" t="s">
        <v>19224</v>
      </c>
    </row>
    <row r="739" spans="1:12">
      <c r="A739" t="s">
        <v>19226</v>
      </c>
      <c r="B739" s="1" t="s">
        <v>19227</v>
      </c>
      <c r="F739">
        <v>1</v>
      </c>
      <c r="G739" t="str">
        <f>HYPERLINK("http://babel.hathitrust.org/cgi/pt?id=uc1.b4095470")</f>
        <v>http://babel.hathitrust.org/cgi/pt?id=uc1.b4095470</v>
      </c>
      <c r="H739" t="str">
        <f>HYPERLINK("http://catalog.hathitrust.org/Record/001016520")</f>
        <v>http://catalog.hathitrust.org/Record/001016520</v>
      </c>
      <c r="I739" s="1" t="s">
        <v>20439</v>
      </c>
      <c r="J739" s="1">
        <v>1958</v>
      </c>
      <c r="K739" t="s">
        <v>19228</v>
      </c>
      <c r="L739" t="s">
        <v>19229</v>
      </c>
    </row>
    <row r="740" spans="1:12">
      <c r="A740" t="s">
        <v>19230</v>
      </c>
      <c r="B740" s="1" t="s">
        <v>19231</v>
      </c>
      <c r="F740">
        <v>1</v>
      </c>
      <c r="G740" t="str">
        <f>HYPERLINK("http://babel.hathitrust.org/cgi/pt?id=mdp.39015009237119")</f>
        <v>http://babel.hathitrust.org/cgi/pt?id=mdp.39015009237119</v>
      </c>
      <c r="H740" t="str">
        <f>HYPERLINK("http://catalog.hathitrust.org/Record/001016533")</f>
        <v>http://catalog.hathitrust.org/Record/001016533</v>
      </c>
      <c r="J740" s="1">
        <v>1953</v>
      </c>
      <c r="K740" t="s">
        <v>19232</v>
      </c>
      <c r="L740" t="s">
        <v>19233</v>
      </c>
    </row>
    <row r="741" spans="1:12">
      <c r="A741" t="s">
        <v>19234</v>
      </c>
      <c r="B741" s="1" t="s">
        <v>19231</v>
      </c>
      <c r="F741">
        <v>1</v>
      </c>
      <c r="G741" t="str">
        <f>HYPERLINK("http://babel.hathitrust.org/cgi/pt?id=uc1.b4109180")</f>
        <v>http://babel.hathitrust.org/cgi/pt?id=uc1.b4109180</v>
      </c>
      <c r="H741" t="str">
        <f>HYPERLINK("http://catalog.hathitrust.org/Record/001016533")</f>
        <v>http://catalog.hathitrust.org/Record/001016533</v>
      </c>
      <c r="J741" s="1">
        <v>1953</v>
      </c>
      <c r="K741" t="s">
        <v>19232</v>
      </c>
      <c r="L741" t="s">
        <v>19233</v>
      </c>
    </row>
    <row r="742" spans="1:12">
      <c r="A742" t="s">
        <v>19235</v>
      </c>
      <c r="B742" s="1" t="s">
        <v>19236</v>
      </c>
      <c r="F742">
        <v>1</v>
      </c>
      <c r="G742" t="str">
        <f>HYPERLINK("http://babel.hathitrust.org/cgi/pt?id=mdp.39015081328455")</f>
        <v>http://babel.hathitrust.org/cgi/pt?id=mdp.39015081328455</v>
      </c>
      <c r="H742" t="str">
        <f>HYPERLINK("http://catalog.hathitrust.org/Record/001016536")</f>
        <v>http://catalog.hathitrust.org/Record/001016536</v>
      </c>
      <c r="J742" s="1">
        <v>1916</v>
      </c>
      <c r="K742" t="s">
        <v>19237</v>
      </c>
      <c r="L742" t="s">
        <v>19238</v>
      </c>
    </row>
    <row r="743" spans="1:12">
      <c r="A743" t="s">
        <v>19239</v>
      </c>
      <c r="B743" s="1" t="s">
        <v>19236</v>
      </c>
      <c r="F743">
        <v>1</v>
      </c>
      <c r="G743" t="str">
        <f>HYPERLINK("http://babel.hathitrust.org/cgi/pt?id=uc1.b3514921")</f>
        <v>http://babel.hathitrust.org/cgi/pt?id=uc1.b3514921</v>
      </c>
      <c r="H743" t="str">
        <f>HYPERLINK("http://catalog.hathitrust.org/Record/001016536")</f>
        <v>http://catalog.hathitrust.org/Record/001016536</v>
      </c>
      <c r="I743" s="1" t="s">
        <v>19240</v>
      </c>
      <c r="J743" s="1">
        <v>1916</v>
      </c>
      <c r="K743" t="s">
        <v>19237</v>
      </c>
      <c r="L743" t="s">
        <v>19238</v>
      </c>
    </row>
    <row r="744" spans="1:12">
      <c r="A744" t="s">
        <v>19241</v>
      </c>
      <c r="B744" s="1" t="s">
        <v>19236</v>
      </c>
      <c r="F744">
        <v>1</v>
      </c>
      <c r="G744" t="str">
        <f>HYPERLINK("http://babel.hathitrust.org/cgi/pt?id=uc2.ark:/13960/t38056m8d")</f>
        <v>http://babel.hathitrust.org/cgi/pt?id=uc2.ark:/13960/t38056m8d</v>
      </c>
      <c r="H744" t="str">
        <f>HYPERLINK("http://catalog.hathitrust.org/Record/001016536")</f>
        <v>http://catalog.hathitrust.org/Record/001016536</v>
      </c>
      <c r="I744" s="1" t="s">
        <v>19240</v>
      </c>
      <c r="J744" s="1">
        <v>1916</v>
      </c>
      <c r="K744" t="s">
        <v>19237</v>
      </c>
      <c r="L744" t="s">
        <v>19238</v>
      </c>
    </row>
    <row r="745" spans="1:12">
      <c r="A745" t="s">
        <v>19242</v>
      </c>
      <c r="B745" s="1" t="s">
        <v>19243</v>
      </c>
      <c r="F745">
        <v>1</v>
      </c>
      <c r="G745" t="str">
        <f>HYPERLINK("http://babel.hathitrust.org/cgi/pt?id=mdp.39015000340854")</f>
        <v>http://babel.hathitrust.org/cgi/pt?id=mdp.39015000340854</v>
      </c>
      <c r="H745" t="str">
        <f>HYPERLINK("http://catalog.hathitrust.org/Record/001016546")</f>
        <v>http://catalog.hathitrust.org/Record/001016546</v>
      </c>
      <c r="J745" s="1">
        <v>1956</v>
      </c>
      <c r="K745" t="s">
        <v>19102</v>
      </c>
      <c r="L745" t="s">
        <v>19103</v>
      </c>
    </row>
    <row r="746" spans="1:12">
      <c r="A746" t="s">
        <v>19104</v>
      </c>
      <c r="B746" s="1" t="s">
        <v>19243</v>
      </c>
      <c r="F746">
        <v>1</v>
      </c>
      <c r="G746" t="str">
        <f>HYPERLINK("http://babel.hathitrust.org/cgi/pt?id=uc1.b3622870")</f>
        <v>http://babel.hathitrust.org/cgi/pt?id=uc1.b3622870</v>
      </c>
      <c r="H746" t="str">
        <f>HYPERLINK("http://catalog.hathitrust.org/Record/001016546")</f>
        <v>http://catalog.hathitrust.org/Record/001016546</v>
      </c>
      <c r="J746" s="1">
        <v>1956</v>
      </c>
      <c r="K746" t="s">
        <v>19102</v>
      </c>
      <c r="L746" t="s">
        <v>19103</v>
      </c>
    </row>
    <row r="747" spans="1:12">
      <c r="A747" t="s">
        <v>19105</v>
      </c>
      <c r="B747" s="1" t="s">
        <v>19106</v>
      </c>
      <c r="F747">
        <v>1</v>
      </c>
      <c r="G747" t="str">
        <f>HYPERLINK("http://babel.hathitrust.org/cgi/pt?id=mdp.39015030759255")</f>
        <v>http://babel.hathitrust.org/cgi/pt?id=mdp.39015030759255</v>
      </c>
      <c r="H747" t="str">
        <f>HYPERLINK("http://catalog.hathitrust.org/Record/001016560")</f>
        <v>http://catalog.hathitrust.org/Record/001016560</v>
      </c>
      <c r="J747" s="1">
        <v>1922</v>
      </c>
      <c r="K747" t="s">
        <v>19107</v>
      </c>
      <c r="L747" t="s">
        <v>19108</v>
      </c>
    </row>
    <row r="748" spans="1:12">
      <c r="A748" t="s">
        <v>19109</v>
      </c>
      <c r="B748" s="1" t="s">
        <v>19106</v>
      </c>
      <c r="F748">
        <v>1</v>
      </c>
      <c r="G748" t="str">
        <f>HYPERLINK("http://babel.hathitrust.org/cgi/pt?id=mdp.39015062406288")</f>
        <v>http://babel.hathitrust.org/cgi/pt?id=mdp.39015062406288</v>
      </c>
      <c r="H748" t="str">
        <f>HYPERLINK("http://catalog.hathitrust.org/Record/001016560")</f>
        <v>http://catalog.hathitrust.org/Record/001016560</v>
      </c>
      <c r="J748" s="1">
        <v>1922</v>
      </c>
      <c r="K748" t="s">
        <v>19107</v>
      </c>
      <c r="L748" t="s">
        <v>19108</v>
      </c>
    </row>
    <row r="749" spans="1:12">
      <c r="A749" t="s">
        <v>19110</v>
      </c>
      <c r="B749" s="1" t="s">
        <v>19106</v>
      </c>
      <c r="F749">
        <v>1</v>
      </c>
      <c r="G749" t="str">
        <f>HYPERLINK("http://babel.hathitrust.org/cgi/pt?id=uc1.b63430")</f>
        <v>http://babel.hathitrust.org/cgi/pt?id=uc1.b63430</v>
      </c>
      <c r="H749" t="str">
        <f>HYPERLINK("http://catalog.hathitrust.org/Record/001016560")</f>
        <v>http://catalog.hathitrust.org/Record/001016560</v>
      </c>
      <c r="J749" s="1">
        <v>1922</v>
      </c>
      <c r="K749" t="s">
        <v>19107</v>
      </c>
      <c r="L749" t="s">
        <v>19108</v>
      </c>
    </row>
    <row r="750" spans="1:12">
      <c r="A750" t="s">
        <v>19111</v>
      </c>
      <c r="B750" s="1" t="s">
        <v>19112</v>
      </c>
      <c r="F750">
        <v>1</v>
      </c>
      <c r="G750" t="str">
        <f>HYPERLINK("http://babel.hathitrust.org/cgi/pt?id=mdp.39015030766243")</f>
        <v>http://babel.hathitrust.org/cgi/pt?id=mdp.39015030766243</v>
      </c>
      <c r="H750" t="str">
        <f>HYPERLINK("http://catalog.hathitrust.org/Record/001016603")</f>
        <v>http://catalog.hathitrust.org/Record/001016603</v>
      </c>
      <c r="J750" s="1">
        <v>1914</v>
      </c>
      <c r="K750" t="s">
        <v>19113</v>
      </c>
      <c r="L750" t="s">
        <v>19114</v>
      </c>
    </row>
    <row r="751" spans="1:12">
      <c r="A751" t="s">
        <v>19115</v>
      </c>
      <c r="B751" s="1" t="s">
        <v>19116</v>
      </c>
      <c r="F751">
        <v>1</v>
      </c>
      <c r="G751" t="str">
        <f>HYPERLINK("http://babel.hathitrust.org/cgi/pt?id=mdp.39015015387064")</f>
        <v>http://babel.hathitrust.org/cgi/pt?id=mdp.39015015387064</v>
      </c>
      <c r="H751" t="str">
        <f>HYPERLINK("http://catalog.hathitrust.org/Record/001016604")</f>
        <v>http://catalog.hathitrust.org/Record/001016604</v>
      </c>
      <c r="J751" s="1">
        <v>1927</v>
      </c>
      <c r="K751" t="s">
        <v>19117</v>
      </c>
      <c r="L751" t="s">
        <v>19118</v>
      </c>
    </row>
    <row r="752" spans="1:12">
      <c r="A752" t="s">
        <v>19119</v>
      </c>
      <c r="B752" s="1" t="s">
        <v>19116</v>
      </c>
      <c r="F752">
        <v>1</v>
      </c>
      <c r="G752" t="str">
        <f>HYPERLINK("http://babel.hathitrust.org/cgi/pt?id=mdp.39015039657989")</f>
        <v>http://babel.hathitrust.org/cgi/pt?id=mdp.39015039657989</v>
      </c>
      <c r="H752" t="str">
        <f>HYPERLINK("http://catalog.hathitrust.org/Record/001016604")</f>
        <v>http://catalog.hathitrust.org/Record/001016604</v>
      </c>
      <c r="J752" s="1">
        <v>1927</v>
      </c>
      <c r="K752" t="s">
        <v>19117</v>
      </c>
      <c r="L752" t="s">
        <v>19118</v>
      </c>
    </row>
    <row r="753" spans="1:12">
      <c r="A753" t="s">
        <v>19120</v>
      </c>
      <c r="B753" s="1" t="s">
        <v>19121</v>
      </c>
      <c r="F753">
        <v>1</v>
      </c>
      <c r="G753" t="str">
        <f>HYPERLINK("http://babel.hathitrust.org/cgi/pt?id=loc.ark:/13960/t0qr5d85r")</f>
        <v>http://babel.hathitrust.org/cgi/pt?id=loc.ark:/13960/t0qr5d85r</v>
      </c>
      <c r="H753" t="str">
        <f>HYPERLINK("http://catalog.hathitrust.org/Record/001016606")</f>
        <v>http://catalog.hathitrust.org/Record/001016606</v>
      </c>
      <c r="J753" s="1">
        <v>1911</v>
      </c>
      <c r="K753" t="s">
        <v>19122</v>
      </c>
      <c r="L753" t="s">
        <v>19123</v>
      </c>
    </row>
    <row r="754" spans="1:12">
      <c r="A754" t="s">
        <v>19124</v>
      </c>
      <c r="B754" s="1" t="s">
        <v>19121</v>
      </c>
      <c r="F754">
        <v>1</v>
      </c>
      <c r="G754" t="str">
        <f>HYPERLINK("http://babel.hathitrust.org/cgi/pt?id=mdp.39015008903612")</f>
        <v>http://babel.hathitrust.org/cgi/pt?id=mdp.39015008903612</v>
      </c>
      <c r="H754" t="str">
        <f>HYPERLINK("http://catalog.hathitrust.org/Record/001016606")</f>
        <v>http://catalog.hathitrust.org/Record/001016606</v>
      </c>
      <c r="J754" s="1">
        <v>1911</v>
      </c>
      <c r="K754" t="s">
        <v>19122</v>
      </c>
      <c r="L754" t="s">
        <v>19123</v>
      </c>
    </row>
    <row r="755" spans="1:12">
      <c r="A755" t="s">
        <v>19125</v>
      </c>
      <c r="B755" s="1" t="s">
        <v>19121</v>
      </c>
      <c r="F755">
        <v>1</v>
      </c>
      <c r="G755" t="str">
        <f>HYPERLINK("http://babel.hathitrust.org/cgi/pt?id=mdp.39015030766433")</f>
        <v>http://babel.hathitrust.org/cgi/pt?id=mdp.39015030766433</v>
      </c>
      <c r="H755" t="str">
        <f>HYPERLINK("http://catalog.hathitrust.org/Record/001016606")</f>
        <v>http://catalog.hathitrust.org/Record/001016606</v>
      </c>
      <c r="J755" s="1">
        <v>1911</v>
      </c>
      <c r="K755" t="s">
        <v>19122</v>
      </c>
      <c r="L755" t="s">
        <v>19123</v>
      </c>
    </row>
    <row r="756" spans="1:12">
      <c r="A756" t="s">
        <v>19126</v>
      </c>
      <c r="B756" s="1" t="s">
        <v>19121</v>
      </c>
      <c r="F756">
        <v>1</v>
      </c>
      <c r="G756" t="str">
        <f>HYPERLINK("http://babel.hathitrust.org/cgi/pt?id=mdp.39015078721555")</f>
        <v>http://babel.hathitrust.org/cgi/pt?id=mdp.39015078721555</v>
      </c>
      <c r="H756" t="str">
        <f>HYPERLINK("http://catalog.hathitrust.org/Record/001016606")</f>
        <v>http://catalog.hathitrust.org/Record/001016606</v>
      </c>
      <c r="J756" s="1">
        <v>1911</v>
      </c>
      <c r="K756" t="s">
        <v>19122</v>
      </c>
      <c r="L756" t="s">
        <v>19123</v>
      </c>
    </row>
    <row r="757" spans="1:12">
      <c r="A757" t="s">
        <v>19127</v>
      </c>
      <c r="B757" s="1" t="s">
        <v>19121</v>
      </c>
      <c r="F757">
        <v>1</v>
      </c>
      <c r="G757" t="str">
        <f>HYPERLINK("http://babel.hathitrust.org/cgi/pt?id=uc2.ark:/13960/t8kd1tr12")</f>
        <v>http://babel.hathitrust.org/cgi/pt?id=uc2.ark:/13960/t8kd1tr12</v>
      </c>
      <c r="H757" t="str">
        <f>HYPERLINK("http://catalog.hathitrust.org/Record/001016606")</f>
        <v>http://catalog.hathitrust.org/Record/001016606</v>
      </c>
      <c r="J757" s="1">
        <v>1911</v>
      </c>
      <c r="K757" t="s">
        <v>19122</v>
      </c>
      <c r="L757" t="s">
        <v>19123</v>
      </c>
    </row>
    <row r="758" spans="1:12">
      <c r="A758" t="s">
        <v>19128</v>
      </c>
      <c r="B758" s="1" t="s">
        <v>19129</v>
      </c>
      <c r="F758">
        <v>1</v>
      </c>
      <c r="G758" t="str">
        <f>HYPERLINK("http://babel.hathitrust.org/cgi/pt?id=mdp.39015002331075")</f>
        <v>http://babel.hathitrust.org/cgi/pt?id=mdp.39015002331075</v>
      </c>
      <c r="H758" t="str">
        <f>HYPERLINK("http://catalog.hathitrust.org/Record/001016630")</f>
        <v>http://catalog.hathitrust.org/Record/001016630</v>
      </c>
      <c r="J758" s="1">
        <v>1951</v>
      </c>
      <c r="K758" t="s">
        <v>19130</v>
      </c>
      <c r="L758" t="s">
        <v>19131</v>
      </c>
    </row>
    <row r="759" spans="1:12">
      <c r="A759" t="s">
        <v>19132</v>
      </c>
      <c r="B759" s="1" t="s">
        <v>19133</v>
      </c>
      <c r="F759">
        <v>1</v>
      </c>
      <c r="G759" t="str">
        <f>HYPERLINK("http://babel.hathitrust.org/cgi/pt?id=mdp.39015014512175")</f>
        <v>http://babel.hathitrust.org/cgi/pt?id=mdp.39015014512175</v>
      </c>
      <c r="H759" t="str">
        <f>HYPERLINK("http://catalog.hathitrust.org/Record/001016637")</f>
        <v>http://catalog.hathitrust.org/Record/001016637</v>
      </c>
      <c r="J759" s="1">
        <v>1914</v>
      </c>
      <c r="K759" t="s">
        <v>19134</v>
      </c>
      <c r="L759" t="s">
        <v>19135</v>
      </c>
    </row>
    <row r="760" spans="1:12">
      <c r="A760" t="s">
        <v>19136</v>
      </c>
      <c r="B760" s="1" t="s">
        <v>19133</v>
      </c>
      <c r="F760">
        <v>1</v>
      </c>
      <c r="G760" t="str">
        <f>HYPERLINK("http://babel.hathitrust.org/cgi/pt?id=mdp.39015030766177")</f>
        <v>http://babel.hathitrust.org/cgi/pt?id=mdp.39015030766177</v>
      </c>
      <c r="H760" t="str">
        <f>HYPERLINK("http://catalog.hathitrust.org/Record/001016637")</f>
        <v>http://catalog.hathitrust.org/Record/001016637</v>
      </c>
      <c r="J760" s="1">
        <v>1914</v>
      </c>
      <c r="K760" t="s">
        <v>19134</v>
      </c>
      <c r="L760" t="s">
        <v>19135</v>
      </c>
    </row>
    <row r="761" spans="1:12">
      <c r="A761" t="s">
        <v>19137</v>
      </c>
      <c r="B761" s="1" t="s">
        <v>19138</v>
      </c>
      <c r="D761">
        <v>1</v>
      </c>
      <c r="G761" t="str">
        <f>HYPERLINK("http://babel.hathitrust.org/cgi/pt?id=mdp.39015005329126")</f>
        <v>http://babel.hathitrust.org/cgi/pt?id=mdp.39015005329126</v>
      </c>
      <c r="H761" t="str">
        <f t="shared" ref="H761:H775" si="16">HYPERLINK("http://catalog.hathitrust.org/Record/001016752")</f>
        <v>http://catalog.hathitrust.org/Record/001016752</v>
      </c>
      <c r="I761" s="1" t="s">
        <v>20755</v>
      </c>
      <c r="J761" s="1">
        <v>1904</v>
      </c>
      <c r="K761" t="s">
        <v>19139</v>
      </c>
      <c r="L761" t="s">
        <v>19140</v>
      </c>
    </row>
    <row r="762" spans="1:12">
      <c r="A762" t="s">
        <v>19141</v>
      </c>
      <c r="B762" s="1" t="s">
        <v>19138</v>
      </c>
      <c r="D762">
        <v>1</v>
      </c>
      <c r="G762" t="str">
        <f>HYPERLINK("http://babel.hathitrust.org/cgi/pt?id=mdp.39015012981141")</f>
        <v>http://babel.hathitrust.org/cgi/pt?id=mdp.39015012981141</v>
      </c>
      <c r="H762" t="str">
        <f t="shared" si="16"/>
        <v>http://catalog.hathitrust.org/Record/001016752</v>
      </c>
      <c r="I762" s="1" t="s">
        <v>20916</v>
      </c>
      <c r="J762" s="1">
        <v>1904</v>
      </c>
      <c r="K762" t="s">
        <v>19139</v>
      </c>
      <c r="L762" t="s">
        <v>19140</v>
      </c>
    </row>
    <row r="763" spans="1:12">
      <c r="A763" t="s">
        <v>19142</v>
      </c>
      <c r="B763" s="1" t="s">
        <v>19138</v>
      </c>
      <c r="F763">
        <v>1</v>
      </c>
      <c r="G763" t="str">
        <f>HYPERLINK("http://babel.hathitrust.org/cgi/pt?id=mdp.39015018638976")</f>
        <v>http://babel.hathitrust.org/cgi/pt?id=mdp.39015018638976</v>
      </c>
      <c r="H763" t="str">
        <f t="shared" si="16"/>
        <v>http://catalog.hathitrust.org/Record/001016752</v>
      </c>
      <c r="I763" s="1" t="s">
        <v>20916</v>
      </c>
      <c r="J763" s="1">
        <v>1904</v>
      </c>
      <c r="K763" t="s">
        <v>19139</v>
      </c>
      <c r="L763" t="s">
        <v>19140</v>
      </c>
    </row>
    <row r="764" spans="1:12">
      <c r="A764" t="s">
        <v>19143</v>
      </c>
      <c r="B764" s="1" t="s">
        <v>19138</v>
      </c>
      <c r="F764">
        <v>1</v>
      </c>
      <c r="G764" t="str">
        <f>HYPERLINK("http://babel.hathitrust.org/cgi/pt?id=mdp.39015065731344")</f>
        <v>http://babel.hathitrust.org/cgi/pt?id=mdp.39015065731344</v>
      </c>
      <c r="H764" t="str">
        <f t="shared" si="16"/>
        <v>http://catalog.hathitrust.org/Record/001016752</v>
      </c>
      <c r="I764" s="1" t="s">
        <v>20916</v>
      </c>
      <c r="J764" s="1">
        <v>1904</v>
      </c>
      <c r="K764" t="s">
        <v>19139</v>
      </c>
      <c r="L764" t="s">
        <v>19140</v>
      </c>
    </row>
    <row r="765" spans="1:12">
      <c r="A765" t="s">
        <v>19144</v>
      </c>
      <c r="B765" s="1" t="s">
        <v>19138</v>
      </c>
      <c r="F765">
        <v>1</v>
      </c>
      <c r="G765" t="str">
        <f>HYPERLINK("http://babel.hathitrust.org/cgi/pt?id=mdp.39015065731351")</f>
        <v>http://babel.hathitrust.org/cgi/pt?id=mdp.39015065731351</v>
      </c>
      <c r="H765" t="str">
        <f t="shared" si="16"/>
        <v>http://catalog.hathitrust.org/Record/001016752</v>
      </c>
      <c r="I765" s="1" t="s">
        <v>20755</v>
      </c>
      <c r="J765" s="1">
        <v>1904</v>
      </c>
      <c r="K765" t="s">
        <v>19139</v>
      </c>
      <c r="L765" t="s">
        <v>19140</v>
      </c>
    </row>
    <row r="766" spans="1:12">
      <c r="A766" t="s">
        <v>19145</v>
      </c>
      <c r="B766" s="1" t="s">
        <v>19138</v>
      </c>
      <c r="F766">
        <v>1</v>
      </c>
      <c r="G766" t="str">
        <f>HYPERLINK("http://babel.hathitrust.org/cgi/pt?id=mdp.39015066079594")</f>
        <v>http://babel.hathitrust.org/cgi/pt?id=mdp.39015066079594</v>
      </c>
      <c r="H766" t="str">
        <f t="shared" si="16"/>
        <v>http://catalog.hathitrust.org/Record/001016752</v>
      </c>
      <c r="I766" s="1" t="s">
        <v>20916</v>
      </c>
      <c r="J766" s="1">
        <v>1904</v>
      </c>
      <c r="K766" t="s">
        <v>19139</v>
      </c>
      <c r="L766" t="s">
        <v>19140</v>
      </c>
    </row>
    <row r="767" spans="1:12">
      <c r="A767" t="s">
        <v>19146</v>
      </c>
      <c r="B767" s="1" t="s">
        <v>19138</v>
      </c>
      <c r="F767">
        <v>1</v>
      </c>
      <c r="G767" t="str">
        <f>HYPERLINK("http://babel.hathitrust.org/cgi/pt?id=mdp.39015066080972")</f>
        <v>http://babel.hathitrust.org/cgi/pt?id=mdp.39015066080972</v>
      </c>
      <c r="H767" t="str">
        <f t="shared" si="16"/>
        <v>http://catalog.hathitrust.org/Record/001016752</v>
      </c>
      <c r="I767" s="1" t="s">
        <v>20916</v>
      </c>
      <c r="J767" s="1">
        <v>1904</v>
      </c>
      <c r="K767" t="s">
        <v>19139</v>
      </c>
      <c r="L767" t="s">
        <v>19140</v>
      </c>
    </row>
    <row r="768" spans="1:12">
      <c r="A768" t="s">
        <v>19147</v>
      </c>
      <c r="B768" s="1" t="s">
        <v>19138</v>
      </c>
      <c r="F768">
        <v>1</v>
      </c>
      <c r="G768" t="str">
        <f>HYPERLINK("http://babel.hathitrust.org/cgi/pt?id=mdp.39015066081491")</f>
        <v>http://babel.hathitrust.org/cgi/pt?id=mdp.39015066081491</v>
      </c>
      <c r="H768" t="str">
        <f t="shared" si="16"/>
        <v>http://catalog.hathitrust.org/Record/001016752</v>
      </c>
      <c r="I768" s="1" t="s">
        <v>20755</v>
      </c>
      <c r="J768" s="1">
        <v>1904</v>
      </c>
      <c r="K768" t="s">
        <v>19139</v>
      </c>
      <c r="L768" t="s">
        <v>19140</v>
      </c>
    </row>
    <row r="769" spans="1:12">
      <c r="A769" t="s">
        <v>19148</v>
      </c>
      <c r="B769" s="1" t="s">
        <v>19138</v>
      </c>
      <c r="F769">
        <v>1</v>
      </c>
      <c r="G769" t="str">
        <f>HYPERLINK("http://babel.hathitrust.org/cgi/pt?id=mdp.39015066083570")</f>
        <v>http://babel.hathitrust.org/cgi/pt?id=mdp.39015066083570</v>
      </c>
      <c r="H769" t="str">
        <f t="shared" si="16"/>
        <v>http://catalog.hathitrust.org/Record/001016752</v>
      </c>
      <c r="I769" s="1" t="s">
        <v>20755</v>
      </c>
      <c r="J769" s="1">
        <v>1904</v>
      </c>
      <c r="K769" t="s">
        <v>19139</v>
      </c>
      <c r="L769" t="s">
        <v>19140</v>
      </c>
    </row>
    <row r="770" spans="1:12">
      <c r="A770" t="s">
        <v>19149</v>
      </c>
      <c r="B770" s="1" t="s">
        <v>19138</v>
      </c>
      <c r="F770">
        <v>1</v>
      </c>
      <c r="G770" t="str">
        <f>HYPERLINK("http://babel.hathitrust.org/cgi/pt?id=miun.aeh6153.0001.001")</f>
        <v>http://babel.hathitrust.org/cgi/pt?id=miun.aeh6153.0001.001</v>
      </c>
      <c r="H770" t="str">
        <f t="shared" si="16"/>
        <v>http://catalog.hathitrust.org/Record/001016752</v>
      </c>
      <c r="I770" s="1">
        <v>1.0009999999999999</v>
      </c>
      <c r="J770" s="1">
        <v>1904</v>
      </c>
      <c r="K770" t="s">
        <v>19139</v>
      </c>
      <c r="L770" t="s">
        <v>19140</v>
      </c>
    </row>
    <row r="771" spans="1:12">
      <c r="A771" t="s">
        <v>19150</v>
      </c>
      <c r="B771" s="1" t="s">
        <v>19138</v>
      </c>
      <c r="F771">
        <v>1</v>
      </c>
      <c r="G771" t="str">
        <f>HYPERLINK("http://babel.hathitrust.org/cgi/pt?id=miun.aeh6153.0002.001")</f>
        <v>http://babel.hathitrust.org/cgi/pt?id=miun.aeh6153.0002.001</v>
      </c>
      <c r="H771" t="str">
        <f t="shared" si="16"/>
        <v>http://catalog.hathitrust.org/Record/001016752</v>
      </c>
      <c r="I771" s="1">
        <v>2.0009999999999999</v>
      </c>
      <c r="J771" s="1">
        <v>1904</v>
      </c>
      <c r="K771" t="s">
        <v>19139</v>
      </c>
      <c r="L771" t="s">
        <v>19140</v>
      </c>
    </row>
    <row r="772" spans="1:12">
      <c r="A772" t="s">
        <v>19151</v>
      </c>
      <c r="B772" s="1" t="s">
        <v>19138</v>
      </c>
      <c r="F772">
        <v>1</v>
      </c>
      <c r="G772" t="str">
        <f>HYPERLINK("http://babel.hathitrust.org/cgi/pt?id=uc1.31158001207272")</f>
        <v>http://babel.hathitrust.org/cgi/pt?id=uc1.31158001207272</v>
      </c>
      <c r="H772" t="str">
        <f t="shared" si="16"/>
        <v>http://catalog.hathitrust.org/Record/001016752</v>
      </c>
      <c r="I772" s="1" t="s">
        <v>20916</v>
      </c>
      <c r="J772" s="1">
        <v>1904</v>
      </c>
      <c r="K772" t="s">
        <v>19139</v>
      </c>
      <c r="L772" t="s">
        <v>19140</v>
      </c>
    </row>
    <row r="773" spans="1:12">
      <c r="A773" t="s">
        <v>19152</v>
      </c>
      <c r="B773" s="1" t="s">
        <v>19138</v>
      </c>
      <c r="F773">
        <v>1</v>
      </c>
      <c r="G773" t="str">
        <f>HYPERLINK("http://babel.hathitrust.org/cgi/pt?id=uc1.31158001242733")</f>
        <v>http://babel.hathitrust.org/cgi/pt?id=uc1.31158001242733</v>
      </c>
      <c r="H773" t="str">
        <f t="shared" si="16"/>
        <v>http://catalog.hathitrust.org/Record/001016752</v>
      </c>
      <c r="I773" s="1" t="s">
        <v>20755</v>
      </c>
      <c r="J773" s="1">
        <v>1904</v>
      </c>
      <c r="K773" t="s">
        <v>19139</v>
      </c>
      <c r="L773" t="s">
        <v>19140</v>
      </c>
    </row>
    <row r="774" spans="1:12">
      <c r="A774" t="s">
        <v>19153</v>
      </c>
      <c r="B774" s="1" t="s">
        <v>19138</v>
      </c>
      <c r="F774">
        <v>1</v>
      </c>
      <c r="G774" t="str">
        <f>HYPERLINK("http://babel.hathitrust.org/cgi/pt?id=uc1.31158008264904")</f>
        <v>http://babel.hathitrust.org/cgi/pt?id=uc1.31158008264904</v>
      </c>
      <c r="H774" t="str">
        <f t="shared" si="16"/>
        <v>http://catalog.hathitrust.org/Record/001016752</v>
      </c>
      <c r="I774" s="1" t="s">
        <v>20755</v>
      </c>
      <c r="J774" s="1">
        <v>1904</v>
      </c>
      <c r="K774" t="s">
        <v>19139</v>
      </c>
      <c r="L774" t="s">
        <v>19140</v>
      </c>
    </row>
    <row r="775" spans="1:12">
      <c r="A775" t="s">
        <v>19154</v>
      </c>
      <c r="B775" s="1" t="s">
        <v>19138</v>
      </c>
      <c r="F775">
        <v>1</v>
      </c>
      <c r="G775" t="str">
        <f>HYPERLINK("http://babel.hathitrust.org/cgi/pt?id=uc1.31158010812328")</f>
        <v>http://babel.hathitrust.org/cgi/pt?id=uc1.31158010812328</v>
      </c>
      <c r="H775" t="str">
        <f t="shared" si="16"/>
        <v>http://catalog.hathitrust.org/Record/001016752</v>
      </c>
      <c r="I775" s="1" t="s">
        <v>20916</v>
      </c>
      <c r="J775" s="1">
        <v>1904</v>
      </c>
      <c r="K775" t="s">
        <v>19139</v>
      </c>
      <c r="L775" t="s">
        <v>19140</v>
      </c>
    </row>
    <row r="776" spans="1:12">
      <c r="A776" t="s">
        <v>19155</v>
      </c>
      <c r="B776" s="1" t="s">
        <v>19156</v>
      </c>
      <c r="F776">
        <v>1</v>
      </c>
      <c r="G776" t="str">
        <f>HYPERLINK("http://babel.hathitrust.org/cgi/pt?id=mdp.39015030759891")</f>
        <v>http://babel.hathitrust.org/cgi/pt?id=mdp.39015030759891</v>
      </c>
      <c r="H776" t="str">
        <f>HYPERLINK("http://catalog.hathitrust.org/Record/001016783")</f>
        <v>http://catalog.hathitrust.org/Record/001016783</v>
      </c>
      <c r="J776" s="1">
        <v>1915</v>
      </c>
      <c r="K776" t="s">
        <v>19157</v>
      </c>
    </row>
    <row r="777" spans="1:12">
      <c r="A777" t="s">
        <v>19158</v>
      </c>
      <c r="B777" s="1" t="s">
        <v>19156</v>
      </c>
      <c r="F777">
        <v>1</v>
      </c>
      <c r="G777" t="str">
        <f>HYPERLINK("http://babel.hathitrust.org/cgi/pt?id=mdp.39015066588289")</f>
        <v>http://babel.hathitrust.org/cgi/pt?id=mdp.39015066588289</v>
      </c>
      <c r="H777" t="str">
        <f>HYPERLINK("http://catalog.hathitrust.org/Record/001016783")</f>
        <v>http://catalog.hathitrust.org/Record/001016783</v>
      </c>
      <c r="J777" s="1">
        <v>1915</v>
      </c>
      <c r="K777" t="s">
        <v>19157</v>
      </c>
    </row>
    <row r="778" spans="1:12">
      <c r="A778" t="s">
        <v>19159</v>
      </c>
      <c r="B778" s="1" t="s">
        <v>19156</v>
      </c>
      <c r="F778">
        <v>1</v>
      </c>
      <c r="G778" t="str">
        <f>HYPERLINK("http://babel.hathitrust.org/cgi/pt?id=uc1.b3547175")</f>
        <v>http://babel.hathitrust.org/cgi/pt?id=uc1.b3547175</v>
      </c>
      <c r="H778" t="str">
        <f>HYPERLINK("http://catalog.hathitrust.org/Record/001016783")</f>
        <v>http://catalog.hathitrust.org/Record/001016783</v>
      </c>
      <c r="J778" s="1">
        <v>1915</v>
      </c>
      <c r="K778" t="s">
        <v>19157</v>
      </c>
    </row>
    <row r="779" spans="1:12">
      <c r="A779" t="s">
        <v>19160</v>
      </c>
      <c r="B779" s="1" t="s">
        <v>19161</v>
      </c>
      <c r="E779">
        <v>1</v>
      </c>
      <c r="G779" t="str">
        <f>HYPERLINK("http://babel.hathitrust.org/cgi/pt?id=hvd.hn6dil")</f>
        <v>http://babel.hathitrust.org/cgi/pt?id=hvd.hn6dil</v>
      </c>
      <c r="H779" t="str">
        <f t="shared" ref="H779:H799" si="17">HYPERLINK("http://catalog.hathitrust.org/Record/001016838")</f>
        <v>http://catalog.hathitrust.org/Record/001016838</v>
      </c>
      <c r="I779" s="1" t="s">
        <v>19163</v>
      </c>
      <c r="J779" s="1">
        <v>1810</v>
      </c>
      <c r="K779" t="s">
        <v>19162</v>
      </c>
    </row>
    <row r="780" spans="1:12">
      <c r="A780" t="s">
        <v>19164</v>
      </c>
      <c r="B780" s="1" t="s">
        <v>19161</v>
      </c>
      <c r="E780">
        <v>1</v>
      </c>
      <c r="G780" t="str">
        <f>HYPERLINK("http://babel.hathitrust.org/cgi/pt?id=hvd.hn6dim")</f>
        <v>http://babel.hathitrust.org/cgi/pt?id=hvd.hn6dim</v>
      </c>
      <c r="H780" t="str">
        <f t="shared" si="17"/>
        <v>http://catalog.hathitrust.org/Record/001016838</v>
      </c>
      <c r="I780" s="1" t="s">
        <v>19165</v>
      </c>
      <c r="J780" s="1">
        <v>1810</v>
      </c>
      <c r="K780" t="s">
        <v>19162</v>
      </c>
    </row>
    <row r="781" spans="1:12">
      <c r="A781" t="s">
        <v>19166</v>
      </c>
      <c r="B781" s="1" t="s">
        <v>19161</v>
      </c>
      <c r="E781">
        <v>1</v>
      </c>
      <c r="G781" t="str">
        <f>HYPERLINK("http://babel.hathitrust.org/cgi/pt?id=hvd.hwjrvt")</f>
        <v>http://babel.hathitrust.org/cgi/pt?id=hvd.hwjrvt</v>
      </c>
      <c r="H781" t="str">
        <f t="shared" si="17"/>
        <v>http://catalog.hathitrust.org/Record/001016838</v>
      </c>
      <c r="I781" s="1" t="s">
        <v>19167</v>
      </c>
      <c r="J781" s="1">
        <v>1810</v>
      </c>
      <c r="K781" t="s">
        <v>19162</v>
      </c>
    </row>
    <row r="782" spans="1:12">
      <c r="A782" t="s">
        <v>19168</v>
      </c>
      <c r="B782" s="1" t="s">
        <v>19161</v>
      </c>
      <c r="E782">
        <v>1</v>
      </c>
      <c r="G782" t="str">
        <f>HYPERLINK("http://babel.hathitrust.org/cgi/pt?id=hvd.hwjrwi")</f>
        <v>http://babel.hathitrust.org/cgi/pt?id=hvd.hwjrwi</v>
      </c>
      <c r="H782" t="str">
        <f t="shared" si="17"/>
        <v>http://catalog.hathitrust.org/Record/001016838</v>
      </c>
      <c r="I782" s="1" t="s">
        <v>19169</v>
      </c>
      <c r="J782" s="1">
        <v>1810</v>
      </c>
      <c r="K782" t="s">
        <v>19162</v>
      </c>
    </row>
    <row r="783" spans="1:12">
      <c r="A783" t="s">
        <v>19170</v>
      </c>
      <c r="B783" s="1" t="s">
        <v>19161</v>
      </c>
      <c r="E783">
        <v>1</v>
      </c>
      <c r="G783" t="str">
        <f>HYPERLINK("http://babel.hathitrust.org/cgi/pt?id=mdp.39015018054372")</f>
        <v>http://babel.hathitrust.org/cgi/pt?id=mdp.39015018054372</v>
      </c>
      <c r="H783" t="str">
        <f t="shared" si="17"/>
        <v>http://catalog.hathitrust.org/Record/001016838</v>
      </c>
      <c r="I783" s="1" t="s">
        <v>19171</v>
      </c>
      <c r="J783" s="1">
        <v>1810</v>
      </c>
      <c r="K783" t="s">
        <v>19162</v>
      </c>
    </row>
    <row r="784" spans="1:12">
      <c r="A784" t="s">
        <v>19172</v>
      </c>
      <c r="B784" s="1" t="s">
        <v>19161</v>
      </c>
      <c r="E784">
        <v>1</v>
      </c>
      <c r="G784" t="str">
        <f>HYPERLINK("http://babel.hathitrust.org/cgi/pt?id=nyp.33433076036866")</f>
        <v>http://babel.hathitrust.org/cgi/pt?id=nyp.33433076036866</v>
      </c>
      <c r="H784" t="str">
        <f t="shared" si="17"/>
        <v>http://catalog.hathitrust.org/Record/001016838</v>
      </c>
      <c r="I784" s="1" t="s">
        <v>20796</v>
      </c>
      <c r="J784" s="1">
        <v>1810</v>
      </c>
      <c r="K784" t="s">
        <v>19162</v>
      </c>
    </row>
    <row r="785" spans="1:12">
      <c r="A785" t="s">
        <v>19173</v>
      </c>
      <c r="B785" s="1" t="s">
        <v>19161</v>
      </c>
      <c r="E785">
        <v>1</v>
      </c>
      <c r="G785" t="str">
        <f>HYPERLINK("http://babel.hathitrust.org/cgi/pt?id=nyp.33433076043516")</f>
        <v>http://babel.hathitrust.org/cgi/pt?id=nyp.33433076043516</v>
      </c>
      <c r="H785" t="str">
        <f t="shared" si="17"/>
        <v>http://catalog.hathitrust.org/Record/001016838</v>
      </c>
      <c r="I785" s="1" t="s">
        <v>20799</v>
      </c>
      <c r="J785" s="1">
        <v>1810</v>
      </c>
      <c r="K785" t="s">
        <v>19162</v>
      </c>
    </row>
    <row r="786" spans="1:12">
      <c r="A786" t="s">
        <v>19035</v>
      </c>
      <c r="B786" s="1" t="s">
        <v>19161</v>
      </c>
      <c r="E786">
        <v>1</v>
      </c>
      <c r="G786" t="str">
        <f>HYPERLINK("http://babel.hathitrust.org/cgi/pt?id=nyp.33433076043524")</f>
        <v>http://babel.hathitrust.org/cgi/pt?id=nyp.33433076043524</v>
      </c>
      <c r="H786" t="str">
        <f t="shared" si="17"/>
        <v>http://catalog.hathitrust.org/Record/001016838</v>
      </c>
      <c r="I786" s="1" t="s">
        <v>20801</v>
      </c>
      <c r="J786" s="1">
        <v>1810</v>
      </c>
      <c r="K786" t="s">
        <v>19162</v>
      </c>
    </row>
    <row r="787" spans="1:12">
      <c r="A787" t="s">
        <v>19036</v>
      </c>
      <c r="B787" s="1" t="s">
        <v>19161</v>
      </c>
      <c r="E787">
        <v>1</v>
      </c>
      <c r="G787" t="str">
        <f>HYPERLINK("http://babel.hathitrust.org/cgi/pt?id=nyp.33433076043532")</f>
        <v>http://babel.hathitrust.org/cgi/pt?id=nyp.33433076043532</v>
      </c>
      <c r="H787" t="str">
        <f t="shared" si="17"/>
        <v>http://catalog.hathitrust.org/Record/001016838</v>
      </c>
      <c r="I787" s="1" t="s">
        <v>20803</v>
      </c>
      <c r="J787" s="1">
        <v>1810</v>
      </c>
      <c r="K787" t="s">
        <v>19162</v>
      </c>
    </row>
    <row r="788" spans="1:12">
      <c r="A788" t="s">
        <v>19037</v>
      </c>
      <c r="B788" s="1" t="s">
        <v>19161</v>
      </c>
      <c r="E788">
        <v>1</v>
      </c>
      <c r="G788" t="str">
        <f>HYPERLINK("http://babel.hathitrust.org/cgi/pt?id=nyp.33433076043540")</f>
        <v>http://babel.hathitrust.org/cgi/pt?id=nyp.33433076043540</v>
      </c>
      <c r="H788" t="str">
        <f t="shared" si="17"/>
        <v>http://catalog.hathitrust.org/Record/001016838</v>
      </c>
      <c r="I788" s="1" t="s">
        <v>19038</v>
      </c>
      <c r="J788" s="1">
        <v>1810</v>
      </c>
      <c r="K788" t="s">
        <v>19162</v>
      </c>
    </row>
    <row r="789" spans="1:12">
      <c r="A789" t="s">
        <v>19039</v>
      </c>
      <c r="B789" s="1" t="s">
        <v>19161</v>
      </c>
      <c r="E789">
        <v>1</v>
      </c>
      <c r="G789" t="str">
        <f>HYPERLINK("http://babel.hathitrust.org/cgi/pt?id=nyp.33433076043557")</f>
        <v>http://babel.hathitrust.org/cgi/pt?id=nyp.33433076043557</v>
      </c>
      <c r="H789" t="str">
        <f t="shared" si="17"/>
        <v>http://catalog.hathitrust.org/Record/001016838</v>
      </c>
      <c r="I789" s="1" t="s">
        <v>19040</v>
      </c>
      <c r="J789" s="1">
        <v>1810</v>
      </c>
      <c r="K789" t="s">
        <v>19162</v>
      </c>
    </row>
    <row r="790" spans="1:12">
      <c r="A790" t="s">
        <v>19041</v>
      </c>
      <c r="B790" s="1" t="s">
        <v>19161</v>
      </c>
      <c r="E790">
        <v>1</v>
      </c>
      <c r="G790" t="str">
        <f>HYPERLINK("http://babel.hathitrust.org/cgi/pt?id=nyp.33433076043565")</f>
        <v>http://babel.hathitrust.org/cgi/pt?id=nyp.33433076043565</v>
      </c>
      <c r="H790" t="str">
        <f t="shared" si="17"/>
        <v>http://catalog.hathitrust.org/Record/001016838</v>
      </c>
      <c r="I790" s="1" t="s">
        <v>19042</v>
      </c>
      <c r="J790" s="1">
        <v>1810</v>
      </c>
      <c r="K790" t="s">
        <v>19162</v>
      </c>
    </row>
    <row r="791" spans="1:12">
      <c r="A791" t="s">
        <v>19043</v>
      </c>
      <c r="B791" s="1" t="s">
        <v>19161</v>
      </c>
      <c r="E791">
        <v>1</v>
      </c>
      <c r="G791" t="str">
        <f>HYPERLINK("http://babel.hathitrust.org/cgi/pt?id=nyp.33433076043573")</f>
        <v>http://babel.hathitrust.org/cgi/pt?id=nyp.33433076043573</v>
      </c>
      <c r="H791" t="str">
        <f t="shared" si="17"/>
        <v>http://catalog.hathitrust.org/Record/001016838</v>
      </c>
      <c r="I791" s="1" t="s">
        <v>19044</v>
      </c>
      <c r="J791" s="1">
        <v>1810</v>
      </c>
      <c r="K791" t="s">
        <v>19162</v>
      </c>
    </row>
    <row r="792" spans="1:12">
      <c r="A792" t="s">
        <v>19045</v>
      </c>
      <c r="B792" s="1" t="s">
        <v>19161</v>
      </c>
      <c r="E792">
        <v>1</v>
      </c>
      <c r="G792" t="str">
        <f>HYPERLINK("http://babel.hathitrust.org/cgi/pt?id=nyp.33433076043581")</f>
        <v>http://babel.hathitrust.org/cgi/pt?id=nyp.33433076043581</v>
      </c>
      <c r="H792" t="str">
        <f t="shared" si="17"/>
        <v>http://catalog.hathitrust.org/Record/001016838</v>
      </c>
      <c r="I792" s="1" t="s">
        <v>19046</v>
      </c>
      <c r="J792" s="1">
        <v>1810</v>
      </c>
      <c r="K792" t="s">
        <v>19162</v>
      </c>
    </row>
    <row r="793" spans="1:12">
      <c r="A793" t="s">
        <v>19047</v>
      </c>
      <c r="B793" s="1" t="s">
        <v>19161</v>
      </c>
      <c r="E793">
        <v>1</v>
      </c>
      <c r="G793" t="str">
        <f>HYPERLINK("http://babel.hathitrust.org/cgi/pt?id=nyp.33433076043599")</f>
        <v>http://babel.hathitrust.org/cgi/pt?id=nyp.33433076043599</v>
      </c>
      <c r="H793" t="str">
        <f t="shared" si="17"/>
        <v>http://catalog.hathitrust.org/Record/001016838</v>
      </c>
      <c r="I793" s="1" t="s">
        <v>19048</v>
      </c>
      <c r="J793" s="1">
        <v>1810</v>
      </c>
      <c r="K793" t="s">
        <v>19162</v>
      </c>
    </row>
    <row r="794" spans="1:12">
      <c r="A794" t="s">
        <v>19049</v>
      </c>
      <c r="B794" s="1" t="s">
        <v>19161</v>
      </c>
      <c r="E794">
        <v>1</v>
      </c>
      <c r="G794" t="str">
        <f>HYPERLINK("http://babel.hathitrust.org/cgi/pt?id=nyp.33433076043607")</f>
        <v>http://babel.hathitrust.org/cgi/pt?id=nyp.33433076043607</v>
      </c>
      <c r="H794" t="str">
        <f t="shared" si="17"/>
        <v>http://catalog.hathitrust.org/Record/001016838</v>
      </c>
      <c r="I794" s="1" t="s">
        <v>19050</v>
      </c>
      <c r="J794" s="1">
        <v>1810</v>
      </c>
      <c r="K794" t="s">
        <v>19162</v>
      </c>
    </row>
    <row r="795" spans="1:12">
      <c r="A795" t="s">
        <v>19051</v>
      </c>
      <c r="B795" s="1" t="s">
        <v>19161</v>
      </c>
      <c r="E795">
        <v>1</v>
      </c>
      <c r="G795" t="str">
        <f>HYPERLINK("http://babel.hathitrust.org/cgi/pt?id=nyp.33433076043615")</f>
        <v>http://babel.hathitrust.org/cgi/pt?id=nyp.33433076043615</v>
      </c>
      <c r="H795" t="str">
        <f t="shared" si="17"/>
        <v>http://catalog.hathitrust.org/Record/001016838</v>
      </c>
      <c r="I795" s="1" t="s">
        <v>19052</v>
      </c>
      <c r="J795" s="1">
        <v>1810</v>
      </c>
      <c r="K795" t="s">
        <v>19162</v>
      </c>
    </row>
    <row r="796" spans="1:12">
      <c r="A796" t="s">
        <v>19053</v>
      </c>
      <c r="B796" s="1" t="s">
        <v>19161</v>
      </c>
      <c r="E796">
        <v>1</v>
      </c>
      <c r="G796" t="str">
        <f>HYPERLINK("http://babel.hathitrust.org/cgi/pt?id=nyp.33433076043623")</f>
        <v>http://babel.hathitrust.org/cgi/pt?id=nyp.33433076043623</v>
      </c>
      <c r="H796" t="str">
        <f t="shared" si="17"/>
        <v>http://catalog.hathitrust.org/Record/001016838</v>
      </c>
      <c r="I796" s="1" t="s">
        <v>19054</v>
      </c>
      <c r="J796" s="1">
        <v>1810</v>
      </c>
      <c r="K796" t="s">
        <v>19162</v>
      </c>
    </row>
    <row r="797" spans="1:12">
      <c r="A797" t="s">
        <v>19055</v>
      </c>
      <c r="B797" s="1" t="s">
        <v>19161</v>
      </c>
      <c r="E797">
        <v>1</v>
      </c>
      <c r="G797" t="str">
        <f>HYPERLINK("http://babel.hathitrust.org/cgi/pt?id=nyp.33433076043631")</f>
        <v>http://babel.hathitrust.org/cgi/pt?id=nyp.33433076043631</v>
      </c>
      <c r="H797" t="str">
        <f t="shared" si="17"/>
        <v>http://catalog.hathitrust.org/Record/001016838</v>
      </c>
      <c r="I797" s="1" t="s">
        <v>19056</v>
      </c>
      <c r="J797" s="1">
        <v>1810</v>
      </c>
      <c r="K797" t="s">
        <v>19162</v>
      </c>
    </row>
    <row r="798" spans="1:12">
      <c r="A798" t="s">
        <v>19057</v>
      </c>
      <c r="B798" s="1" t="s">
        <v>19161</v>
      </c>
      <c r="E798">
        <v>1</v>
      </c>
      <c r="G798" t="str">
        <f>HYPERLINK("http://babel.hathitrust.org/cgi/pt?id=nyp.33433076043649")</f>
        <v>http://babel.hathitrust.org/cgi/pt?id=nyp.33433076043649</v>
      </c>
      <c r="H798" t="str">
        <f t="shared" si="17"/>
        <v>http://catalog.hathitrust.org/Record/001016838</v>
      </c>
      <c r="I798" s="1" t="s">
        <v>19058</v>
      </c>
      <c r="J798" s="1">
        <v>1810</v>
      </c>
      <c r="K798" t="s">
        <v>19162</v>
      </c>
    </row>
    <row r="799" spans="1:12">
      <c r="A799" t="s">
        <v>19059</v>
      </c>
      <c r="B799" s="1" t="s">
        <v>19161</v>
      </c>
      <c r="E799">
        <v>1</v>
      </c>
      <c r="G799" t="str">
        <f>HYPERLINK("http://babel.hathitrust.org/cgi/pt?id=nyp.33433076043656")</f>
        <v>http://babel.hathitrust.org/cgi/pt?id=nyp.33433076043656</v>
      </c>
      <c r="H799" t="str">
        <f t="shared" si="17"/>
        <v>http://catalog.hathitrust.org/Record/001016838</v>
      </c>
      <c r="I799" s="1" t="s">
        <v>19060</v>
      </c>
      <c r="J799" s="1">
        <v>1810</v>
      </c>
      <c r="K799" t="s">
        <v>19162</v>
      </c>
    </row>
    <row r="800" spans="1:12">
      <c r="A800" t="s">
        <v>19061</v>
      </c>
      <c r="B800" s="1" t="s">
        <v>19062</v>
      </c>
      <c r="E800">
        <v>1</v>
      </c>
      <c r="G800" t="str">
        <f>HYPERLINK("http://babel.hathitrust.org/cgi/pt?id=nyp.33433074834551")</f>
        <v>http://babel.hathitrust.org/cgi/pt?id=nyp.33433074834551</v>
      </c>
      <c r="H800" t="str">
        <f>HYPERLINK("http://catalog.hathitrust.org/Record/001016962")</f>
        <v>http://catalog.hathitrust.org/Record/001016962</v>
      </c>
      <c r="I800" s="1" t="s">
        <v>20796</v>
      </c>
      <c r="J800" s="1">
        <v>1807</v>
      </c>
      <c r="K800" t="s">
        <v>19063</v>
      </c>
      <c r="L800" t="s">
        <v>19064</v>
      </c>
    </row>
    <row r="801" spans="1:12">
      <c r="A801" t="s">
        <v>19065</v>
      </c>
      <c r="B801" s="1" t="s">
        <v>19062</v>
      </c>
      <c r="E801">
        <v>1</v>
      </c>
      <c r="G801" t="str">
        <f>HYPERLINK("http://babel.hathitrust.org/cgi/pt?id=nyp.33433074834569")</f>
        <v>http://babel.hathitrust.org/cgi/pt?id=nyp.33433074834569</v>
      </c>
      <c r="H801" t="str">
        <f>HYPERLINK("http://catalog.hathitrust.org/Record/001016962")</f>
        <v>http://catalog.hathitrust.org/Record/001016962</v>
      </c>
      <c r="I801" s="1" t="s">
        <v>20799</v>
      </c>
      <c r="J801" s="1">
        <v>1807</v>
      </c>
      <c r="K801" t="s">
        <v>19063</v>
      </c>
      <c r="L801" t="s">
        <v>19064</v>
      </c>
    </row>
    <row r="802" spans="1:12">
      <c r="A802" t="s">
        <v>19066</v>
      </c>
      <c r="B802" s="1" t="s">
        <v>19062</v>
      </c>
      <c r="E802">
        <v>1</v>
      </c>
      <c r="G802" t="str">
        <f>HYPERLINK("http://babel.hathitrust.org/cgi/pt?id=nyp.33433074834577")</f>
        <v>http://babel.hathitrust.org/cgi/pt?id=nyp.33433074834577</v>
      </c>
      <c r="H802" t="str">
        <f>HYPERLINK("http://catalog.hathitrust.org/Record/001016962")</f>
        <v>http://catalog.hathitrust.org/Record/001016962</v>
      </c>
      <c r="I802" s="1" t="s">
        <v>20801</v>
      </c>
      <c r="J802" s="1">
        <v>1807</v>
      </c>
      <c r="K802" t="s">
        <v>19063</v>
      </c>
      <c r="L802" t="s">
        <v>19064</v>
      </c>
    </row>
    <row r="803" spans="1:12">
      <c r="A803" t="s">
        <v>19067</v>
      </c>
      <c r="B803" s="1" t="s">
        <v>19068</v>
      </c>
      <c r="E803">
        <v>1</v>
      </c>
      <c r="G803" t="str">
        <f>HYPERLINK("http://babel.hathitrust.org/cgi/pt?id=nyp.33433074860689")</f>
        <v>http://babel.hathitrust.org/cgi/pt?id=nyp.33433074860689</v>
      </c>
      <c r="H803" t="str">
        <f>HYPERLINK("http://catalog.hathitrust.org/Record/001017276")</f>
        <v>http://catalog.hathitrust.org/Record/001017276</v>
      </c>
      <c r="I803" s="1" t="s">
        <v>20801</v>
      </c>
      <c r="J803" s="1">
        <v>1815</v>
      </c>
      <c r="K803" t="s">
        <v>19069</v>
      </c>
    </row>
    <row r="804" spans="1:12">
      <c r="A804" t="s">
        <v>19070</v>
      </c>
      <c r="B804" s="1" t="s">
        <v>19068</v>
      </c>
      <c r="E804">
        <v>1</v>
      </c>
      <c r="G804" t="str">
        <f>HYPERLINK("http://babel.hathitrust.org/cgi/pt?id=nyp.33433074860697")</f>
        <v>http://babel.hathitrust.org/cgi/pt?id=nyp.33433074860697</v>
      </c>
      <c r="H804" t="str">
        <f>HYPERLINK("http://catalog.hathitrust.org/Record/001017276")</f>
        <v>http://catalog.hathitrust.org/Record/001017276</v>
      </c>
      <c r="I804" s="1" t="s">
        <v>20799</v>
      </c>
      <c r="J804" s="1">
        <v>1815</v>
      </c>
      <c r="K804" t="s">
        <v>19069</v>
      </c>
    </row>
    <row r="805" spans="1:12">
      <c r="A805" t="s">
        <v>19071</v>
      </c>
      <c r="B805" s="1" t="s">
        <v>19068</v>
      </c>
      <c r="E805">
        <v>1</v>
      </c>
      <c r="G805" t="str">
        <f>HYPERLINK("http://babel.hathitrust.org/cgi/pt?id=nyp.33433074860705")</f>
        <v>http://babel.hathitrust.org/cgi/pt?id=nyp.33433074860705</v>
      </c>
      <c r="H805" t="str">
        <f>HYPERLINK("http://catalog.hathitrust.org/Record/001017276")</f>
        <v>http://catalog.hathitrust.org/Record/001017276</v>
      </c>
      <c r="I805" s="1" t="s">
        <v>20796</v>
      </c>
      <c r="J805" s="1">
        <v>1815</v>
      </c>
      <c r="K805" t="s">
        <v>19069</v>
      </c>
    </row>
    <row r="806" spans="1:12">
      <c r="A806" t="s">
        <v>19072</v>
      </c>
      <c r="B806" s="1" t="s">
        <v>19073</v>
      </c>
      <c r="F806">
        <v>1</v>
      </c>
      <c r="G806" t="str">
        <f>HYPERLINK("http://babel.hathitrust.org/cgi/pt?id=loc.ark:/13960/t2x35994b")</f>
        <v>http://babel.hathitrust.org/cgi/pt?id=loc.ark:/13960/t2x35994b</v>
      </c>
      <c r="H806" t="str">
        <f>HYPERLINK("http://catalog.hathitrust.org/Record/001017959")</f>
        <v>http://catalog.hathitrust.org/Record/001017959</v>
      </c>
      <c r="J806" s="1">
        <v>1888</v>
      </c>
      <c r="K806" t="s">
        <v>19074</v>
      </c>
      <c r="L806" t="s">
        <v>19075</v>
      </c>
    </row>
    <row r="807" spans="1:12">
      <c r="A807" t="s">
        <v>19076</v>
      </c>
      <c r="B807" s="1" t="s">
        <v>19073</v>
      </c>
      <c r="F807">
        <v>1</v>
      </c>
      <c r="G807" t="str">
        <f>HYPERLINK("http://babel.hathitrust.org/cgi/pt?id=mdp.39015024475777")</f>
        <v>http://babel.hathitrust.org/cgi/pt?id=mdp.39015024475777</v>
      </c>
      <c r="H807" t="str">
        <f>HYPERLINK("http://catalog.hathitrust.org/Record/001017959")</f>
        <v>http://catalog.hathitrust.org/Record/001017959</v>
      </c>
      <c r="J807" s="1">
        <v>1888</v>
      </c>
      <c r="K807" t="s">
        <v>19074</v>
      </c>
      <c r="L807" t="s">
        <v>19075</v>
      </c>
    </row>
    <row r="808" spans="1:12">
      <c r="A808" t="s">
        <v>19077</v>
      </c>
      <c r="B808" s="1" t="s">
        <v>19078</v>
      </c>
      <c r="F808">
        <v>1</v>
      </c>
      <c r="G808" t="str">
        <f>HYPERLINK("http://babel.hathitrust.org/cgi/pt?id=hvd.hnle2j")</f>
        <v>http://babel.hathitrust.org/cgi/pt?id=hvd.hnle2j</v>
      </c>
      <c r="H808" t="str">
        <f>HYPERLINK("http://catalog.hathitrust.org/Record/001018314")</f>
        <v>http://catalog.hathitrust.org/Record/001018314</v>
      </c>
      <c r="J808" s="1">
        <v>1865</v>
      </c>
      <c r="K808" t="s">
        <v>19079</v>
      </c>
      <c r="L808" t="s">
        <v>19080</v>
      </c>
    </row>
    <row r="809" spans="1:12">
      <c r="A809" t="s">
        <v>19081</v>
      </c>
      <c r="B809" s="1" t="s">
        <v>19078</v>
      </c>
      <c r="F809">
        <v>1</v>
      </c>
      <c r="G809" t="str">
        <f>HYPERLINK("http://babel.hathitrust.org/cgi/pt?id=hvd.hwpa95")</f>
        <v>http://babel.hathitrust.org/cgi/pt?id=hvd.hwpa95</v>
      </c>
      <c r="H809" t="str">
        <f>HYPERLINK("http://catalog.hathitrust.org/Record/001018314")</f>
        <v>http://catalog.hathitrust.org/Record/001018314</v>
      </c>
      <c r="J809" s="1">
        <v>1865</v>
      </c>
      <c r="K809" t="s">
        <v>19079</v>
      </c>
      <c r="L809" t="s">
        <v>19080</v>
      </c>
    </row>
    <row r="810" spans="1:12">
      <c r="A810" t="s">
        <v>19082</v>
      </c>
      <c r="B810" s="1" t="s">
        <v>19078</v>
      </c>
      <c r="F810">
        <v>1</v>
      </c>
      <c r="G810" t="str">
        <f>HYPERLINK("http://babel.hathitrust.org/cgi/pt?id=loc.ark:/13960/t8ff4g35k")</f>
        <v>http://babel.hathitrust.org/cgi/pt?id=loc.ark:/13960/t8ff4g35k</v>
      </c>
      <c r="H810" t="str">
        <f>HYPERLINK("http://catalog.hathitrust.org/Record/001018314")</f>
        <v>http://catalog.hathitrust.org/Record/001018314</v>
      </c>
      <c r="J810" s="1">
        <v>1865</v>
      </c>
      <c r="K810" t="s">
        <v>19079</v>
      </c>
      <c r="L810" t="s">
        <v>19080</v>
      </c>
    </row>
    <row r="811" spans="1:12">
      <c r="A811" t="s">
        <v>19083</v>
      </c>
      <c r="B811" s="1" t="s">
        <v>19078</v>
      </c>
      <c r="F811">
        <v>1</v>
      </c>
      <c r="G811" t="str">
        <f>HYPERLINK("http://babel.hathitrust.org/cgi/pt?id=uc1.b272530")</f>
        <v>http://babel.hathitrust.org/cgi/pt?id=uc1.b272530</v>
      </c>
      <c r="H811" t="str">
        <f>HYPERLINK("http://catalog.hathitrust.org/Record/001018314")</f>
        <v>http://catalog.hathitrust.org/Record/001018314</v>
      </c>
      <c r="J811" s="1">
        <v>1865</v>
      </c>
      <c r="K811" t="s">
        <v>19079</v>
      </c>
      <c r="L811" t="s">
        <v>19080</v>
      </c>
    </row>
    <row r="812" spans="1:12">
      <c r="A812" t="s">
        <v>19084</v>
      </c>
      <c r="B812" s="1" t="s">
        <v>19085</v>
      </c>
      <c r="F812">
        <v>1</v>
      </c>
      <c r="G812" t="str">
        <f>HYPERLINK("http://babel.hathitrust.org/cgi/pt?id=mdp.39015059674351")</f>
        <v>http://babel.hathitrust.org/cgi/pt?id=mdp.39015059674351</v>
      </c>
      <c r="H812" t="str">
        <f>HYPERLINK("http://catalog.hathitrust.org/Record/001018325")</f>
        <v>http://catalog.hathitrust.org/Record/001018325</v>
      </c>
      <c r="J812" s="1">
        <v>1876</v>
      </c>
      <c r="K812" t="s">
        <v>19086</v>
      </c>
      <c r="L812" t="s">
        <v>19532</v>
      </c>
    </row>
    <row r="813" spans="1:12">
      <c r="A813" t="s">
        <v>19087</v>
      </c>
      <c r="B813" s="1" t="s">
        <v>19085</v>
      </c>
      <c r="F813">
        <v>1</v>
      </c>
      <c r="G813" t="str">
        <f>HYPERLINK("http://babel.hathitrust.org/cgi/pt?id=uc1.b272654")</f>
        <v>http://babel.hathitrust.org/cgi/pt?id=uc1.b272654</v>
      </c>
      <c r="H813" t="str">
        <f>HYPERLINK("http://catalog.hathitrust.org/Record/001018325")</f>
        <v>http://catalog.hathitrust.org/Record/001018325</v>
      </c>
      <c r="J813" s="1">
        <v>1876</v>
      </c>
      <c r="K813" t="s">
        <v>19086</v>
      </c>
      <c r="L813" t="s">
        <v>19532</v>
      </c>
    </row>
    <row r="814" spans="1:12">
      <c r="A814" t="s">
        <v>19088</v>
      </c>
      <c r="B814" s="1" t="s">
        <v>19085</v>
      </c>
      <c r="F814">
        <v>1</v>
      </c>
      <c r="G814" t="str">
        <f>HYPERLINK("http://babel.hathitrust.org/cgi/pt?id=uc2.ark:/13960/t86h4h08m")</f>
        <v>http://babel.hathitrust.org/cgi/pt?id=uc2.ark:/13960/t86h4h08m</v>
      </c>
      <c r="H814" t="str">
        <f>HYPERLINK("http://catalog.hathitrust.org/Record/001018325")</f>
        <v>http://catalog.hathitrust.org/Record/001018325</v>
      </c>
      <c r="J814" s="1">
        <v>1876</v>
      </c>
      <c r="K814" t="s">
        <v>19086</v>
      </c>
      <c r="L814" t="s">
        <v>19532</v>
      </c>
    </row>
    <row r="815" spans="1:12">
      <c r="A815" t="s">
        <v>19089</v>
      </c>
      <c r="B815" s="1" t="s">
        <v>19090</v>
      </c>
      <c r="F815">
        <v>1</v>
      </c>
      <c r="G815" t="str">
        <f>HYPERLINK("http://babel.hathitrust.org/cgi/pt?id=mdp.39015008376900")</f>
        <v>http://babel.hathitrust.org/cgi/pt?id=mdp.39015008376900</v>
      </c>
      <c r="H815" t="str">
        <f>HYPERLINK("http://catalog.hathitrust.org/Record/001018403")</f>
        <v>http://catalog.hathitrust.org/Record/001018403</v>
      </c>
      <c r="J815" s="1">
        <v>1906</v>
      </c>
      <c r="K815" t="s">
        <v>19091</v>
      </c>
      <c r="L815" t="s">
        <v>19092</v>
      </c>
    </row>
    <row r="816" spans="1:12">
      <c r="A816" t="s">
        <v>19093</v>
      </c>
      <c r="B816" s="1" t="s">
        <v>19090</v>
      </c>
      <c r="F816">
        <v>1</v>
      </c>
      <c r="G816" t="str">
        <f>HYPERLINK("http://babel.hathitrust.org/cgi/pt?id=mdp.39015015371894")</f>
        <v>http://babel.hathitrust.org/cgi/pt?id=mdp.39015015371894</v>
      </c>
      <c r="H816" t="str">
        <f>HYPERLINK("http://catalog.hathitrust.org/Record/001018403")</f>
        <v>http://catalog.hathitrust.org/Record/001018403</v>
      </c>
      <c r="J816" s="1">
        <v>1906</v>
      </c>
      <c r="K816" t="s">
        <v>19091</v>
      </c>
      <c r="L816" t="s">
        <v>19092</v>
      </c>
    </row>
    <row r="817" spans="1:12">
      <c r="A817" t="s">
        <v>19094</v>
      </c>
      <c r="B817" s="1" t="s">
        <v>19090</v>
      </c>
      <c r="F817">
        <v>1</v>
      </c>
      <c r="G817" t="str">
        <f>HYPERLINK("http://babel.hathitrust.org/cgi/pt?id=uc1.b272591")</f>
        <v>http://babel.hathitrust.org/cgi/pt?id=uc1.b272591</v>
      </c>
      <c r="H817" t="str">
        <f>HYPERLINK("http://catalog.hathitrust.org/Record/001018403")</f>
        <v>http://catalog.hathitrust.org/Record/001018403</v>
      </c>
      <c r="J817" s="1">
        <v>1906</v>
      </c>
      <c r="K817" t="s">
        <v>19091</v>
      </c>
      <c r="L817" t="s">
        <v>19092</v>
      </c>
    </row>
    <row r="818" spans="1:12">
      <c r="A818" t="s">
        <v>19095</v>
      </c>
      <c r="B818" s="1" t="s">
        <v>19090</v>
      </c>
      <c r="F818">
        <v>1</v>
      </c>
      <c r="G818" t="str">
        <f>HYPERLINK("http://babel.hathitrust.org/cgi/pt?id=uc2.ark:/13960/t0ft8h81d")</f>
        <v>http://babel.hathitrust.org/cgi/pt?id=uc2.ark:/13960/t0ft8h81d</v>
      </c>
      <c r="H818" t="str">
        <f>HYPERLINK("http://catalog.hathitrust.org/Record/001018403")</f>
        <v>http://catalog.hathitrust.org/Record/001018403</v>
      </c>
      <c r="J818" s="1">
        <v>1906</v>
      </c>
      <c r="K818" t="s">
        <v>19091</v>
      </c>
      <c r="L818" t="s">
        <v>19092</v>
      </c>
    </row>
    <row r="819" spans="1:12">
      <c r="A819" t="s">
        <v>19096</v>
      </c>
      <c r="B819" s="1" t="s">
        <v>19097</v>
      </c>
      <c r="F819">
        <v>1</v>
      </c>
      <c r="G819" t="str">
        <f>HYPERLINK("http://babel.hathitrust.org/cgi/pt?id=uc1.b121134")</f>
        <v>http://babel.hathitrust.org/cgi/pt?id=uc1.b121134</v>
      </c>
      <c r="H819" t="str">
        <f>HYPERLINK("http://catalog.hathitrust.org/Record/001018601")</f>
        <v>http://catalog.hathitrust.org/Record/001018601</v>
      </c>
      <c r="J819" s="1">
        <v>1920</v>
      </c>
      <c r="K819" t="s">
        <v>19098</v>
      </c>
      <c r="L819" t="s">
        <v>20267</v>
      </c>
    </row>
    <row r="820" spans="1:12">
      <c r="A820" t="s">
        <v>19099</v>
      </c>
      <c r="B820" s="1" t="s">
        <v>19097</v>
      </c>
      <c r="F820">
        <v>1</v>
      </c>
      <c r="G820" t="str">
        <f>HYPERLINK("http://babel.hathitrust.org/cgi/pt?id=uc2.ark:/13960/t6nz8bt6t")</f>
        <v>http://babel.hathitrust.org/cgi/pt?id=uc2.ark:/13960/t6nz8bt6t</v>
      </c>
      <c r="H820" t="str">
        <f>HYPERLINK("http://catalog.hathitrust.org/Record/001018601")</f>
        <v>http://catalog.hathitrust.org/Record/001018601</v>
      </c>
      <c r="J820" s="1">
        <v>1920</v>
      </c>
      <c r="K820" t="s">
        <v>19098</v>
      </c>
      <c r="L820" t="s">
        <v>20267</v>
      </c>
    </row>
    <row r="821" spans="1:12">
      <c r="A821" t="s">
        <v>19100</v>
      </c>
      <c r="B821" s="1" t="s">
        <v>19101</v>
      </c>
      <c r="F821">
        <v>1</v>
      </c>
      <c r="G821" t="str">
        <f>HYPERLINK("http://babel.hathitrust.org/cgi/pt?id=uc1.b3564893")</f>
        <v>http://babel.hathitrust.org/cgi/pt?id=uc1.b3564893</v>
      </c>
      <c r="H821" t="str">
        <f>HYPERLINK("http://catalog.hathitrust.org/Record/001018698")</f>
        <v>http://catalog.hathitrust.org/Record/001018698</v>
      </c>
      <c r="J821" s="1">
        <v>1874</v>
      </c>
      <c r="K821" t="s">
        <v>18985</v>
      </c>
      <c r="L821" t="s">
        <v>18986</v>
      </c>
    </row>
    <row r="822" spans="1:12">
      <c r="A822" t="s">
        <v>18987</v>
      </c>
      <c r="B822" s="1" t="s">
        <v>19101</v>
      </c>
      <c r="F822">
        <v>1</v>
      </c>
      <c r="G822" t="str">
        <f>HYPERLINK("http://babel.hathitrust.org/cgi/pt?id=uc2.ark:/13960/t59c72d4j")</f>
        <v>http://babel.hathitrust.org/cgi/pt?id=uc2.ark:/13960/t59c72d4j</v>
      </c>
      <c r="H822" t="str">
        <f>HYPERLINK("http://catalog.hathitrust.org/Record/001018698")</f>
        <v>http://catalog.hathitrust.org/Record/001018698</v>
      </c>
      <c r="J822" s="1">
        <v>1874</v>
      </c>
      <c r="K822" t="s">
        <v>18985</v>
      </c>
      <c r="L822" t="s">
        <v>18986</v>
      </c>
    </row>
    <row r="823" spans="1:12">
      <c r="A823" t="s">
        <v>18988</v>
      </c>
      <c r="B823" s="1" t="s">
        <v>18989</v>
      </c>
      <c r="E823">
        <v>1</v>
      </c>
      <c r="G823" t="str">
        <f>HYPERLINK("http://babel.hathitrust.org/cgi/pt?id=mdp.39015024389333")</f>
        <v>http://babel.hathitrust.org/cgi/pt?id=mdp.39015024389333</v>
      </c>
      <c r="H823" t="str">
        <f>HYPERLINK("http://catalog.hathitrust.org/Record/001019172")</f>
        <v>http://catalog.hathitrust.org/Record/001019172</v>
      </c>
      <c r="J823" s="1">
        <v>1909</v>
      </c>
      <c r="K823" t="s">
        <v>18990</v>
      </c>
      <c r="L823" t="s">
        <v>18991</v>
      </c>
    </row>
    <row r="824" spans="1:12">
      <c r="A824" t="s">
        <v>18992</v>
      </c>
      <c r="B824" s="1" t="s">
        <v>18993</v>
      </c>
      <c r="F824">
        <v>1</v>
      </c>
      <c r="G824" t="str">
        <f>HYPERLINK("http://babel.hathitrust.org/cgi/pt?id=loc.ark:/13960/t6b28f794")</f>
        <v>http://babel.hathitrust.org/cgi/pt?id=loc.ark:/13960/t6b28f794</v>
      </c>
      <c r="H824" t="str">
        <f>HYPERLINK("http://catalog.hathitrust.org/Record/001019191")</f>
        <v>http://catalog.hathitrust.org/Record/001019191</v>
      </c>
      <c r="J824" s="1">
        <v>1906</v>
      </c>
      <c r="K824" t="s">
        <v>18994</v>
      </c>
      <c r="L824" t="s">
        <v>19455</v>
      </c>
    </row>
    <row r="825" spans="1:12">
      <c r="A825" t="s">
        <v>18995</v>
      </c>
      <c r="B825" s="1" t="s">
        <v>18993</v>
      </c>
      <c r="F825">
        <v>1</v>
      </c>
      <c r="G825" t="str">
        <f>HYPERLINK("http://babel.hathitrust.org/cgi/pt?id=uc1.b272574")</f>
        <v>http://babel.hathitrust.org/cgi/pt?id=uc1.b272574</v>
      </c>
      <c r="H825" t="str">
        <f>HYPERLINK("http://catalog.hathitrust.org/Record/001019191")</f>
        <v>http://catalog.hathitrust.org/Record/001019191</v>
      </c>
      <c r="J825" s="1">
        <v>1906</v>
      </c>
      <c r="K825" t="s">
        <v>18994</v>
      </c>
      <c r="L825" t="s">
        <v>19455</v>
      </c>
    </row>
    <row r="826" spans="1:12">
      <c r="A826" t="s">
        <v>18996</v>
      </c>
      <c r="B826" s="1" t="s">
        <v>18993</v>
      </c>
      <c r="F826">
        <v>1</v>
      </c>
      <c r="G826" t="str">
        <f>HYPERLINK("http://babel.hathitrust.org/cgi/pt?id=uc2.ark:/13960/t14m98698")</f>
        <v>http://babel.hathitrust.org/cgi/pt?id=uc2.ark:/13960/t14m98698</v>
      </c>
      <c r="H826" t="str">
        <f>HYPERLINK("http://catalog.hathitrust.org/Record/001019191")</f>
        <v>http://catalog.hathitrust.org/Record/001019191</v>
      </c>
      <c r="J826" s="1">
        <v>1906</v>
      </c>
      <c r="K826" t="s">
        <v>18994</v>
      </c>
      <c r="L826" t="s">
        <v>19455</v>
      </c>
    </row>
    <row r="827" spans="1:12">
      <c r="A827" t="s">
        <v>18997</v>
      </c>
      <c r="B827" s="1" t="s">
        <v>18998</v>
      </c>
      <c r="E827">
        <v>1</v>
      </c>
      <c r="G827" t="str">
        <f>HYPERLINK("http://babel.hathitrust.org/cgi/pt?id=loc.ark:/13960/t4vh62670")</f>
        <v>http://babel.hathitrust.org/cgi/pt?id=loc.ark:/13960/t4vh62670</v>
      </c>
      <c r="H827" t="str">
        <f>HYPERLINK("http://catalog.hathitrust.org/Record/001019194")</f>
        <v>http://catalog.hathitrust.org/Record/001019194</v>
      </c>
      <c r="J827" s="1">
        <v>1884</v>
      </c>
      <c r="K827" t="s">
        <v>18999</v>
      </c>
      <c r="L827" t="s">
        <v>19000</v>
      </c>
    </row>
    <row r="828" spans="1:12">
      <c r="A828" t="s">
        <v>19001</v>
      </c>
      <c r="B828" s="1" t="s">
        <v>19002</v>
      </c>
      <c r="F828">
        <v>1</v>
      </c>
      <c r="G828" t="str">
        <f>HYPERLINK("http://babel.hathitrust.org/cgi/pt?id=hvd.32044088287545")</f>
        <v>http://babel.hathitrust.org/cgi/pt?id=hvd.32044088287545</v>
      </c>
      <c r="H828" t="str">
        <f>HYPERLINK("http://catalog.hathitrust.org/Record/001019230")</f>
        <v>http://catalog.hathitrust.org/Record/001019230</v>
      </c>
      <c r="J828" s="1">
        <v>1865</v>
      </c>
      <c r="K828" t="s">
        <v>19003</v>
      </c>
      <c r="L828" t="s">
        <v>19004</v>
      </c>
    </row>
    <row r="829" spans="1:12">
      <c r="A829" t="s">
        <v>19005</v>
      </c>
      <c r="B829" s="1" t="s">
        <v>19002</v>
      </c>
      <c r="F829">
        <v>1</v>
      </c>
      <c r="G829" t="str">
        <f>HYPERLINK("http://babel.hathitrust.org/cgi/pt?id=uc1.b252726")</f>
        <v>http://babel.hathitrust.org/cgi/pt?id=uc1.b252726</v>
      </c>
      <c r="H829" t="str">
        <f>HYPERLINK("http://catalog.hathitrust.org/Record/001019230")</f>
        <v>http://catalog.hathitrust.org/Record/001019230</v>
      </c>
      <c r="J829" s="1">
        <v>1865</v>
      </c>
      <c r="K829" t="s">
        <v>19003</v>
      </c>
      <c r="L829" t="s">
        <v>19004</v>
      </c>
    </row>
    <row r="830" spans="1:12">
      <c r="A830" t="s">
        <v>19006</v>
      </c>
      <c r="B830" s="1" t="s">
        <v>19007</v>
      </c>
      <c r="E830">
        <v>1</v>
      </c>
      <c r="G830" t="str">
        <f>HYPERLINK("http://babel.hathitrust.org/cgi/pt?id=hvd.hwe55u")</f>
        <v>http://babel.hathitrust.org/cgi/pt?id=hvd.hwe55u</v>
      </c>
      <c r="H830" t="str">
        <f>HYPERLINK("http://catalog.hathitrust.org/Record/001019919")</f>
        <v>http://catalog.hathitrust.org/Record/001019919</v>
      </c>
      <c r="I830" s="1" t="s">
        <v>20916</v>
      </c>
      <c r="J830" s="1">
        <v>1847</v>
      </c>
      <c r="K830" t="s">
        <v>19008</v>
      </c>
      <c r="L830" t="s">
        <v>20485</v>
      </c>
    </row>
    <row r="831" spans="1:12">
      <c r="A831" t="s">
        <v>19009</v>
      </c>
      <c r="B831" s="1" t="s">
        <v>19007</v>
      </c>
      <c r="E831">
        <v>1</v>
      </c>
      <c r="G831" t="str">
        <f>HYPERLINK("http://babel.hathitrust.org/cgi/pt?id=hvd.hwe55v")</f>
        <v>http://babel.hathitrust.org/cgi/pt?id=hvd.hwe55v</v>
      </c>
      <c r="H831" t="str">
        <f>HYPERLINK("http://catalog.hathitrust.org/Record/001019919")</f>
        <v>http://catalog.hathitrust.org/Record/001019919</v>
      </c>
      <c r="I831" s="1" t="s">
        <v>20755</v>
      </c>
      <c r="J831" s="1">
        <v>1847</v>
      </c>
      <c r="K831" t="s">
        <v>19008</v>
      </c>
      <c r="L831" t="s">
        <v>20485</v>
      </c>
    </row>
    <row r="832" spans="1:12">
      <c r="A832" t="s">
        <v>19010</v>
      </c>
      <c r="B832" s="1" t="s">
        <v>19007</v>
      </c>
      <c r="E832">
        <v>1</v>
      </c>
      <c r="G832" t="str">
        <f>HYPERLINK("http://babel.hathitrust.org/cgi/pt?id=hvd.hwe55w")</f>
        <v>http://babel.hathitrust.org/cgi/pt?id=hvd.hwe55w</v>
      </c>
      <c r="H832" t="str">
        <f>HYPERLINK("http://catalog.hathitrust.org/Record/001019919")</f>
        <v>http://catalog.hathitrust.org/Record/001019919</v>
      </c>
      <c r="I832" s="1" t="s">
        <v>20920</v>
      </c>
      <c r="J832" s="1">
        <v>1847</v>
      </c>
      <c r="K832" t="s">
        <v>19008</v>
      </c>
      <c r="L832" t="s">
        <v>20485</v>
      </c>
    </row>
    <row r="833" spans="1:12">
      <c r="A833" t="s">
        <v>19011</v>
      </c>
      <c r="B833" s="1" t="s">
        <v>19007</v>
      </c>
      <c r="E833">
        <v>1</v>
      </c>
      <c r="G833" t="str">
        <f>HYPERLINK("http://babel.hathitrust.org/cgi/pt?id=hvd.hwe55x")</f>
        <v>http://babel.hathitrust.org/cgi/pt?id=hvd.hwe55x</v>
      </c>
      <c r="H833" t="str">
        <f>HYPERLINK("http://catalog.hathitrust.org/Record/001019919")</f>
        <v>http://catalog.hathitrust.org/Record/001019919</v>
      </c>
      <c r="I833" s="1" t="s">
        <v>20679</v>
      </c>
      <c r="J833" s="1">
        <v>1847</v>
      </c>
      <c r="K833" t="s">
        <v>19008</v>
      </c>
      <c r="L833" t="s">
        <v>20485</v>
      </c>
    </row>
    <row r="834" spans="1:12">
      <c r="A834" t="s">
        <v>19012</v>
      </c>
      <c r="B834" s="1" t="s">
        <v>19013</v>
      </c>
      <c r="F834">
        <v>1</v>
      </c>
      <c r="G834" t="str">
        <f>HYPERLINK("http://babel.hathitrust.org/cgi/pt?id=mdp.39015030713765")</f>
        <v>http://babel.hathitrust.org/cgi/pt?id=mdp.39015030713765</v>
      </c>
      <c r="H834" t="str">
        <f>HYPERLINK("http://catalog.hathitrust.org/Record/001020141")</f>
        <v>http://catalog.hathitrust.org/Record/001020141</v>
      </c>
      <c r="J834" s="1">
        <v>1919</v>
      </c>
      <c r="K834" t="s">
        <v>19014</v>
      </c>
      <c r="L834" t="s">
        <v>19015</v>
      </c>
    </row>
    <row r="835" spans="1:12">
      <c r="A835" t="s">
        <v>19016</v>
      </c>
      <c r="B835" s="1" t="s">
        <v>19013</v>
      </c>
      <c r="F835">
        <v>1</v>
      </c>
      <c r="G835" t="str">
        <f>HYPERLINK("http://babel.hathitrust.org/cgi/pt?id=uc1.b4110075")</f>
        <v>http://babel.hathitrust.org/cgi/pt?id=uc1.b4110075</v>
      </c>
      <c r="H835" t="str">
        <f>HYPERLINK("http://catalog.hathitrust.org/Record/001020141")</f>
        <v>http://catalog.hathitrust.org/Record/001020141</v>
      </c>
      <c r="J835" s="1">
        <v>1919</v>
      </c>
      <c r="K835" t="s">
        <v>19014</v>
      </c>
      <c r="L835" t="s">
        <v>19015</v>
      </c>
    </row>
    <row r="836" spans="1:12">
      <c r="A836" t="s">
        <v>19017</v>
      </c>
      <c r="B836" s="1" t="s">
        <v>19013</v>
      </c>
      <c r="F836">
        <v>1</v>
      </c>
      <c r="G836" t="str">
        <f>HYPERLINK("http://babel.hathitrust.org/cgi/pt?id=uc2.ark:/13960/t6251kq6h")</f>
        <v>http://babel.hathitrust.org/cgi/pt?id=uc2.ark:/13960/t6251kq6h</v>
      </c>
      <c r="H836" t="str">
        <f>HYPERLINK("http://catalog.hathitrust.org/Record/001020141")</f>
        <v>http://catalog.hathitrust.org/Record/001020141</v>
      </c>
      <c r="J836" s="1">
        <v>1919</v>
      </c>
      <c r="K836" t="s">
        <v>19014</v>
      </c>
      <c r="L836" t="s">
        <v>19015</v>
      </c>
    </row>
    <row r="837" spans="1:12">
      <c r="A837" t="s">
        <v>19018</v>
      </c>
      <c r="B837" s="1" t="s">
        <v>19019</v>
      </c>
      <c r="F837">
        <v>1</v>
      </c>
      <c r="G837" t="str">
        <f>HYPERLINK("http://babel.hathitrust.org/cgi/pt?id=uc1.b3515157")</f>
        <v>http://babel.hathitrust.org/cgi/pt?id=uc1.b3515157</v>
      </c>
      <c r="H837" t="str">
        <f>HYPERLINK("http://catalog.hathitrust.org/Record/001020623")</f>
        <v>http://catalog.hathitrust.org/Record/001020623</v>
      </c>
      <c r="J837" s="1">
        <v>1944</v>
      </c>
      <c r="K837" t="s">
        <v>19020</v>
      </c>
      <c r="L837" t="s">
        <v>19021</v>
      </c>
    </row>
    <row r="838" spans="1:12">
      <c r="A838" t="s">
        <v>19022</v>
      </c>
      <c r="B838" s="1" t="s">
        <v>19023</v>
      </c>
      <c r="D838">
        <v>1</v>
      </c>
      <c r="G838" t="str">
        <f>HYPERLINK("http://babel.hathitrust.org/cgi/pt?id=mdp.39015008733860")</f>
        <v>http://babel.hathitrust.org/cgi/pt?id=mdp.39015008733860</v>
      </c>
      <c r="H838" t="str">
        <f>HYPERLINK("http://catalog.hathitrust.org/Record/001022139")</f>
        <v>http://catalog.hathitrust.org/Record/001022139</v>
      </c>
      <c r="J838" s="1">
        <v>1920</v>
      </c>
      <c r="K838" t="s">
        <v>19024</v>
      </c>
      <c r="L838" t="s">
        <v>19025</v>
      </c>
    </row>
    <row r="839" spans="1:12">
      <c r="A839" t="s">
        <v>19026</v>
      </c>
      <c r="B839" s="1" t="s">
        <v>19027</v>
      </c>
      <c r="F839">
        <v>1</v>
      </c>
      <c r="G839" t="str">
        <f>HYPERLINK("http://babel.hathitrust.org/cgi/pt?id=dul1.ark:/13960/t6640f496")</f>
        <v>http://babel.hathitrust.org/cgi/pt?id=dul1.ark:/13960/t6640f496</v>
      </c>
      <c r="H839" t="str">
        <f>HYPERLINK("http://catalog.hathitrust.org/Record/001022883")</f>
        <v>http://catalog.hathitrust.org/Record/001022883</v>
      </c>
      <c r="J839" s="1">
        <v>1818</v>
      </c>
      <c r="K839" t="s">
        <v>19028</v>
      </c>
      <c r="L839" t="s">
        <v>19029</v>
      </c>
    </row>
    <row r="840" spans="1:12">
      <c r="A840" t="s">
        <v>19030</v>
      </c>
      <c r="B840" s="1" t="s">
        <v>19027</v>
      </c>
      <c r="F840">
        <v>1</v>
      </c>
      <c r="G840" t="str">
        <f>HYPERLINK("http://babel.hathitrust.org/cgi/pt?id=mdp.39015078568634")</f>
        <v>http://babel.hathitrust.org/cgi/pt?id=mdp.39015078568634</v>
      </c>
      <c r="H840" t="str">
        <f>HYPERLINK("http://catalog.hathitrust.org/Record/001022883")</f>
        <v>http://catalog.hathitrust.org/Record/001022883</v>
      </c>
      <c r="J840" s="1">
        <v>1818</v>
      </c>
      <c r="K840" t="s">
        <v>19028</v>
      </c>
      <c r="L840" t="s">
        <v>19029</v>
      </c>
    </row>
    <row r="841" spans="1:12">
      <c r="A841" t="s">
        <v>19031</v>
      </c>
      <c r="B841" s="1" t="s">
        <v>19032</v>
      </c>
      <c r="F841">
        <v>1</v>
      </c>
      <c r="G841" t="str">
        <f>HYPERLINK("http://babel.hathitrust.org/cgi/pt?id=mdp.39015062917508")</f>
        <v>http://babel.hathitrust.org/cgi/pt?id=mdp.39015062917508</v>
      </c>
      <c r="H841" t="str">
        <f>HYPERLINK("http://catalog.hathitrust.org/Record/001023060")</f>
        <v>http://catalog.hathitrust.org/Record/001023060</v>
      </c>
      <c r="J841" s="1">
        <v>1891</v>
      </c>
      <c r="K841" t="s">
        <v>19033</v>
      </c>
      <c r="L841" t="s">
        <v>20331</v>
      </c>
    </row>
    <row r="842" spans="1:12">
      <c r="A842" t="s">
        <v>19034</v>
      </c>
      <c r="B842" s="1" t="s">
        <v>18938</v>
      </c>
      <c r="E842">
        <v>1</v>
      </c>
      <c r="G842" t="str">
        <f>HYPERLINK("http://babel.hathitrust.org/cgi/pt?id=nyp.33433074950704")</f>
        <v>http://babel.hathitrust.org/cgi/pt?id=nyp.33433074950704</v>
      </c>
      <c r="H842" t="str">
        <f>HYPERLINK("http://catalog.hathitrust.org/Record/001023353")</f>
        <v>http://catalog.hathitrust.org/Record/001023353</v>
      </c>
      <c r="I842" s="1" t="s">
        <v>20796</v>
      </c>
      <c r="J842" s="1">
        <v>1838</v>
      </c>
      <c r="K842" t="s">
        <v>20082</v>
      </c>
      <c r="L842" t="s">
        <v>20485</v>
      </c>
    </row>
    <row r="843" spans="1:12">
      <c r="A843" t="s">
        <v>18939</v>
      </c>
      <c r="B843" s="1" t="s">
        <v>18938</v>
      </c>
      <c r="E843">
        <v>1</v>
      </c>
      <c r="G843" t="str">
        <f>HYPERLINK("http://babel.hathitrust.org/cgi/pt?id=nyp.33433074950712")</f>
        <v>http://babel.hathitrust.org/cgi/pt?id=nyp.33433074950712</v>
      </c>
      <c r="H843" t="str">
        <f>HYPERLINK("http://catalog.hathitrust.org/Record/001023353")</f>
        <v>http://catalog.hathitrust.org/Record/001023353</v>
      </c>
      <c r="I843" s="1" t="s">
        <v>20799</v>
      </c>
      <c r="J843" s="1">
        <v>1838</v>
      </c>
      <c r="K843" t="s">
        <v>20082</v>
      </c>
      <c r="L843" t="s">
        <v>20485</v>
      </c>
    </row>
    <row r="844" spans="1:12">
      <c r="A844" t="s">
        <v>18940</v>
      </c>
      <c r="B844" s="1" t="s">
        <v>18938</v>
      </c>
      <c r="E844">
        <v>1</v>
      </c>
      <c r="G844" t="str">
        <f>HYPERLINK("http://babel.hathitrust.org/cgi/pt?id=nyp.33433074950720")</f>
        <v>http://babel.hathitrust.org/cgi/pt?id=nyp.33433074950720</v>
      </c>
      <c r="H844" t="str">
        <f>HYPERLINK("http://catalog.hathitrust.org/Record/001023353")</f>
        <v>http://catalog.hathitrust.org/Record/001023353</v>
      </c>
      <c r="I844" s="1" t="s">
        <v>20801</v>
      </c>
      <c r="J844" s="1">
        <v>1838</v>
      </c>
      <c r="K844" t="s">
        <v>20082</v>
      </c>
      <c r="L844" t="s">
        <v>20485</v>
      </c>
    </row>
    <row r="845" spans="1:12">
      <c r="A845" t="s">
        <v>18941</v>
      </c>
      <c r="B845" s="1" t="s">
        <v>18938</v>
      </c>
      <c r="E845">
        <v>1</v>
      </c>
      <c r="G845" t="str">
        <f>HYPERLINK("http://babel.hathitrust.org/cgi/pt?id=nyp.33433074950738")</f>
        <v>http://babel.hathitrust.org/cgi/pt?id=nyp.33433074950738</v>
      </c>
      <c r="H845" t="str">
        <f>HYPERLINK("http://catalog.hathitrust.org/Record/001023353")</f>
        <v>http://catalog.hathitrust.org/Record/001023353</v>
      </c>
      <c r="I845" s="1" t="s">
        <v>20803</v>
      </c>
      <c r="J845" s="1">
        <v>1838</v>
      </c>
      <c r="K845" t="s">
        <v>20082</v>
      </c>
      <c r="L845" t="s">
        <v>20485</v>
      </c>
    </row>
    <row r="846" spans="1:12">
      <c r="A846" t="s">
        <v>18942</v>
      </c>
      <c r="B846" s="1" t="s">
        <v>18943</v>
      </c>
      <c r="E846">
        <v>1</v>
      </c>
      <c r="G846" t="str">
        <f>HYPERLINK("http://babel.hathitrust.org/cgi/pt?id=hvd.hx3v4d")</f>
        <v>http://babel.hathitrust.org/cgi/pt?id=hvd.hx3v4d</v>
      </c>
      <c r="H846" t="str">
        <f>HYPERLINK("http://catalog.hathitrust.org/Record/001023384")</f>
        <v>http://catalog.hathitrust.org/Record/001023384</v>
      </c>
      <c r="J846" s="1">
        <v>1867</v>
      </c>
      <c r="K846" t="s">
        <v>18944</v>
      </c>
      <c r="L846" t="s">
        <v>20485</v>
      </c>
    </row>
    <row r="847" spans="1:12">
      <c r="A847" t="s">
        <v>18945</v>
      </c>
      <c r="B847" s="1" t="s">
        <v>18946</v>
      </c>
      <c r="D847">
        <v>1</v>
      </c>
      <c r="G847" t="str">
        <f>HYPERLINK("http://babel.hathitrust.org/cgi/pt?id=hvd.32044019003797")</f>
        <v>http://babel.hathitrust.org/cgi/pt?id=hvd.32044019003797</v>
      </c>
      <c r="H847" t="str">
        <f>HYPERLINK("http://catalog.hathitrust.org/Record/001023471")</f>
        <v>http://catalog.hathitrust.org/Record/001023471</v>
      </c>
      <c r="I847" s="1" t="s">
        <v>20755</v>
      </c>
      <c r="J847" s="1">
        <v>1836</v>
      </c>
      <c r="K847" t="s">
        <v>18947</v>
      </c>
      <c r="L847" t="s">
        <v>20256</v>
      </c>
    </row>
    <row r="848" spans="1:12">
      <c r="A848" t="s">
        <v>18948</v>
      </c>
      <c r="B848" s="1" t="s">
        <v>18946</v>
      </c>
      <c r="D848">
        <v>1</v>
      </c>
      <c r="G848" t="str">
        <f>HYPERLINK("http://babel.hathitrust.org/cgi/pt?id=hvd.32044019360155")</f>
        <v>http://babel.hathitrust.org/cgi/pt?id=hvd.32044019360155</v>
      </c>
      <c r="H848" t="str">
        <f>HYPERLINK("http://catalog.hathitrust.org/Record/001023471")</f>
        <v>http://catalog.hathitrust.org/Record/001023471</v>
      </c>
      <c r="I848" s="1" t="s">
        <v>20920</v>
      </c>
      <c r="J848" s="1">
        <v>1836</v>
      </c>
      <c r="K848" t="s">
        <v>18947</v>
      </c>
      <c r="L848" t="s">
        <v>20256</v>
      </c>
    </row>
    <row r="849" spans="1:12">
      <c r="A849" t="s">
        <v>18949</v>
      </c>
      <c r="B849" s="1" t="s">
        <v>18946</v>
      </c>
      <c r="D849">
        <v>1</v>
      </c>
      <c r="G849" t="str">
        <f>HYPERLINK("http://babel.hathitrust.org/cgi/pt?id=hvd.32044050957653")</f>
        <v>http://babel.hathitrust.org/cgi/pt?id=hvd.32044050957653</v>
      </c>
      <c r="H849" t="str">
        <f>HYPERLINK("http://catalog.hathitrust.org/Record/001023471")</f>
        <v>http://catalog.hathitrust.org/Record/001023471</v>
      </c>
      <c r="I849" s="1" t="s">
        <v>20679</v>
      </c>
      <c r="J849" s="1">
        <v>1836</v>
      </c>
      <c r="K849" t="s">
        <v>18947</v>
      </c>
      <c r="L849" t="s">
        <v>20256</v>
      </c>
    </row>
    <row r="850" spans="1:12">
      <c r="A850" t="s">
        <v>18950</v>
      </c>
      <c r="B850" s="1" t="s">
        <v>18946</v>
      </c>
      <c r="D850">
        <v>1</v>
      </c>
      <c r="G850" t="str">
        <f>HYPERLINK("http://babel.hathitrust.org/cgi/pt?id=nyp.33433076071004")</f>
        <v>http://babel.hathitrust.org/cgi/pt?id=nyp.33433076071004</v>
      </c>
      <c r="H850" t="str">
        <f>HYPERLINK("http://catalog.hathitrust.org/Record/001023471")</f>
        <v>http://catalog.hathitrust.org/Record/001023471</v>
      </c>
      <c r="I850" s="1" t="s">
        <v>20796</v>
      </c>
      <c r="J850" s="1">
        <v>1836</v>
      </c>
      <c r="K850" t="s">
        <v>18947</v>
      </c>
      <c r="L850" t="s">
        <v>20256</v>
      </c>
    </row>
    <row r="851" spans="1:12">
      <c r="A851" t="s">
        <v>18951</v>
      </c>
      <c r="B851" s="1" t="s">
        <v>18952</v>
      </c>
      <c r="D851">
        <v>1</v>
      </c>
      <c r="G851" t="str">
        <f>HYPERLINK("http://babel.hathitrust.org/cgi/pt?id=mdp.39015065930136")</f>
        <v>http://babel.hathitrust.org/cgi/pt?id=mdp.39015065930136</v>
      </c>
      <c r="H851" t="str">
        <f>HYPERLINK("http://catalog.hathitrust.org/Record/001023487")</f>
        <v>http://catalog.hathitrust.org/Record/001023487</v>
      </c>
      <c r="J851" s="1">
        <v>1905</v>
      </c>
      <c r="K851" t="s">
        <v>18953</v>
      </c>
      <c r="L851" t="s">
        <v>20256</v>
      </c>
    </row>
    <row r="852" spans="1:12">
      <c r="A852" t="s">
        <v>18954</v>
      </c>
      <c r="B852" s="1" t="s">
        <v>18955</v>
      </c>
      <c r="D852">
        <v>1</v>
      </c>
      <c r="G852" t="str">
        <f>HYPERLINK("http://babel.hathitrust.org/cgi/pt?id=nyp.33433076055809")</f>
        <v>http://babel.hathitrust.org/cgi/pt?id=nyp.33433076055809</v>
      </c>
      <c r="H852" t="str">
        <f>HYPERLINK("http://catalog.hathitrust.org/Record/001024083")</f>
        <v>http://catalog.hathitrust.org/Record/001024083</v>
      </c>
      <c r="J852" s="1">
        <v>1853</v>
      </c>
      <c r="K852" t="s">
        <v>18956</v>
      </c>
      <c r="L852" t="s">
        <v>18957</v>
      </c>
    </row>
    <row r="853" spans="1:12">
      <c r="A853" t="s">
        <v>18958</v>
      </c>
      <c r="B853" s="1" t="s">
        <v>18959</v>
      </c>
      <c r="F853">
        <v>1</v>
      </c>
      <c r="G853" t="str">
        <f>HYPERLINK("http://babel.hathitrust.org/cgi/pt?id=wu.89099799116")</f>
        <v>http://babel.hathitrust.org/cgi/pt?id=wu.89099799116</v>
      </c>
      <c r="H853" t="str">
        <f>HYPERLINK("http://catalog.hathitrust.org/Record/001024747")</f>
        <v>http://catalog.hathitrust.org/Record/001024747</v>
      </c>
      <c r="J853" s="1">
        <v>1949</v>
      </c>
      <c r="K853" t="s">
        <v>18960</v>
      </c>
      <c r="L853" t="s">
        <v>18961</v>
      </c>
    </row>
    <row r="854" spans="1:12">
      <c r="A854" t="s">
        <v>18962</v>
      </c>
      <c r="B854" s="1" t="s">
        <v>18963</v>
      </c>
      <c r="F854">
        <v>1</v>
      </c>
      <c r="G854" t="str">
        <f>HYPERLINK("http://babel.hathitrust.org/cgi/pt?id=uc2.ark:/13960/t7sn05446")</f>
        <v>http://babel.hathitrust.org/cgi/pt?id=uc2.ark:/13960/t7sn05446</v>
      </c>
      <c r="H854" t="str">
        <f>HYPERLINK("http://catalog.hathitrust.org/Record/001025242")</f>
        <v>http://catalog.hathitrust.org/Record/001025242</v>
      </c>
      <c r="J854" s="1">
        <v>1917</v>
      </c>
      <c r="K854" t="s">
        <v>18964</v>
      </c>
      <c r="L854" t="s">
        <v>18965</v>
      </c>
    </row>
    <row r="855" spans="1:12">
      <c r="A855" t="s">
        <v>18966</v>
      </c>
      <c r="B855" s="1" t="s">
        <v>18967</v>
      </c>
      <c r="F855">
        <v>1</v>
      </c>
      <c r="G855" t="str">
        <f>HYPERLINK("http://babel.hathitrust.org/cgi/pt?id=mdp.39015053669472")</f>
        <v>http://babel.hathitrust.org/cgi/pt?id=mdp.39015053669472</v>
      </c>
      <c r="H855" t="str">
        <f>HYPERLINK("http://catalog.hathitrust.org/Record/001026174")</f>
        <v>http://catalog.hathitrust.org/Record/001026174</v>
      </c>
      <c r="J855" s="1">
        <v>1909</v>
      </c>
      <c r="K855" t="s">
        <v>18968</v>
      </c>
    </row>
    <row r="856" spans="1:12">
      <c r="A856" t="s">
        <v>18969</v>
      </c>
      <c r="B856" s="1" t="s">
        <v>18967</v>
      </c>
      <c r="F856">
        <v>1</v>
      </c>
      <c r="G856" t="str">
        <f>HYPERLINK("http://babel.hathitrust.org/cgi/pt?id=uc1.b3547096")</f>
        <v>http://babel.hathitrust.org/cgi/pt?id=uc1.b3547096</v>
      </c>
      <c r="H856" t="str">
        <f>HYPERLINK("http://catalog.hathitrust.org/Record/001026174")</f>
        <v>http://catalog.hathitrust.org/Record/001026174</v>
      </c>
      <c r="J856" s="1">
        <v>1909</v>
      </c>
      <c r="K856" t="s">
        <v>18968</v>
      </c>
    </row>
    <row r="857" spans="1:12">
      <c r="A857" t="s">
        <v>18970</v>
      </c>
      <c r="B857" s="1" t="s">
        <v>18971</v>
      </c>
      <c r="F857">
        <v>1</v>
      </c>
      <c r="G857" t="str">
        <f>HYPERLINK("http://babel.hathitrust.org/cgi/pt?id=mdp.39015011009035")</f>
        <v>http://babel.hathitrust.org/cgi/pt?id=mdp.39015011009035</v>
      </c>
      <c r="H857" t="str">
        <f>HYPERLINK("http://catalog.hathitrust.org/Record/001026570")</f>
        <v>http://catalog.hathitrust.org/Record/001026570</v>
      </c>
      <c r="J857" s="1">
        <v>1956</v>
      </c>
      <c r="K857" t="s">
        <v>18972</v>
      </c>
      <c r="L857" t="s">
        <v>18973</v>
      </c>
    </row>
    <row r="858" spans="1:12">
      <c r="A858" t="s">
        <v>18974</v>
      </c>
      <c r="B858" s="1" t="s">
        <v>18975</v>
      </c>
      <c r="F858">
        <v>1</v>
      </c>
      <c r="G858" t="str">
        <f>HYPERLINK("http://babel.hathitrust.org/cgi/pt?id=mdp.39015008999461")</f>
        <v>http://babel.hathitrust.org/cgi/pt?id=mdp.39015008999461</v>
      </c>
      <c r="H858" t="str">
        <f>HYPERLINK("http://catalog.hathitrust.org/Record/001026587")</f>
        <v>http://catalog.hathitrust.org/Record/001026587</v>
      </c>
      <c r="J858" s="1">
        <v>1937</v>
      </c>
      <c r="K858" t="s">
        <v>18976</v>
      </c>
      <c r="L858" t="s">
        <v>18977</v>
      </c>
    </row>
    <row r="859" spans="1:12">
      <c r="A859" t="s">
        <v>18978</v>
      </c>
      <c r="B859" s="1" t="s">
        <v>18975</v>
      </c>
      <c r="F859">
        <v>1</v>
      </c>
      <c r="G859" t="str">
        <f>HYPERLINK("http://babel.hathitrust.org/cgi/pt?id=uc1.b3514828")</f>
        <v>http://babel.hathitrust.org/cgi/pt?id=uc1.b3514828</v>
      </c>
      <c r="H859" t="str">
        <f>HYPERLINK("http://catalog.hathitrust.org/Record/001026587")</f>
        <v>http://catalog.hathitrust.org/Record/001026587</v>
      </c>
      <c r="J859" s="1">
        <v>1937</v>
      </c>
      <c r="K859" t="s">
        <v>18976</v>
      </c>
      <c r="L859" t="s">
        <v>18977</v>
      </c>
    </row>
    <row r="860" spans="1:12">
      <c r="A860" t="s">
        <v>18979</v>
      </c>
      <c r="B860" s="1" t="s">
        <v>18980</v>
      </c>
      <c r="E860">
        <v>1</v>
      </c>
      <c r="G860" t="str">
        <f>HYPERLINK("http://babel.hathitrust.org/cgi/pt?id=mdp.39015031909578")</f>
        <v>http://babel.hathitrust.org/cgi/pt?id=mdp.39015031909578</v>
      </c>
      <c r="H860" t="str">
        <f>HYPERLINK("http://catalog.hathitrust.org/Record/001027604")</f>
        <v>http://catalog.hathitrust.org/Record/001027604</v>
      </c>
      <c r="J860" s="1">
        <v>1901</v>
      </c>
      <c r="K860" t="s">
        <v>18981</v>
      </c>
      <c r="L860" t="s">
        <v>18982</v>
      </c>
    </row>
    <row r="861" spans="1:12">
      <c r="A861" t="s">
        <v>18983</v>
      </c>
      <c r="B861" s="1" t="s">
        <v>18984</v>
      </c>
      <c r="F861">
        <v>1</v>
      </c>
      <c r="G861" t="str">
        <f>HYPERLINK("http://babel.hathitrust.org/cgi/pt?id=uc2.ark:/13960/t1pg1jc4z")</f>
        <v>http://babel.hathitrust.org/cgi/pt?id=uc2.ark:/13960/t1pg1jc4z</v>
      </c>
      <c r="H861" t="str">
        <f>HYPERLINK("http://catalog.hathitrust.org/Record/001028800")</f>
        <v>http://catalog.hathitrust.org/Record/001028800</v>
      </c>
      <c r="J861" s="1">
        <v>1922</v>
      </c>
      <c r="K861" t="s">
        <v>18896</v>
      </c>
      <c r="L861" t="s">
        <v>18897</v>
      </c>
    </row>
    <row r="862" spans="1:12">
      <c r="A862" t="s">
        <v>18898</v>
      </c>
      <c r="B862" s="1" t="s">
        <v>18984</v>
      </c>
      <c r="F862">
        <v>1</v>
      </c>
      <c r="G862" t="str">
        <f>HYPERLINK("http://babel.hathitrust.org/cgi/pt?id=uc2.ark:/13960/t81j9807x")</f>
        <v>http://babel.hathitrust.org/cgi/pt?id=uc2.ark:/13960/t81j9807x</v>
      </c>
      <c r="H862" t="str">
        <f>HYPERLINK("http://catalog.hathitrust.org/Record/001028800")</f>
        <v>http://catalog.hathitrust.org/Record/001028800</v>
      </c>
      <c r="J862" s="1">
        <v>1922</v>
      </c>
      <c r="K862" t="s">
        <v>18896</v>
      </c>
      <c r="L862" t="s">
        <v>18897</v>
      </c>
    </row>
    <row r="863" spans="1:12">
      <c r="A863" t="s">
        <v>18899</v>
      </c>
      <c r="B863" s="1" t="s">
        <v>18984</v>
      </c>
      <c r="F863">
        <v>1</v>
      </c>
      <c r="G863" t="str">
        <f>HYPERLINK("http://babel.hathitrust.org/cgi/pt?id=umn.319510016320851")</f>
        <v>http://babel.hathitrust.org/cgi/pt?id=umn.319510016320851</v>
      </c>
      <c r="H863" t="str">
        <f>HYPERLINK("http://catalog.hathitrust.org/Record/001028800")</f>
        <v>http://catalog.hathitrust.org/Record/001028800</v>
      </c>
      <c r="J863" s="1">
        <v>1922</v>
      </c>
      <c r="K863" t="s">
        <v>18896</v>
      </c>
      <c r="L863" t="s">
        <v>18897</v>
      </c>
    </row>
    <row r="864" spans="1:12">
      <c r="A864" t="s">
        <v>18900</v>
      </c>
      <c r="B864" s="1" t="s">
        <v>18901</v>
      </c>
      <c r="F864">
        <v>1</v>
      </c>
      <c r="G864" t="str">
        <f>HYPERLINK("http://babel.hathitrust.org/cgi/pt?id=mdp.39015034652472")</f>
        <v>http://babel.hathitrust.org/cgi/pt?id=mdp.39015034652472</v>
      </c>
      <c r="H864" t="str">
        <f>HYPERLINK("http://catalog.hathitrust.org/Record/001054215")</f>
        <v>http://catalog.hathitrust.org/Record/001054215</v>
      </c>
      <c r="J864" s="1">
        <v>1962</v>
      </c>
      <c r="K864" t="s">
        <v>18902</v>
      </c>
      <c r="L864" t="s">
        <v>18903</v>
      </c>
    </row>
    <row r="865" spans="1:12">
      <c r="A865" t="s">
        <v>18904</v>
      </c>
      <c r="B865" s="1" t="s">
        <v>18905</v>
      </c>
      <c r="F865">
        <v>1</v>
      </c>
      <c r="G865" t="str">
        <f>HYPERLINK("http://babel.hathitrust.org/cgi/pt?id=mdp.39015009325427")</f>
        <v>http://babel.hathitrust.org/cgi/pt?id=mdp.39015009325427</v>
      </c>
      <c r="H865" t="str">
        <f>HYPERLINK("http://catalog.hathitrust.org/Record/001054684")</f>
        <v>http://catalog.hathitrust.org/Record/001054684</v>
      </c>
      <c r="J865" s="1">
        <v>1945</v>
      </c>
      <c r="K865" t="s">
        <v>18906</v>
      </c>
      <c r="L865" t="s">
        <v>18907</v>
      </c>
    </row>
    <row r="866" spans="1:12">
      <c r="A866" t="s">
        <v>18908</v>
      </c>
      <c r="B866" s="1" t="s">
        <v>18909</v>
      </c>
      <c r="E866">
        <v>1</v>
      </c>
      <c r="G866" t="str">
        <f>HYPERLINK("http://babel.hathitrust.org/cgi/pt?id=mdp.39015062742583")</f>
        <v>http://babel.hathitrust.org/cgi/pt?id=mdp.39015062742583</v>
      </c>
      <c r="H866" t="str">
        <f>HYPERLINK("http://catalog.hathitrust.org/Record/001055805")</f>
        <v>http://catalog.hathitrust.org/Record/001055805</v>
      </c>
      <c r="J866" s="1">
        <v>1816</v>
      </c>
      <c r="K866" t="s">
        <v>18910</v>
      </c>
      <c r="L866" t="s">
        <v>18911</v>
      </c>
    </row>
    <row r="867" spans="1:12">
      <c r="A867" t="s">
        <v>18912</v>
      </c>
      <c r="B867" s="1" t="s">
        <v>18913</v>
      </c>
      <c r="F867">
        <v>1</v>
      </c>
      <c r="G867" t="str">
        <f>HYPERLINK("http://babel.hathitrust.org/cgi/pt?id=mdp.39015002651621")</f>
        <v>http://babel.hathitrust.org/cgi/pt?id=mdp.39015002651621</v>
      </c>
      <c r="H867" t="str">
        <f>HYPERLINK("http://catalog.hathitrust.org/Record/001056787")</f>
        <v>http://catalog.hathitrust.org/Record/001056787</v>
      </c>
      <c r="J867" s="1">
        <v>1938</v>
      </c>
      <c r="K867" t="s">
        <v>18914</v>
      </c>
      <c r="L867" t="s">
        <v>18903</v>
      </c>
    </row>
    <row r="868" spans="1:12">
      <c r="A868" t="s">
        <v>18915</v>
      </c>
      <c r="B868" s="1" t="s">
        <v>18913</v>
      </c>
      <c r="F868">
        <v>1</v>
      </c>
      <c r="G868" t="str">
        <f>HYPERLINK("http://babel.hathitrust.org/cgi/pt?id=uc1.b3828410")</f>
        <v>http://babel.hathitrust.org/cgi/pt?id=uc1.b3828410</v>
      </c>
      <c r="H868" t="str">
        <f>HYPERLINK("http://catalog.hathitrust.org/Record/001056787")</f>
        <v>http://catalog.hathitrust.org/Record/001056787</v>
      </c>
      <c r="J868" s="1">
        <v>1938</v>
      </c>
      <c r="K868" t="s">
        <v>18914</v>
      </c>
      <c r="L868" t="s">
        <v>18903</v>
      </c>
    </row>
    <row r="869" spans="1:12">
      <c r="A869" t="s">
        <v>18916</v>
      </c>
      <c r="B869" s="1" t="s">
        <v>18917</v>
      </c>
      <c r="F869">
        <v>1</v>
      </c>
      <c r="G869" t="str">
        <f>HYPERLINK("http://babel.hathitrust.org/cgi/pt?id=mdp.39015005636777")</f>
        <v>http://babel.hathitrust.org/cgi/pt?id=mdp.39015005636777</v>
      </c>
      <c r="H869" t="str">
        <f>HYPERLINK("http://catalog.hathitrust.org/Record/001057778")</f>
        <v>http://catalog.hathitrust.org/Record/001057778</v>
      </c>
      <c r="J869" s="1">
        <v>1954</v>
      </c>
      <c r="K869" t="s">
        <v>18918</v>
      </c>
      <c r="L869" t="s">
        <v>18919</v>
      </c>
    </row>
    <row r="870" spans="1:12">
      <c r="A870" t="s">
        <v>18920</v>
      </c>
      <c r="B870" s="1" t="s">
        <v>18921</v>
      </c>
      <c r="F870">
        <v>1</v>
      </c>
      <c r="G870" t="str">
        <f>HYPERLINK("http://babel.hathitrust.org/cgi/pt?id=mdp.39015002165812")</f>
        <v>http://babel.hathitrust.org/cgi/pt?id=mdp.39015002165812</v>
      </c>
      <c r="H870" t="str">
        <f>HYPERLINK("http://catalog.hathitrust.org/Record/001057993")</f>
        <v>http://catalog.hathitrust.org/Record/001057993</v>
      </c>
      <c r="J870" s="1">
        <v>1874</v>
      </c>
      <c r="K870" t="s">
        <v>18922</v>
      </c>
      <c r="L870" t="s">
        <v>20553</v>
      </c>
    </row>
    <row r="871" spans="1:12">
      <c r="A871" t="s">
        <v>18923</v>
      </c>
      <c r="B871" s="1" t="s">
        <v>18921</v>
      </c>
      <c r="F871">
        <v>1</v>
      </c>
      <c r="G871" t="str">
        <f>HYPERLINK("http://babel.hathitrust.org/cgi/pt?id=uc1.b253201")</f>
        <v>http://babel.hathitrust.org/cgi/pt?id=uc1.b253201</v>
      </c>
      <c r="H871" t="str">
        <f>HYPERLINK("http://catalog.hathitrust.org/Record/001057993")</f>
        <v>http://catalog.hathitrust.org/Record/001057993</v>
      </c>
      <c r="J871" s="1">
        <v>1874</v>
      </c>
      <c r="K871" t="s">
        <v>18922</v>
      </c>
      <c r="L871" t="s">
        <v>20553</v>
      </c>
    </row>
    <row r="872" spans="1:12">
      <c r="A872" t="s">
        <v>18924</v>
      </c>
      <c r="B872" s="1" t="s">
        <v>18921</v>
      </c>
      <c r="F872">
        <v>1</v>
      </c>
      <c r="G872" t="str">
        <f>HYPERLINK("http://babel.hathitrust.org/cgi/pt?id=uc2.ark:/13960/t9d50k11p")</f>
        <v>http://babel.hathitrust.org/cgi/pt?id=uc2.ark:/13960/t9d50k11p</v>
      </c>
      <c r="H872" t="str">
        <f>HYPERLINK("http://catalog.hathitrust.org/Record/001057993")</f>
        <v>http://catalog.hathitrust.org/Record/001057993</v>
      </c>
      <c r="J872" s="1">
        <v>1874</v>
      </c>
      <c r="K872" t="s">
        <v>18922</v>
      </c>
      <c r="L872" t="s">
        <v>20553</v>
      </c>
    </row>
    <row r="873" spans="1:12">
      <c r="A873" t="s">
        <v>18925</v>
      </c>
      <c r="B873" s="1" t="s">
        <v>18926</v>
      </c>
      <c r="F873">
        <v>1</v>
      </c>
      <c r="G873" t="str">
        <f>HYPERLINK("http://babel.hathitrust.org/cgi/pt?id=mdp.39015016881354")</f>
        <v>http://babel.hathitrust.org/cgi/pt?id=mdp.39015016881354</v>
      </c>
      <c r="H873" t="str">
        <f>HYPERLINK("http://catalog.hathitrust.org/Record/001057996")</f>
        <v>http://catalog.hathitrust.org/Record/001057996</v>
      </c>
      <c r="J873" s="1">
        <v>1885</v>
      </c>
      <c r="K873" t="s">
        <v>18927</v>
      </c>
      <c r="L873" t="s">
        <v>18928</v>
      </c>
    </row>
    <row r="874" spans="1:12">
      <c r="A874" t="s">
        <v>18929</v>
      </c>
      <c r="B874" s="1" t="s">
        <v>18930</v>
      </c>
      <c r="F874">
        <v>1</v>
      </c>
      <c r="G874" t="str">
        <f>HYPERLINK("http://babel.hathitrust.org/cgi/pt?id=mdp.39015012848761")</f>
        <v>http://babel.hathitrust.org/cgi/pt?id=mdp.39015012848761</v>
      </c>
      <c r="H874" t="str">
        <f>HYPERLINK("http://catalog.hathitrust.org/Record/001058017")</f>
        <v>http://catalog.hathitrust.org/Record/001058017</v>
      </c>
      <c r="J874" s="1">
        <v>1940</v>
      </c>
      <c r="K874" t="s">
        <v>18931</v>
      </c>
      <c r="L874" t="s">
        <v>18907</v>
      </c>
    </row>
    <row r="875" spans="1:12">
      <c r="A875" t="s">
        <v>18932</v>
      </c>
      <c r="B875" s="1" t="s">
        <v>18933</v>
      </c>
      <c r="F875">
        <v>1</v>
      </c>
      <c r="G875" t="str">
        <f>HYPERLINK("http://babel.hathitrust.org/cgi/pt?id=mdp.39015062931699")</f>
        <v>http://babel.hathitrust.org/cgi/pt?id=mdp.39015062931699</v>
      </c>
      <c r="H875" t="str">
        <f>HYPERLINK("http://catalog.hathitrust.org/Record/001058032")</f>
        <v>http://catalog.hathitrust.org/Record/001058032</v>
      </c>
      <c r="J875" s="1">
        <v>1895</v>
      </c>
      <c r="K875" t="s">
        <v>18934</v>
      </c>
      <c r="L875" t="s">
        <v>18935</v>
      </c>
    </row>
    <row r="876" spans="1:12" ht="15">
      <c r="A876" t="s">
        <v>18936</v>
      </c>
      <c r="B876" s="1" t="s">
        <v>18937</v>
      </c>
      <c r="F876">
        <v>1</v>
      </c>
      <c r="G876" t="str">
        <f>HYPERLINK("http://babel.hathitrust.org/cgi/pt?id=mdp.39015002983800")</f>
        <v>http://babel.hathitrust.org/cgi/pt?id=mdp.39015002983800</v>
      </c>
      <c r="H876" t="str">
        <f t="shared" ref="H876:H885" si="18">HYPERLINK("http://catalog.hathitrust.org/Record/001058598")</f>
        <v>http://catalog.hathitrust.org/Record/001058598</v>
      </c>
      <c r="I876" s="1" t="s">
        <v>20916</v>
      </c>
      <c r="J876" s="1">
        <v>1864</v>
      </c>
      <c r="K876" t="s">
        <v>18822</v>
      </c>
    </row>
    <row r="877" spans="1:12" ht="15">
      <c r="A877" t="s">
        <v>18823</v>
      </c>
      <c r="B877" s="1" t="s">
        <v>18937</v>
      </c>
      <c r="F877">
        <v>1</v>
      </c>
      <c r="G877" t="str">
        <f>HYPERLINK("http://babel.hathitrust.org/cgi/pt?id=mdp.39015005857324")</f>
        <v>http://babel.hathitrust.org/cgi/pt?id=mdp.39015005857324</v>
      </c>
      <c r="H877" t="str">
        <f t="shared" si="18"/>
        <v>http://catalog.hathitrust.org/Record/001058598</v>
      </c>
      <c r="I877" s="1" t="s">
        <v>20920</v>
      </c>
      <c r="J877" s="1">
        <v>1864</v>
      </c>
      <c r="K877" t="s">
        <v>18822</v>
      </c>
    </row>
    <row r="878" spans="1:12" ht="15">
      <c r="A878" t="s">
        <v>18824</v>
      </c>
      <c r="B878" s="1" t="s">
        <v>18937</v>
      </c>
      <c r="F878">
        <v>1</v>
      </c>
      <c r="G878" t="str">
        <f>HYPERLINK("http://babel.hathitrust.org/cgi/pt?id=mdp.39015005857332")</f>
        <v>http://babel.hathitrust.org/cgi/pt?id=mdp.39015005857332</v>
      </c>
      <c r="H878" t="str">
        <f t="shared" si="18"/>
        <v>http://catalog.hathitrust.org/Record/001058598</v>
      </c>
      <c r="I878" s="1" t="s">
        <v>18825</v>
      </c>
      <c r="J878" s="1">
        <v>1864</v>
      </c>
      <c r="K878" t="s">
        <v>18822</v>
      </c>
    </row>
    <row r="879" spans="1:12" ht="15">
      <c r="A879" t="s">
        <v>18826</v>
      </c>
      <c r="B879" s="1" t="s">
        <v>18937</v>
      </c>
      <c r="F879">
        <v>1</v>
      </c>
      <c r="G879" t="str">
        <f>HYPERLINK("http://babel.hathitrust.org/cgi/pt?id=mdp.39015034346539")</f>
        <v>http://babel.hathitrust.org/cgi/pt?id=mdp.39015034346539</v>
      </c>
      <c r="H879" t="str">
        <f t="shared" si="18"/>
        <v>http://catalog.hathitrust.org/Record/001058598</v>
      </c>
      <c r="I879" s="1" t="s">
        <v>20755</v>
      </c>
      <c r="J879" s="1">
        <v>1864</v>
      </c>
      <c r="K879" t="s">
        <v>18822</v>
      </c>
    </row>
    <row r="880" spans="1:12" ht="15">
      <c r="A880" t="s">
        <v>18827</v>
      </c>
      <c r="B880" s="1" t="s">
        <v>18937</v>
      </c>
      <c r="F880">
        <v>1</v>
      </c>
      <c r="G880" t="str">
        <f>HYPERLINK("http://babel.hathitrust.org/cgi/pt?id=mdp.39015034346547")</f>
        <v>http://babel.hathitrust.org/cgi/pt?id=mdp.39015034346547</v>
      </c>
      <c r="H880" t="str">
        <f t="shared" si="18"/>
        <v>http://catalog.hathitrust.org/Record/001058598</v>
      </c>
      <c r="I880" s="1" t="s">
        <v>20679</v>
      </c>
      <c r="J880" s="1">
        <v>1864</v>
      </c>
      <c r="K880" t="s">
        <v>18822</v>
      </c>
    </row>
    <row r="881" spans="1:12" ht="15">
      <c r="A881" t="s">
        <v>18828</v>
      </c>
      <c r="B881" s="1" t="s">
        <v>18937</v>
      </c>
      <c r="F881">
        <v>1</v>
      </c>
      <c r="G881" t="str">
        <f>HYPERLINK("http://babel.hathitrust.org/cgi/pt?id=mdp.39015066289839")</f>
        <v>http://babel.hathitrust.org/cgi/pt?id=mdp.39015066289839</v>
      </c>
      <c r="H881" t="str">
        <f t="shared" si="18"/>
        <v>http://catalog.hathitrust.org/Record/001058598</v>
      </c>
      <c r="I881" s="1" t="s">
        <v>18829</v>
      </c>
      <c r="J881" s="1">
        <v>1864</v>
      </c>
      <c r="K881" t="s">
        <v>18822</v>
      </c>
    </row>
    <row r="882" spans="1:12" ht="15">
      <c r="A882" t="s">
        <v>18830</v>
      </c>
      <c r="B882" s="1" t="s">
        <v>18937</v>
      </c>
      <c r="F882">
        <v>1</v>
      </c>
      <c r="G882" t="str">
        <f>HYPERLINK("http://babel.hathitrust.org/cgi/pt?id=uc1.b4023192")</f>
        <v>http://babel.hathitrust.org/cgi/pt?id=uc1.b4023192</v>
      </c>
      <c r="H882" t="str">
        <f t="shared" si="18"/>
        <v>http://catalog.hathitrust.org/Record/001058598</v>
      </c>
      <c r="I882" s="1" t="s">
        <v>20755</v>
      </c>
      <c r="J882" s="1">
        <v>1864</v>
      </c>
      <c r="K882" t="s">
        <v>18822</v>
      </c>
    </row>
    <row r="883" spans="1:12" ht="15">
      <c r="A883" t="s">
        <v>18831</v>
      </c>
      <c r="B883" s="1" t="s">
        <v>18937</v>
      </c>
      <c r="F883">
        <v>1</v>
      </c>
      <c r="G883" t="str">
        <f>HYPERLINK("http://babel.hathitrust.org/cgi/pt?id=uc1.b4023193")</f>
        <v>http://babel.hathitrust.org/cgi/pt?id=uc1.b4023193</v>
      </c>
      <c r="H883" t="str">
        <f t="shared" si="18"/>
        <v>http://catalog.hathitrust.org/Record/001058598</v>
      </c>
      <c r="I883" s="1" t="s">
        <v>20920</v>
      </c>
      <c r="J883" s="1">
        <v>1864</v>
      </c>
      <c r="K883" t="s">
        <v>18822</v>
      </c>
    </row>
    <row r="884" spans="1:12" ht="15">
      <c r="A884" t="s">
        <v>18832</v>
      </c>
      <c r="B884" s="1" t="s">
        <v>18937</v>
      </c>
      <c r="F884">
        <v>1</v>
      </c>
      <c r="G884" t="str">
        <f>HYPERLINK("http://babel.hathitrust.org/cgi/pt?id=uc1.b4023194")</f>
        <v>http://babel.hathitrust.org/cgi/pt?id=uc1.b4023194</v>
      </c>
      <c r="H884" t="str">
        <f t="shared" si="18"/>
        <v>http://catalog.hathitrust.org/Record/001058598</v>
      </c>
      <c r="I884" s="1" t="s">
        <v>20679</v>
      </c>
      <c r="J884" s="1">
        <v>1864</v>
      </c>
      <c r="K884" t="s">
        <v>18822</v>
      </c>
    </row>
    <row r="885" spans="1:12" ht="15">
      <c r="A885" t="s">
        <v>18833</v>
      </c>
      <c r="B885" s="1" t="s">
        <v>18937</v>
      </c>
      <c r="F885">
        <v>1</v>
      </c>
      <c r="G885" t="str">
        <f>HYPERLINK("http://babel.hathitrust.org/cgi/pt?id=uc1.b4023195")</f>
        <v>http://babel.hathitrust.org/cgi/pt?id=uc1.b4023195</v>
      </c>
      <c r="H885" t="str">
        <f t="shared" si="18"/>
        <v>http://catalog.hathitrust.org/Record/001058598</v>
      </c>
      <c r="I885" s="1" t="s">
        <v>18834</v>
      </c>
      <c r="J885" s="1">
        <v>1864</v>
      </c>
      <c r="K885" t="s">
        <v>18822</v>
      </c>
    </row>
    <row r="886" spans="1:12">
      <c r="A886" t="s">
        <v>18835</v>
      </c>
      <c r="B886" s="1" t="s">
        <v>18836</v>
      </c>
      <c r="F886">
        <v>1</v>
      </c>
      <c r="G886" t="str">
        <f>HYPERLINK("http://babel.hathitrust.org/cgi/pt?id=mdp.39015051109711")</f>
        <v>http://babel.hathitrust.org/cgi/pt?id=mdp.39015051109711</v>
      </c>
      <c r="H886" t="str">
        <f>HYPERLINK("http://catalog.hathitrust.org/Record/001059090")</f>
        <v>http://catalog.hathitrust.org/Record/001059090</v>
      </c>
      <c r="J886" s="1">
        <v>1944</v>
      </c>
      <c r="K886" t="s">
        <v>18837</v>
      </c>
      <c r="L886" t="s">
        <v>18838</v>
      </c>
    </row>
    <row r="887" spans="1:12">
      <c r="A887" t="s">
        <v>18839</v>
      </c>
      <c r="B887" s="1" t="s">
        <v>18836</v>
      </c>
      <c r="F887">
        <v>1</v>
      </c>
      <c r="G887" t="str">
        <f>HYPERLINK("http://babel.hathitrust.org/cgi/pt?id=uc1.$b430274")</f>
        <v>http://babel.hathitrust.org/cgi/pt?id=uc1.$b430274</v>
      </c>
      <c r="H887" t="str">
        <f>HYPERLINK("http://catalog.hathitrust.org/Record/001059090")</f>
        <v>http://catalog.hathitrust.org/Record/001059090</v>
      </c>
      <c r="J887" s="1">
        <v>1944</v>
      </c>
      <c r="K887" t="s">
        <v>18837</v>
      </c>
      <c r="L887" t="s">
        <v>18838</v>
      </c>
    </row>
    <row r="888" spans="1:12">
      <c r="A888" t="s">
        <v>18840</v>
      </c>
      <c r="B888" s="1" t="s">
        <v>18841</v>
      </c>
      <c r="F888">
        <v>1</v>
      </c>
      <c r="G888" t="str">
        <f>HYPERLINK("http://babel.hathitrust.org/cgi/pt?id=mdp.39015010303009")</f>
        <v>http://babel.hathitrust.org/cgi/pt?id=mdp.39015010303009</v>
      </c>
      <c r="H888" t="str">
        <f>HYPERLINK("http://catalog.hathitrust.org/Record/001059173")</f>
        <v>http://catalog.hathitrust.org/Record/001059173</v>
      </c>
      <c r="J888" s="1">
        <v>1949</v>
      </c>
      <c r="K888" t="s">
        <v>18842</v>
      </c>
      <c r="L888" t="s">
        <v>18843</v>
      </c>
    </row>
    <row r="889" spans="1:12">
      <c r="A889" t="s">
        <v>18844</v>
      </c>
      <c r="B889" s="1" t="s">
        <v>18841</v>
      </c>
      <c r="F889">
        <v>1</v>
      </c>
      <c r="G889" t="str">
        <f>HYPERLINK("http://babel.hathitrust.org/cgi/pt?id=mdp.39015066972491")</f>
        <v>http://babel.hathitrust.org/cgi/pt?id=mdp.39015066972491</v>
      </c>
      <c r="H889" t="str">
        <f>HYPERLINK("http://catalog.hathitrust.org/Record/001059173")</f>
        <v>http://catalog.hathitrust.org/Record/001059173</v>
      </c>
      <c r="J889" s="1">
        <v>1949</v>
      </c>
      <c r="K889" t="s">
        <v>18842</v>
      </c>
      <c r="L889" t="s">
        <v>18843</v>
      </c>
    </row>
    <row r="890" spans="1:12">
      <c r="A890" t="s">
        <v>18845</v>
      </c>
      <c r="B890" s="1" t="s">
        <v>18846</v>
      </c>
      <c r="E890">
        <v>1</v>
      </c>
      <c r="G890" t="str">
        <f>HYPERLINK("http://babel.hathitrust.org/cgi/pt?id=mdp.39015008865647")</f>
        <v>http://babel.hathitrust.org/cgi/pt?id=mdp.39015008865647</v>
      </c>
      <c r="H890" t="str">
        <f>HYPERLINK("http://catalog.hathitrust.org/Record/001066739")</f>
        <v>http://catalog.hathitrust.org/Record/001066739</v>
      </c>
      <c r="I890" s="1" t="s">
        <v>20920</v>
      </c>
      <c r="J890" s="1">
        <v>1911</v>
      </c>
      <c r="K890" t="s">
        <v>18847</v>
      </c>
      <c r="L890" t="s">
        <v>18848</v>
      </c>
    </row>
    <row r="891" spans="1:12">
      <c r="A891" t="s">
        <v>18849</v>
      </c>
      <c r="B891" s="1" t="s">
        <v>18846</v>
      </c>
      <c r="E891">
        <v>1</v>
      </c>
      <c r="G891" t="str">
        <f>HYPERLINK("http://babel.hathitrust.org/cgi/pt?id=mdp.39015008865654")</f>
        <v>http://babel.hathitrust.org/cgi/pt?id=mdp.39015008865654</v>
      </c>
      <c r="H891" t="str">
        <f>HYPERLINK("http://catalog.hathitrust.org/Record/001066739")</f>
        <v>http://catalog.hathitrust.org/Record/001066739</v>
      </c>
      <c r="I891" s="1" t="s">
        <v>20679</v>
      </c>
      <c r="J891" s="1">
        <v>1911</v>
      </c>
      <c r="K891" t="s">
        <v>18847</v>
      </c>
      <c r="L891" t="s">
        <v>18848</v>
      </c>
    </row>
    <row r="892" spans="1:12">
      <c r="A892" t="s">
        <v>18850</v>
      </c>
      <c r="B892" s="1" t="s">
        <v>18846</v>
      </c>
      <c r="E892">
        <v>1</v>
      </c>
      <c r="G892" t="str">
        <f>HYPERLINK("http://babel.hathitrust.org/cgi/pt?id=mdp.39015008868211")</f>
        <v>http://babel.hathitrust.org/cgi/pt?id=mdp.39015008868211</v>
      </c>
      <c r="H892" t="str">
        <f>HYPERLINK("http://catalog.hathitrust.org/Record/001066739")</f>
        <v>http://catalog.hathitrust.org/Record/001066739</v>
      </c>
      <c r="I892" s="1" t="s">
        <v>20916</v>
      </c>
      <c r="J892" s="1">
        <v>1911</v>
      </c>
      <c r="K892" t="s">
        <v>18847</v>
      </c>
      <c r="L892" t="s">
        <v>18848</v>
      </c>
    </row>
    <row r="893" spans="1:12">
      <c r="A893" t="s">
        <v>18851</v>
      </c>
      <c r="B893" s="1" t="s">
        <v>18846</v>
      </c>
      <c r="E893">
        <v>1</v>
      </c>
      <c r="G893" t="str">
        <f>HYPERLINK("http://babel.hathitrust.org/cgi/pt?id=umn.31951d001568391")</f>
        <v>http://babel.hathitrust.org/cgi/pt?id=umn.31951d001568391</v>
      </c>
      <c r="H893" t="str">
        <f>HYPERLINK("http://catalog.hathitrust.org/Record/001066739")</f>
        <v>http://catalog.hathitrust.org/Record/001066739</v>
      </c>
      <c r="I893" s="1" t="s">
        <v>20755</v>
      </c>
      <c r="J893" s="1">
        <v>1911</v>
      </c>
      <c r="K893" t="s">
        <v>18847</v>
      </c>
      <c r="L893" t="s">
        <v>18848</v>
      </c>
    </row>
    <row r="894" spans="1:12">
      <c r="A894" t="s">
        <v>18852</v>
      </c>
      <c r="B894" s="1" t="s">
        <v>18846</v>
      </c>
      <c r="E894">
        <v>1</v>
      </c>
      <c r="G894" t="str">
        <f>HYPERLINK("http://babel.hathitrust.org/cgi/pt?id=uva.x000677620")</f>
        <v>http://babel.hathitrust.org/cgi/pt?id=uva.x000677620</v>
      </c>
      <c r="H894" t="str">
        <f>HYPERLINK("http://catalog.hathitrust.org/Record/001066739")</f>
        <v>http://catalog.hathitrust.org/Record/001066739</v>
      </c>
      <c r="I894" s="1" t="s">
        <v>20681</v>
      </c>
      <c r="J894" s="1">
        <v>1911</v>
      </c>
      <c r="K894" t="s">
        <v>18847</v>
      </c>
      <c r="L894" t="s">
        <v>18848</v>
      </c>
    </row>
    <row r="895" spans="1:12">
      <c r="A895" t="s">
        <v>18853</v>
      </c>
      <c r="B895" s="1" t="s">
        <v>18854</v>
      </c>
      <c r="F895">
        <v>1</v>
      </c>
      <c r="G895" t="str">
        <f>HYPERLINK("http://babel.hathitrust.org/cgi/pt?id=mdp.39015028770694")</f>
        <v>http://babel.hathitrust.org/cgi/pt?id=mdp.39015028770694</v>
      </c>
      <c r="H895" t="str">
        <f>HYPERLINK("http://catalog.hathitrust.org/Record/001071857")</f>
        <v>http://catalog.hathitrust.org/Record/001071857</v>
      </c>
      <c r="J895" s="1">
        <v>1896</v>
      </c>
      <c r="K895" t="s">
        <v>18855</v>
      </c>
      <c r="L895" t="s">
        <v>18856</v>
      </c>
    </row>
    <row r="896" spans="1:12">
      <c r="A896" t="s">
        <v>18857</v>
      </c>
      <c r="B896" s="1" t="s">
        <v>18854</v>
      </c>
      <c r="F896">
        <v>1</v>
      </c>
      <c r="G896" t="str">
        <f>HYPERLINK("http://babel.hathitrust.org/cgi/pt?id=uc1.$b778699")</f>
        <v>http://babel.hathitrust.org/cgi/pt?id=uc1.$b778699</v>
      </c>
      <c r="H896" t="str">
        <f>HYPERLINK("http://catalog.hathitrust.org/Record/001071857")</f>
        <v>http://catalog.hathitrust.org/Record/001071857</v>
      </c>
      <c r="J896" s="1">
        <v>1896</v>
      </c>
      <c r="K896" t="s">
        <v>18855</v>
      </c>
      <c r="L896" t="s">
        <v>18856</v>
      </c>
    </row>
    <row r="897" spans="1:12">
      <c r="A897" t="s">
        <v>18858</v>
      </c>
      <c r="B897" s="1" t="s">
        <v>18854</v>
      </c>
      <c r="F897">
        <v>1</v>
      </c>
      <c r="G897" t="str">
        <f>HYPERLINK("http://babel.hathitrust.org/cgi/pt?id=yale.39002085767987")</f>
        <v>http://babel.hathitrust.org/cgi/pt?id=yale.39002085767987</v>
      </c>
      <c r="H897" t="str">
        <f>HYPERLINK("http://catalog.hathitrust.org/Record/001071857")</f>
        <v>http://catalog.hathitrust.org/Record/001071857</v>
      </c>
      <c r="J897" s="1">
        <v>1896</v>
      </c>
      <c r="K897" t="s">
        <v>18855</v>
      </c>
      <c r="L897" t="s">
        <v>18856</v>
      </c>
    </row>
    <row r="898" spans="1:12">
      <c r="A898" t="s">
        <v>18859</v>
      </c>
      <c r="B898" s="1" t="s">
        <v>18860</v>
      </c>
      <c r="F898">
        <v>1</v>
      </c>
      <c r="G898" t="str">
        <f>HYPERLINK("http://babel.hathitrust.org/cgi/pt?id=mdp.39015066650626")</f>
        <v>http://babel.hathitrust.org/cgi/pt?id=mdp.39015066650626</v>
      </c>
      <c r="H898" t="str">
        <f>HYPERLINK("http://catalog.hathitrust.org/Record/001076011")</f>
        <v>http://catalog.hathitrust.org/Record/001076011</v>
      </c>
      <c r="J898" s="1">
        <v>1857</v>
      </c>
      <c r="K898" t="s">
        <v>18861</v>
      </c>
      <c r="L898" t="s">
        <v>18862</v>
      </c>
    </row>
    <row r="899" spans="1:12">
      <c r="A899" t="s">
        <v>18863</v>
      </c>
      <c r="B899" s="1" t="s">
        <v>18864</v>
      </c>
      <c r="F899">
        <v>1</v>
      </c>
      <c r="G899" t="str">
        <f>HYPERLINK("http://babel.hathitrust.org/cgi/pt?id=mdp.39015063986502")</f>
        <v>http://babel.hathitrust.org/cgi/pt?id=mdp.39015063986502</v>
      </c>
      <c r="H899" t="str">
        <f>HYPERLINK("http://catalog.hathitrust.org/Record/001076017")</f>
        <v>http://catalog.hathitrust.org/Record/001076017</v>
      </c>
      <c r="J899" s="1">
        <v>1903</v>
      </c>
      <c r="K899" t="s">
        <v>18865</v>
      </c>
      <c r="L899" t="s">
        <v>18866</v>
      </c>
    </row>
    <row r="900" spans="1:12">
      <c r="A900" t="s">
        <v>18867</v>
      </c>
      <c r="B900" s="1" t="s">
        <v>18864</v>
      </c>
      <c r="F900">
        <v>1</v>
      </c>
      <c r="G900" t="str">
        <f>HYPERLINK("http://babel.hathitrust.org/cgi/pt?id=nyp.33433082132725")</f>
        <v>http://babel.hathitrust.org/cgi/pt?id=nyp.33433082132725</v>
      </c>
      <c r="H900" t="str">
        <f>HYPERLINK("http://catalog.hathitrust.org/Record/001076017")</f>
        <v>http://catalog.hathitrust.org/Record/001076017</v>
      </c>
      <c r="J900" s="1">
        <v>1903</v>
      </c>
      <c r="K900" t="s">
        <v>18865</v>
      </c>
      <c r="L900" t="s">
        <v>18866</v>
      </c>
    </row>
    <row r="901" spans="1:12">
      <c r="A901" t="s">
        <v>18868</v>
      </c>
      <c r="B901" s="1" t="s">
        <v>18864</v>
      </c>
      <c r="F901">
        <v>1</v>
      </c>
      <c r="G901" t="str">
        <f>HYPERLINK("http://babel.hathitrust.org/cgi/pt?id=uc1.32106001558714")</f>
        <v>http://babel.hathitrust.org/cgi/pt?id=uc1.32106001558714</v>
      </c>
      <c r="H901" t="str">
        <f>HYPERLINK("http://catalog.hathitrust.org/Record/001076017")</f>
        <v>http://catalog.hathitrust.org/Record/001076017</v>
      </c>
      <c r="J901" s="1">
        <v>1903</v>
      </c>
      <c r="K901" t="s">
        <v>18865</v>
      </c>
      <c r="L901" t="s">
        <v>18866</v>
      </c>
    </row>
    <row r="902" spans="1:12">
      <c r="A902" t="s">
        <v>18869</v>
      </c>
      <c r="B902" s="1" t="s">
        <v>18864</v>
      </c>
      <c r="F902">
        <v>1</v>
      </c>
      <c r="G902" t="str">
        <f>HYPERLINK("http://babel.hathitrust.org/cgi/pt?id=uc2.ark:/13960/t82j6n224")</f>
        <v>http://babel.hathitrust.org/cgi/pt?id=uc2.ark:/13960/t82j6n224</v>
      </c>
      <c r="H902" t="str">
        <f>HYPERLINK("http://catalog.hathitrust.org/Record/001076017")</f>
        <v>http://catalog.hathitrust.org/Record/001076017</v>
      </c>
      <c r="J902" s="1">
        <v>1903</v>
      </c>
      <c r="K902" t="s">
        <v>18865</v>
      </c>
      <c r="L902" t="s">
        <v>18866</v>
      </c>
    </row>
    <row r="903" spans="1:12">
      <c r="A903" t="s">
        <v>18870</v>
      </c>
      <c r="B903" s="1" t="s">
        <v>18871</v>
      </c>
      <c r="F903">
        <v>1</v>
      </c>
      <c r="G903" t="str">
        <f>HYPERLINK("http://babel.hathitrust.org/cgi/pt?id=mdp.39015070460061")</f>
        <v>http://babel.hathitrust.org/cgi/pt?id=mdp.39015070460061</v>
      </c>
      <c r="H903" t="str">
        <f>HYPERLINK("http://catalog.hathitrust.org/Record/001086480")</f>
        <v>http://catalog.hathitrust.org/Record/001086480</v>
      </c>
      <c r="J903" s="1">
        <v>1895</v>
      </c>
      <c r="K903" t="s">
        <v>18872</v>
      </c>
      <c r="L903" t="s">
        <v>20937</v>
      </c>
    </row>
    <row r="904" spans="1:12">
      <c r="A904" t="s">
        <v>18873</v>
      </c>
      <c r="B904" s="1" t="s">
        <v>18874</v>
      </c>
      <c r="F904">
        <v>1</v>
      </c>
      <c r="G904" t="str">
        <f>HYPERLINK("http://babel.hathitrust.org/cgi/pt?id=mdp.39015070471613")</f>
        <v>http://babel.hathitrust.org/cgi/pt?id=mdp.39015070471613</v>
      </c>
      <c r="H904" t="str">
        <f>HYPERLINK("http://catalog.hathitrust.org/Record/001086766")</f>
        <v>http://catalog.hathitrust.org/Record/001086766</v>
      </c>
      <c r="J904" s="1">
        <v>1807</v>
      </c>
      <c r="K904" t="s">
        <v>18875</v>
      </c>
      <c r="L904" t="s">
        <v>18876</v>
      </c>
    </row>
    <row r="905" spans="1:12">
      <c r="A905" t="s">
        <v>18877</v>
      </c>
      <c r="B905" s="1" t="s">
        <v>18878</v>
      </c>
      <c r="F905">
        <v>1</v>
      </c>
      <c r="G905" t="str">
        <f>HYPERLINK("http://babel.hathitrust.org/cgi/pt?id=mdp.39015001991457")</f>
        <v>http://babel.hathitrust.org/cgi/pt?id=mdp.39015001991457</v>
      </c>
      <c r="H905" t="str">
        <f>HYPERLINK("http://catalog.hathitrust.org/Record/001110942")</f>
        <v>http://catalog.hathitrust.org/Record/001110942</v>
      </c>
      <c r="J905" s="1">
        <v>1955</v>
      </c>
      <c r="K905" t="s">
        <v>18879</v>
      </c>
      <c r="L905" t="s">
        <v>18880</v>
      </c>
    </row>
    <row r="906" spans="1:12">
      <c r="A906" t="s">
        <v>18881</v>
      </c>
      <c r="B906" s="1" t="s">
        <v>18878</v>
      </c>
      <c r="F906">
        <v>1</v>
      </c>
      <c r="G906" t="str">
        <f>HYPERLINK("http://babel.hathitrust.org/cgi/pt?id=mdp.39015001991556")</f>
        <v>http://babel.hathitrust.org/cgi/pt?id=mdp.39015001991556</v>
      </c>
      <c r="H906" t="str">
        <f>HYPERLINK("http://catalog.hathitrust.org/Record/001110942")</f>
        <v>http://catalog.hathitrust.org/Record/001110942</v>
      </c>
      <c r="J906" s="1">
        <v>1955</v>
      </c>
      <c r="K906" t="s">
        <v>18879</v>
      </c>
      <c r="L906" t="s">
        <v>18880</v>
      </c>
    </row>
    <row r="907" spans="1:12">
      <c r="A907" t="s">
        <v>18882</v>
      </c>
      <c r="B907" s="1" t="s">
        <v>18883</v>
      </c>
      <c r="F907">
        <v>1</v>
      </c>
      <c r="G907" t="str">
        <f>HYPERLINK("http://babel.hathitrust.org/cgi/pt?id=mdp.39015003892877")</f>
        <v>http://babel.hathitrust.org/cgi/pt?id=mdp.39015003892877</v>
      </c>
      <c r="H907" t="str">
        <f>HYPERLINK("http://catalog.hathitrust.org/Record/001111073")</f>
        <v>http://catalog.hathitrust.org/Record/001111073</v>
      </c>
      <c r="J907" s="1">
        <v>1963</v>
      </c>
      <c r="K907" t="s">
        <v>18884</v>
      </c>
      <c r="L907" t="s">
        <v>18885</v>
      </c>
    </row>
    <row r="908" spans="1:12">
      <c r="A908" t="s">
        <v>18886</v>
      </c>
      <c r="B908" s="1" t="s">
        <v>18883</v>
      </c>
      <c r="F908">
        <v>1</v>
      </c>
      <c r="G908" t="str">
        <f>HYPERLINK("http://babel.hathitrust.org/cgi/pt?id=mdp.39015021557908")</f>
        <v>http://babel.hathitrust.org/cgi/pt?id=mdp.39015021557908</v>
      </c>
      <c r="H908" t="str">
        <f>HYPERLINK("http://catalog.hathitrust.org/Record/001111073")</f>
        <v>http://catalog.hathitrust.org/Record/001111073</v>
      </c>
      <c r="J908" s="1">
        <v>1963</v>
      </c>
      <c r="K908" t="s">
        <v>18884</v>
      </c>
      <c r="L908" t="s">
        <v>18885</v>
      </c>
    </row>
    <row r="909" spans="1:12">
      <c r="A909" t="s">
        <v>18887</v>
      </c>
      <c r="B909" s="1" t="s">
        <v>18883</v>
      </c>
      <c r="F909">
        <v>1</v>
      </c>
      <c r="G909" t="str">
        <f>HYPERLINK("http://babel.hathitrust.org/cgi/pt?id=mdp.39015021557916")</f>
        <v>http://babel.hathitrust.org/cgi/pt?id=mdp.39015021557916</v>
      </c>
      <c r="H909" t="str">
        <f>HYPERLINK("http://catalog.hathitrust.org/Record/001111073")</f>
        <v>http://catalog.hathitrust.org/Record/001111073</v>
      </c>
      <c r="J909" s="1">
        <v>1963</v>
      </c>
      <c r="K909" t="s">
        <v>18884</v>
      </c>
      <c r="L909" t="s">
        <v>18885</v>
      </c>
    </row>
    <row r="910" spans="1:12">
      <c r="A910" t="s">
        <v>18888</v>
      </c>
      <c r="B910" s="1" t="s">
        <v>18889</v>
      </c>
      <c r="F910">
        <v>1</v>
      </c>
      <c r="G910" t="str">
        <f>HYPERLINK("http://babel.hathitrust.org/cgi/pt?id=mdp.39015005272771")</f>
        <v>http://babel.hathitrust.org/cgi/pt?id=mdp.39015005272771</v>
      </c>
      <c r="H910" t="str">
        <f>HYPERLINK("http://catalog.hathitrust.org/Record/001111283")</f>
        <v>http://catalog.hathitrust.org/Record/001111283</v>
      </c>
      <c r="J910" s="1">
        <v>1927</v>
      </c>
      <c r="K910" t="s">
        <v>18890</v>
      </c>
      <c r="L910" t="s">
        <v>18891</v>
      </c>
    </row>
    <row r="911" spans="1:12">
      <c r="A911" t="s">
        <v>18892</v>
      </c>
      <c r="B911" s="1" t="s">
        <v>18889</v>
      </c>
      <c r="F911">
        <v>1</v>
      </c>
      <c r="G911" t="str">
        <f>HYPERLINK("http://babel.hathitrust.org/cgi/pt?id=mdp.39015005321313")</f>
        <v>http://babel.hathitrust.org/cgi/pt?id=mdp.39015005321313</v>
      </c>
      <c r="H911" t="str">
        <f>HYPERLINK("http://catalog.hathitrust.org/Record/001111283")</f>
        <v>http://catalog.hathitrust.org/Record/001111283</v>
      </c>
      <c r="J911" s="1">
        <v>1927</v>
      </c>
      <c r="K911" t="s">
        <v>18890</v>
      </c>
      <c r="L911" t="s">
        <v>18891</v>
      </c>
    </row>
    <row r="912" spans="1:12">
      <c r="A912" t="s">
        <v>18893</v>
      </c>
      <c r="B912" s="1" t="s">
        <v>18889</v>
      </c>
      <c r="F912">
        <v>1</v>
      </c>
      <c r="G912" t="str">
        <f>HYPERLINK("http://babel.hathitrust.org/cgi/pt?id=uc1.b3528466")</f>
        <v>http://babel.hathitrust.org/cgi/pt?id=uc1.b3528466</v>
      </c>
      <c r="H912" t="str">
        <f>HYPERLINK("http://catalog.hathitrust.org/Record/001111283")</f>
        <v>http://catalog.hathitrust.org/Record/001111283</v>
      </c>
      <c r="J912" s="1">
        <v>1927</v>
      </c>
      <c r="K912" t="s">
        <v>18890</v>
      </c>
      <c r="L912" t="s">
        <v>18891</v>
      </c>
    </row>
    <row r="913" spans="1:12">
      <c r="A913" t="s">
        <v>18894</v>
      </c>
      <c r="B913" s="1" t="s">
        <v>18895</v>
      </c>
      <c r="F913">
        <v>1</v>
      </c>
      <c r="G913" t="str">
        <f>HYPERLINK("http://babel.hathitrust.org/cgi/pt?id=mdp.39015001578593")</f>
        <v>http://babel.hathitrust.org/cgi/pt?id=mdp.39015001578593</v>
      </c>
      <c r="H913" t="str">
        <f>HYPERLINK("http://catalog.hathitrust.org/Record/001111527")</f>
        <v>http://catalog.hathitrust.org/Record/001111527</v>
      </c>
      <c r="I913" s="1" t="s">
        <v>20755</v>
      </c>
      <c r="J913" s="1">
        <v>1962</v>
      </c>
      <c r="K913" t="s">
        <v>18758</v>
      </c>
      <c r="L913" t="s">
        <v>18759</v>
      </c>
    </row>
    <row r="914" spans="1:12">
      <c r="A914" t="s">
        <v>18760</v>
      </c>
      <c r="B914" s="1" t="s">
        <v>18895</v>
      </c>
      <c r="F914">
        <v>1</v>
      </c>
      <c r="G914" t="str">
        <f>HYPERLINK("http://babel.hathitrust.org/cgi/pt?id=mdp.39015005865848")</f>
        <v>http://babel.hathitrust.org/cgi/pt?id=mdp.39015005865848</v>
      </c>
      <c r="H914" t="str">
        <f>HYPERLINK("http://catalog.hathitrust.org/Record/001111527")</f>
        <v>http://catalog.hathitrust.org/Record/001111527</v>
      </c>
      <c r="I914" s="1" t="s">
        <v>20755</v>
      </c>
      <c r="J914" s="1">
        <v>1962</v>
      </c>
      <c r="K914" t="s">
        <v>18758</v>
      </c>
      <c r="L914" t="s">
        <v>18759</v>
      </c>
    </row>
    <row r="915" spans="1:12">
      <c r="A915" t="s">
        <v>18761</v>
      </c>
      <c r="B915" s="1" t="s">
        <v>18895</v>
      </c>
      <c r="F915">
        <v>1</v>
      </c>
      <c r="G915" t="str">
        <f>HYPERLINK("http://babel.hathitrust.org/cgi/pt?id=mdp.39015008539481")</f>
        <v>http://babel.hathitrust.org/cgi/pt?id=mdp.39015008539481</v>
      </c>
      <c r="H915" t="str">
        <f>HYPERLINK("http://catalog.hathitrust.org/Record/001111527")</f>
        <v>http://catalog.hathitrust.org/Record/001111527</v>
      </c>
      <c r="I915" s="1" t="s">
        <v>20916</v>
      </c>
      <c r="J915" s="1">
        <v>1962</v>
      </c>
      <c r="K915" t="s">
        <v>18758</v>
      </c>
      <c r="L915" t="s">
        <v>18759</v>
      </c>
    </row>
    <row r="916" spans="1:12">
      <c r="A916" t="s">
        <v>18762</v>
      </c>
      <c r="B916" s="1" t="s">
        <v>18895</v>
      </c>
      <c r="F916">
        <v>1</v>
      </c>
      <c r="G916" t="str">
        <f>HYPERLINK("http://babel.hathitrust.org/cgi/pt?id=mdp.39015066582688")</f>
        <v>http://babel.hathitrust.org/cgi/pt?id=mdp.39015066582688</v>
      </c>
      <c r="H916" t="str">
        <f>HYPERLINK("http://catalog.hathitrust.org/Record/001111527")</f>
        <v>http://catalog.hathitrust.org/Record/001111527</v>
      </c>
      <c r="I916" s="1" t="s">
        <v>20755</v>
      </c>
      <c r="J916" s="1">
        <v>1962</v>
      </c>
      <c r="K916" t="s">
        <v>18758</v>
      </c>
      <c r="L916" t="s">
        <v>18759</v>
      </c>
    </row>
    <row r="917" spans="1:12">
      <c r="A917" t="s">
        <v>18763</v>
      </c>
      <c r="B917" s="1" t="s">
        <v>18895</v>
      </c>
      <c r="F917">
        <v>1</v>
      </c>
      <c r="G917" t="str">
        <f>HYPERLINK("http://babel.hathitrust.org/cgi/pt?id=mdp.39015066582696")</f>
        <v>http://babel.hathitrust.org/cgi/pt?id=mdp.39015066582696</v>
      </c>
      <c r="H917" t="str">
        <f>HYPERLINK("http://catalog.hathitrust.org/Record/001111527")</f>
        <v>http://catalog.hathitrust.org/Record/001111527</v>
      </c>
      <c r="I917" s="1" t="s">
        <v>20916</v>
      </c>
      <c r="J917" s="1">
        <v>1962</v>
      </c>
      <c r="K917" t="s">
        <v>18758</v>
      </c>
      <c r="L917" t="s">
        <v>18759</v>
      </c>
    </row>
    <row r="918" spans="1:12">
      <c r="A918" t="s">
        <v>18764</v>
      </c>
      <c r="B918" s="1" t="s">
        <v>18765</v>
      </c>
      <c r="F918">
        <v>1</v>
      </c>
      <c r="G918" t="str">
        <f>HYPERLINK("http://babel.hathitrust.org/cgi/pt?id=mdp.39015066578900")</f>
        <v>http://babel.hathitrust.org/cgi/pt?id=mdp.39015066578900</v>
      </c>
      <c r="H918" t="str">
        <f>HYPERLINK("http://catalog.hathitrust.org/Record/001111855")</f>
        <v>http://catalog.hathitrust.org/Record/001111855</v>
      </c>
      <c r="J918" s="1">
        <v>1912</v>
      </c>
      <c r="K918" t="s">
        <v>18766</v>
      </c>
      <c r="L918" t="s">
        <v>20501</v>
      </c>
    </row>
    <row r="919" spans="1:12">
      <c r="A919" t="s">
        <v>18767</v>
      </c>
      <c r="B919" s="1" t="s">
        <v>18768</v>
      </c>
      <c r="F919">
        <v>1</v>
      </c>
      <c r="G919" t="str">
        <f>HYPERLINK("http://babel.hathitrust.org/cgi/pt?id=mdp.39015063820859")</f>
        <v>http://babel.hathitrust.org/cgi/pt?id=mdp.39015063820859</v>
      </c>
      <c r="H919" t="str">
        <f>HYPERLINK("http://catalog.hathitrust.org/Record/001111859")</f>
        <v>http://catalog.hathitrust.org/Record/001111859</v>
      </c>
      <c r="J919" s="1">
        <v>1894</v>
      </c>
      <c r="K919" t="s">
        <v>18769</v>
      </c>
      <c r="L919" t="s">
        <v>19211</v>
      </c>
    </row>
    <row r="920" spans="1:12">
      <c r="A920" t="s">
        <v>18770</v>
      </c>
      <c r="B920" s="1" t="s">
        <v>18768</v>
      </c>
      <c r="F920">
        <v>1</v>
      </c>
      <c r="G920" t="str">
        <f>HYPERLINK("http://babel.hathitrust.org/cgi/pt?id=uc1.b4095480")</f>
        <v>http://babel.hathitrust.org/cgi/pt?id=uc1.b4095480</v>
      </c>
      <c r="H920" t="str">
        <f>HYPERLINK("http://catalog.hathitrust.org/Record/001111859")</f>
        <v>http://catalog.hathitrust.org/Record/001111859</v>
      </c>
      <c r="J920" s="1">
        <v>1894</v>
      </c>
      <c r="K920" t="s">
        <v>18769</v>
      </c>
      <c r="L920" t="s">
        <v>19211</v>
      </c>
    </row>
    <row r="921" spans="1:12">
      <c r="A921" t="s">
        <v>18771</v>
      </c>
      <c r="B921" s="1" t="s">
        <v>18768</v>
      </c>
      <c r="F921">
        <v>1</v>
      </c>
      <c r="G921" t="str">
        <f>HYPERLINK("http://babel.hathitrust.org/cgi/pt?id=uc2.ark:/13960/t2j67mf28")</f>
        <v>http://babel.hathitrust.org/cgi/pt?id=uc2.ark:/13960/t2j67mf28</v>
      </c>
      <c r="H921" t="str">
        <f>HYPERLINK("http://catalog.hathitrust.org/Record/001111859")</f>
        <v>http://catalog.hathitrust.org/Record/001111859</v>
      </c>
      <c r="J921" s="1">
        <v>1894</v>
      </c>
      <c r="K921" t="s">
        <v>18769</v>
      </c>
      <c r="L921" t="s">
        <v>19211</v>
      </c>
    </row>
    <row r="922" spans="1:12">
      <c r="A922" t="s">
        <v>18772</v>
      </c>
      <c r="B922" s="1" t="s">
        <v>18773</v>
      </c>
      <c r="F922">
        <v>1</v>
      </c>
      <c r="G922" t="str">
        <f>HYPERLINK("http://babel.hathitrust.org/cgi/pt?id=mdp.39015067092893")</f>
        <v>http://babel.hathitrust.org/cgi/pt?id=mdp.39015067092893</v>
      </c>
      <c r="H922" t="str">
        <f>HYPERLINK("http://catalog.hathitrust.org/Record/001111860")</f>
        <v>http://catalog.hathitrust.org/Record/001111860</v>
      </c>
      <c r="J922" s="1">
        <v>1885</v>
      </c>
      <c r="K922" t="s">
        <v>18774</v>
      </c>
      <c r="L922" t="s">
        <v>19211</v>
      </c>
    </row>
    <row r="923" spans="1:12">
      <c r="A923" t="s">
        <v>18775</v>
      </c>
      <c r="B923" s="1" t="s">
        <v>18773</v>
      </c>
      <c r="F923">
        <v>1</v>
      </c>
      <c r="G923" t="str">
        <f>HYPERLINK("http://babel.hathitrust.org/cgi/pt?id=uc1.b158048")</f>
        <v>http://babel.hathitrust.org/cgi/pt?id=uc1.b158048</v>
      </c>
      <c r="H923" t="str">
        <f>HYPERLINK("http://catalog.hathitrust.org/Record/001111860")</f>
        <v>http://catalog.hathitrust.org/Record/001111860</v>
      </c>
      <c r="J923" s="1">
        <v>1885</v>
      </c>
      <c r="K923" t="s">
        <v>18774</v>
      </c>
      <c r="L923" t="s">
        <v>19211</v>
      </c>
    </row>
    <row r="924" spans="1:12">
      <c r="A924" t="s">
        <v>18776</v>
      </c>
      <c r="B924" s="1" t="s">
        <v>18773</v>
      </c>
      <c r="F924">
        <v>1</v>
      </c>
      <c r="G924" t="str">
        <f>HYPERLINK("http://babel.hathitrust.org/cgi/pt?id=uc2.ark:/13960/t6f19559w")</f>
        <v>http://babel.hathitrust.org/cgi/pt?id=uc2.ark:/13960/t6f19559w</v>
      </c>
      <c r="H924" t="str">
        <f>HYPERLINK("http://catalog.hathitrust.org/Record/001111860")</f>
        <v>http://catalog.hathitrust.org/Record/001111860</v>
      </c>
      <c r="J924" s="1">
        <v>1885</v>
      </c>
      <c r="K924" t="s">
        <v>18774</v>
      </c>
      <c r="L924" t="s">
        <v>19211</v>
      </c>
    </row>
    <row r="925" spans="1:12">
      <c r="A925" t="s">
        <v>18777</v>
      </c>
      <c r="B925" s="1" t="s">
        <v>18778</v>
      </c>
      <c r="F925">
        <v>1</v>
      </c>
      <c r="G925" t="str">
        <f>HYPERLINK("http://babel.hathitrust.org/cgi/pt?id=mdp.39015016457122")</f>
        <v>http://babel.hathitrust.org/cgi/pt?id=mdp.39015016457122</v>
      </c>
      <c r="H925" t="str">
        <f>HYPERLINK("http://catalog.hathitrust.org/Record/001111862")</f>
        <v>http://catalog.hathitrust.org/Record/001111862</v>
      </c>
      <c r="J925" s="1">
        <v>1956</v>
      </c>
      <c r="K925" t="s">
        <v>18779</v>
      </c>
    </row>
    <row r="926" spans="1:12">
      <c r="A926" t="s">
        <v>18780</v>
      </c>
      <c r="B926" s="1" t="s">
        <v>18778</v>
      </c>
      <c r="F926">
        <v>1</v>
      </c>
      <c r="G926" t="str">
        <f>HYPERLINK("http://babel.hathitrust.org/cgi/pt?id=mdp.39015053668698")</f>
        <v>http://babel.hathitrust.org/cgi/pt?id=mdp.39015053668698</v>
      </c>
      <c r="H926" t="str">
        <f>HYPERLINK("http://catalog.hathitrust.org/Record/001111862")</f>
        <v>http://catalog.hathitrust.org/Record/001111862</v>
      </c>
      <c r="J926" s="1">
        <v>1956</v>
      </c>
      <c r="K926" t="s">
        <v>18779</v>
      </c>
    </row>
    <row r="927" spans="1:12">
      <c r="A927" t="s">
        <v>18781</v>
      </c>
      <c r="B927" s="1" t="s">
        <v>18778</v>
      </c>
      <c r="F927">
        <v>1</v>
      </c>
      <c r="G927" t="str">
        <f>HYPERLINK("http://babel.hathitrust.org/cgi/pt?id=mdp.39015065526280")</f>
        <v>http://babel.hathitrust.org/cgi/pt?id=mdp.39015065526280</v>
      </c>
      <c r="H927" t="str">
        <f>HYPERLINK("http://catalog.hathitrust.org/Record/001111862")</f>
        <v>http://catalog.hathitrust.org/Record/001111862</v>
      </c>
      <c r="J927" s="1">
        <v>1956</v>
      </c>
      <c r="K927" t="s">
        <v>18779</v>
      </c>
    </row>
    <row r="928" spans="1:12">
      <c r="A928" t="s">
        <v>18782</v>
      </c>
      <c r="B928" s="1" t="s">
        <v>18778</v>
      </c>
      <c r="F928">
        <v>1</v>
      </c>
      <c r="G928" t="str">
        <f>HYPERLINK("http://babel.hathitrust.org/cgi/pt?id=mdp.39015065526298")</f>
        <v>http://babel.hathitrust.org/cgi/pt?id=mdp.39015065526298</v>
      </c>
      <c r="H928" t="str">
        <f>HYPERLINK("http://catalog.hathitrust.org/Record/001111862")</f>
        <v>http://catalog.hathitrust.org/Record/001111862</v>
      </c>
      <c r="J928" s="1">
        <v>1956</v>
      </c>
      <c r="K928" t="s">
        <v>18779</v>
      </c>
    </row>
    <row r="929" spans="1:12">
      <c r="A929" t="s">
        <v>18783</v>
      </c>
      <c r="B929" s="1" t="s">
        <v>18784</v>
      </c>
      <c r="F929">
        <v>1</v>
      </c>
      <c r="G929" t="str">
        <f>HYPERLINK("http://babel.hathitrust.org/cgi/pt?id=uc1.b63539")</f>
        <v>http://babel.hathitrust.org/cgi/pt?id=uc1.b63539</v>
      </c>
      <c r="H929" t="str">
        <f>HYPERLINK("http://catalog.hathitrust.org/Record/001111872")</f>
        <v>http://catalog.hathitrust.org/Record/001111872</v>
      </c>
      <c r="J929" s="1">
        <v>1906</v>
      </c>
      <c r="K929" t="s">
        <v>18785</v>
      </c>
      <c r="L929" t="s">
        <v>18786</v>
      </c>
    </row>
    <row r="930" spans="1:12">
      <c r="A930" t="s">
        <v>18787</v>
      </c>
      <c r="B930" s="1" t="s">
        <v>18784</v>
      </c>
      <c r="F930">
        <v>1</v>
      </c>
      <c r="G930" t="str">
        <f>HYPERLINK("http://babel.hathitrust.org/cgi/pt?id=uc2.ark:/13960/t78s4p20t")</f>
        <v>http://babel.hathitrust.org/cgi/pt?id=uc2.ark:/13960/t78s4p20t</v>
      </c>
      <c r="H930" t="str">
        <f>HYPERLINK("http://catalog.hathitrust.org/Record/001111872")</f>
        <v>http://catalog.hathitrust.org/Record/001111872</v>
      </c>
      <c r="J930" s="1">
        <v>1906</v>
      </c>
      <c r="K930" t="s">
        <v>18785</v>
      </c>
      <c r="L930" t="s">
        <v>18786</v>
      </c>
    </row>
    <row r="931" spans="1:12">
      <c r="A931" t="s">
        <v>18788</v>
      </c>
      <c r="B931" s="1" t="s">
        <v>18789</v>
      </c>
      <c r="F931">
        <v>1</v>
      </c>
      <c r="G931" t="str">
        <f>HYPERLINK("http://babel.hathitrust.org/cgi/pt?id=mdp.39015002263955")</f>
        <v>http://babel.hathitrust.org/cgi/pt?id=mdp.39015002263955</v>
      </c>
      <c r="H931" t="str">
        <f>HYPERLINK("http://catalog.hathitrust.org/Record/001111873")</f>
        <v>http://catalog.hathitrust.org/Record/001111873</v>
      </c>
      <c r="J931" s="1">
        <v>1956</v>
      </c>
      <c r="K931" t="s">
        <v>18790</v>
      </c>
      <c r="L931" t="s">
        <v>18791</v>
      </c>
    </row>
    <row r="932" spans="1:12">
      <c r="A932" t="s">
        <v>18792</v>
      </c>
      <c r="B932" s="1" t="s">
        <v>18789</v>
      </c>
      <c r="F932">
        <v>1</v>
      </c>
      <c r="G932" t="str">
        <f>HYPERLINK("http://babel.hathitrust.org/cgi/pt?id=mdp.39015005640340")</f>
        <v>http://babel.hathitrust.org/cgi/pt?id=mdp.39015005640340</v>
      </c>
      <c r="H932" t="str">
        <f>HYPERLINK("http://catalog.hathitrust.org/Record/001111873")</f>
        <v>http://catalog.hathitrust.org/Record/001111873</v>
      </c>
      <c r="J932" s="1">
        <v>1956</v>
      </c>
      <c r="K932" t="s">
        <v>18790</v>
      </c>
      <c r="L932" t="s">
        <v>18791</v>
      </c>
    </row>
    <row r="933" spans="1:12">
      <c r="A933" t="s">
        <v>18793</v>
      </c>
      <c r="B933" s="1" t="s">
        <v>18794</v>
      </c>
      <c r="F933">
        <v>1</v>
      </c>
      <c r="G933" t="str">
        <f>HYPERLINK("http://babel.hathitrust.org/cgi/pt?id=inu.32000011323815")</f>
        <v>http://babel.hathitrust.org/cgi/pt?id=inu.32000011323815</v>
      </c>
      <c r="H933" t="str">
        <f>HYPERLINK("http://catalog.hathitrust.org/Record/001111881")</f>
        <v>http://catalog.hathitrust.org/Record/001111881</v>
      </c>
      <c r="J933" s="1">
        <v>1939</v>
      </c>
      <c r="K933" t="s">
        <v>18795</v>
      </c>
      <c r="L933" t="s">
        <v>18796</v>
      </c>
    </row>
    <row r="934" spans="1:12">
      <c r="A934" t="s">
        <v>18797</v>
      </c>
      <c r="B934" s="1" t="s">
        <v>18794</v>
      </c>
      <c r="F934">
        <v>1</v>
      </c>
      <c r="G934" t="str">
        <f>HYPERLINK("http://babel.hathitrust.org/cgi/pt?id=uc1.b3528474")</f>
        <v>http://babel.hathitrust.org/cgi/pt?id=uc1.b3528474</v>
      </c>
      <c r="H934" t="str">
        <f>HYPERLINK("http://catalog.hathitrust.org/Record/001111881")</f>
        <v>http://catalog.hathitrust.org/Record/001111881</v>
      </c>
      <c r="J934" s="1">
        <v>1939</v>
      </c>
      <c r="K934" t="s">
        <v>18795</v>
      </c>
      <c r="L934" t="s">
        <v>18796</v>
      </c>
    </row>
    <row r="935" spans="1:12">
      <c r="A935" t="s">
        <v>18798</v>
      </c>
      <c r="B935" s="1" t="s">
        <v>18799</v>
      </c>
      <c r="F935">
        <v>1</v>
      </c>
      <c r="G935" t="str">
        <f>HYPERLINK("http://babel.hathitrust.org/cgi/pt?id=loc.ark:/13960/t3029c281")</f>
        <v>http://babel.hathitrust.org/cgi/pt?id=loc.ark:/13960/t3029c281</v>
      </c>
      <c r="H935" t="str">
        <f>HYPERLINK("http://catalog.hathitrust.org/Record/001112298")</f>
        <v>http://catalog.hathitrust.org/Record/001112298</v>
      </c>
      <c r="J935" s="1">
        <v>1903</v>
      </c>
      <c r="K935" t="s">
        <v>18800</v>
      </c>
      <c r="L935" t="s">
        <v>18801</v>
      </c>
    </row>
    <row r="936" spans="1:12">
      <c r="A936" t="s">
        <v>18802</v>
      </c>
      <c r="B936" s="1" t="s">
        <v>18799</v>
      </c>
      <c r="F936">
        <v>1</v>
      </c>
      <c r="G936" t="str">
        <f>HYPERLINK("http://babel.hathitrust.org/cgi/pt?id=mdp.39015008841028")</f>
        <v>http://babel.hathitrust.org/cgi/pt?id=mdp.39015008841028</v>
      </c>
      <c r="H936" t="str">
        <f>HYPERLINK("http://catalog.hathitrust.org/Record/001112298")</f>
        <v>http://catalog.hathitrust.org/Record/001112298</v>
      </c>
      <c r="J936" s="1">
        <v>1903</v>
      </c>
      <c r="K936" t="s">
        <v>18800</v>
      </c>
      <c r="L936" t="s">
        <v>18801</v>
      </c>
    </row>
    <row r="937" spans="1:12">
      <c r="A937" t="s">
        <v>18803</v>
      </c>
      <c r="B937" s="1" t="s">
        <v>18799</v>
      </c>
      <c r="F937">
        <v>1</v>
      </c>
      <c r="G937" t="str">
        <f>HYPERLINK("http://babel.hathitrust.org/cgi/pt?id=uc1.b27290")</f>
        <v>http://babel.hathitrust.org/cgi/pt?id=uc1.b27290</v>
      </c>
      <c r="H937" t="str">
        <f>HYPERLINK("http://catalog.hathitrust.org/Record/001112298")</f>
        <v>http://catalog.hathitrust.org/Record/001112298</v>
      </c>
      <c r="J937" s="1">
        <v>1903</v>
      </c>
      <c r="K937" t="s">
        <v>18800</v>
      </c>
      <c r="L937" t="s">
        <v>18801</v>
      </c>
    </row>
    <row r="938" spans="1:12">
      <c r="A938" t="s">
        <v>18804</v>
      </c>
      <c r="B938" s="1" t="s">
        <v>18799</v>
      </c>
      <c r="F938">
        <v>1</v>
      </c>
      <c r="G938" t="str">
        <f>HYPERLINK("http://babel.hathitrust.org/cgi/pt?id=uc2.ark:/13960/t3416vz7r")</f>
        <v>http://babel.hathitrust.org/cgi/pt?id=uc2.ark:/13960/t3416vz7r</v>
      </c>
      <c r="H938" t="str">
        <f>HYPERLINK("http://catalog.hathitrust.org/Record/001112298")</f>
        <v>http://catalog.hathitrust.org/Record/001112298</v>
      </c>
      <c r="J938" s="1">
        <v>1903</v>
      </c>
      <c r="K938" t="s">
        <v>18800</v>
      </c>
      <c r="L938" t="s">
        <v>18801</v>
      </c>
    </row>
    <row r="939" spans="1:12">
      <c r="A939" t="s">
        <v>18805</v>
      </c>
      <c r="B939" s="1" t="s">
        <v>18806</v>
      </c>
      <c r="F939">
        <v>1</v>
      </c>
      <c r="G939" t="str">
        <f>HYPERLINK("http://babel.hathitrust.org/cgi/pt?id=mdp.39015032053921")</f>
        <v>http://babel.hathitrust.org/cgi/pt?id=mdp.39015032053921</v>
      </c>
      <c r="H939" t="str">
        <f>HYPERLINK("http://catalog.hathitrust.org/Record/001112320")</f>
        <v>http://catalog.hathitrust.org/Record/001112320</v>
      </c>
      <c r="J939" s="1">
        <v>1916</v>
      </c>
      <c r="K939" t="s">
        <v>18807</v>
      </c>
      <c r="L939" t="s">
        <v>18808</v>
      </c>
    </row>
    <row r="940" spans="1:12">
      <c r="A940" t="s">
        <v>18809</v>
      </c>
      <c r="B940" s="1" t="s">
        <v>18806</v>
      </c>
      <c r="F940">
        <v>1</v>
      </c>
      <c r="G940" t="str">
        <f>HYPERLINK("http://babel.hathitrust.org/cgi/pt?id=uc1.b4109089")</f>
        <v>http://babel.hathitrust.org/cgi/pt?id=uc1.b4109089</v>
      </c>
      <c r="H940" t="str">
        <f>HYPERLINK("http://catalog.hathitrust.org/Record/001112320")</f>
        <v>http://catalog.hathitrust.org/Record/001112320</v>
      </c>
      <c r="J940" s="1">
        <v>1916</v>
      </c>
      <c r="K940" t="s">
        <v>18807</v>
      </c>
      <c r="L940" t="s">
        <v>18808</v>
      </c>
    </row>
    <row r="941" spans="1:12">
      <c r="A941" t="s">
        <v>18810</v>
      </c>
      <c r="B941" s="1" t="s">
        <v>18806</v>
      </c>
      <c r="F941">
        <v>1</v>
      </c>
      <c r="G941" t="str">
        <f>HYPERLINK("http://babel.hathitrust.org/cgi/pt?id=uc2.ark:/13960/t3bz6c34g")</f>
        <v>http://babel.hathitrust.org/cgi/pt?id=uc2.ark:/13960/t3bz6c34g</v>
      </c>
      <c r="H941" t="str">
        <f>HYPERLINK("http://catalog.hathitrust.org/Record/001112320")</f>
        <v>http://catalog.hathitrust.org/Record/001112320</v>
      </c>
      <c r="J941" s="1">
        <v>1916</v>
      </c>
      <c r="K941" t="s">
        <v>18807</v>
      </c>
      <c r="L941" t="s">
        <v>18808</v>
      </c>
    </row>
    <row r="942" spans="1:12">
      <c r="A942" t="s">
        <v>18811</v>
      </c>
      <c r="B942" s="1" t="s">
        <v>18812</v>
      </c>
      <c r="F942">
        <v>1</v>
      </c>
      <c r="G942" t="str">
        <f>HYPERLINK("http://babel.hathitrust.org/cgi/pt?id=uc2.ark:/13960/t2j67dk51")</f>
        <v>http://babel.hathitrust.org/cgi/pt?id=uc2.ark:/13960/t2j67dk51</v>
      </c>
      <c r="H942" t="str">
        <f>HYPERLINK("http://catalog.hathitrust.org/Record/001112402")</f>
        <v>http://catalog.hathitrust.org/Record/001112402</v>
      </c>
      <c r="J942" s="1">
        <v>1886</v>
      </c>
      <c r="K942" t="s">
        <v>20307</v>
      </c>
      <c r="L942" t="s">
        <v>19015</v>
      </c>
    </row>
    <row r="943" spans="1:12">
      <c r="A943" t="s">
        <v>18813</v>
      </c>
      <c r="B943" s="1" t="s">
        <v>18814</v>
      </c>
      <c r="E943">
        <v>1</v>
      </c>
      <c r="G943" t="str">
        <f>HYPERLINK("http://babel.hathitrust.org/cgi/pt?id=mdp.39015077952151")</f>
        <v>http://babel.hathitrust.org/cgi/pt?id=mdp.39015077952151</v>
      </c>
      <c r="H943" t="str">
        <f>HYPERLINK("http://catalog.hathitrust.org/Record/001112841")</f>
        <v>http://catalog.hathitrust.org/Record/001112841</v>
      </c>
      <c r="J943" s="1">
        <v>1917</v>
      </c>
      <c r="K943" t="s">
        <v>18815</v>
      </c>
      <c r="L943" t="s">
        <v>18816</v>
      </c>
    </row>
    <row r="944" spans="1:12">
      <c r="A944" t="s">
        <v>18817</v>
      </c>
      <c r="B944" s="1" t="s">
        <v>18818</v>
      </c>
      <c r="D944">
        <v>1</v>
      </c>
      <c r="G944" t="str">
        <f>HYPERLINK("http://babel.hathitrust.org/cgi/pt?id=mdp.39015035436149")</f>
        <v>http://babel.hathitrust.org/cgi/pt?id=mdp.39015035436149</v>
      </c>
      <c r="H944" t="str">
        <f>HYPERLINK("http://catalog.hathitrust.org/Record/001113002")</f>
        <v>http://catalog.hathitrust.org/Record/001113002</v>
      </c>
      <c r="J944" s="1">
        <v>1935</v>
      </c>
      <c r="K944" t="s">
        <v>18819</v>
      </c>
      <c r="L944" t="s">
        <v>18820</v>
      </c>
    </row>
    <row r="945" spans="1:12">
      <c r="A945" t="s">
        <v>18821</v>
      </c>
      <c r="B945" s="1" t="s">
        <v>18691</v>
      </c>
      <c r="F945">
        <v>1</v>
      </c>
      <c r="G945" t="str">
        <f>HYPERLINK("http://babel.hathitrust.org/cgi/pt?id=mdp.39015012063627")</f>
        <v>http://babel.hathitrust.org/cgi/pt?id=mdp.39015012063627</v>
      </c>
      <c r="H945" t="str">
        <f>HYPERLINK("http://catalog.hathitrust.org/Record/001113006")</f>
        <v>http://catalog.hathitrust.org/Record/001113006</v>
      </c>
      <c r="J945" s="1">
        <v>1917</v>
      </c>
      <c r="K945" t="s">
        <v>18692</v>
      </c>
      <c r="L945" t="s">
        <v>18897</v>
      </c>
    </row>
    <row r="946" spans="1:12">
      <c r="A946" t="s">
        <v>18693</v>
      </c>
      <c r="B946" s="1" t="s">
        <v>18691</v>
      </c>
      <c r="F946">
        <v>1</v>
      </c>
      <c r="G946" t="str">
        <f>HYPERLINK("http://babel.hathitrust.org/cgi/pt?id=uc1.b3515378")</f>
        <v>http://babel.hathitrust.org/cgi/pt?id=uc1.b3515378</v>
      </c>
      <c r="H946" t="str">
        <f>HYPERLINK("http://catalog.hathitrust.org/Record/001113006")</f>
        <v>http://catalog.hathitrust.org/Record/001113006</v>
      </c>
      <c r="I946" s="1" t="s">
        <v>18694</v>
      </c>
      <c r="J946" s="1">
        <v>1917</v>
      </c>
      <c r="K946" t="s">
        <v>18692</v>
      </c>
      <c r="L946" t="s">
        <v>18897</v>
      </c>
    </row>
    <row r="947" spans="1:12">
      <c r="A947" t="s">
        <v>18695</v>
      </c>
      <c r="B947" s="1" t="s">
        <v>18696</v>
      </c>
      <c r="F947">
        <v>1</v>
      </c>
      <c r="G947" t="str">
        <f>HYPERLINK("http://babel.hathitrust.org/cgi/pt?id=mdp.39015067035959")</f>
        <v>http://babel.hathitrust.org/cgi/pt?id=mdp.39015067035959</v>
      </c>
      <c r="H947" t="str">
        <f>HYPERLINK("http://catalog.hathitrust.org/Record/001125436")</f>
        <v>http://catalog.hathitrust.org/Record/001125436</v>
      </c>
      <c r="J947" s="1">
        <v>1929</v>
      </c>
      <c r="K947" t="s">
        <v>18697</v>
      </c>
      <c r="L947" t="s">
        <v>18698</v>
      </c>
    </row>
    <row r="948" spans="1:12">
      <c r="A948" t="s">
        <v>18699</v>
      </c>
      <c r="B948" s="1" t="s">
        <v>18696</v>
      </c>
      <c r="F948">
        <v>1</v>
      </c>
      <c r="G948" t="str">
        <f>HYPERLINK("http://babel.hathitrust.org/cgi/pt?id=uc1.b14795")</f>
        <v>http://babel.hathitrust.org/cgi/pt?id=uc1.b14795</v>
      </c>
      <c r="H948" t="str">
        <f>HYPERLINK("http://catalog.hathitrust.org/Record/001125436")</f>
        <v>http://catalog.hathitrust.org/Record/001125436</v>
      </c>
      <c r="J948" s="1">
        <v>1929</v>
      </c>
      <c r="K948" t="s">
        <v>18697</v>
      </c>
      <c r="L948" t="s">
        <v>18698</v>
      </c>
    </row>
    <row r="949" spans="1:12">
      <c r="A949" t="s">
        <v>18700</v>
      </c>
      <c r="B949" s="1" t="s">
        <v>18701</v>
      </c>
      <c r="F949">
        <v>1</v>
      </c>
      <c r="G949" t="str">
        <f>HYPERLINK("http://babel.hathitrust.org/cgi/pt?id=mdp.39015010555665")</f>
        <v>http://babel.hathitrust.org/cgi/pt?id=mdp.39015010555665</v>
      </c>
      <c r="H949" t="str">
        <f>HYPERLINK("http://catalog.hathitrust.org/Record/001159997")</f>
        <v>http://catalog.hathitrust.org/Record/001159997</v>
      </c>
      <c r="I949" s="1" t="s">
        <v>18703</v>
      </c>
      <c r="J949" s="1">
        <v>1913</v>
      </c>
      <c r="K949" t="s">
        <v>18702</v>
      </c>
    </row>
    <row r="950" spans="1:12">
      <c r="A950" t="s">
        <v>18704</v>
      </c>
      <c r="B950" s="1" t="s">
        <v>18701</v>
      </c>
      <c r="F950">
        <v>1</v>
      </c>
      <c r="G950" t="str">
        <f>HYPERLINK("http://babel.hathitrust.org/cgi/pt?id=mdp.39015047473981")</f>
        <v>http://babel.hathitrust.org/cgi/pt?id=mdp.39015047473981</v>
      </c>
      <c r="H950" t="str">
        <f>HYPERLINK("http://catalog.hathitrust.org/Record/001159997")</f>
        <v>http://catalog.hathitrust.org/Record/001159997</v>
      </c>
      <c r="I950" s="1" t="s">
        <v>20679</v>
      </c>
      <c r="J950" s="1">
        <v>1913</v>
      </c>
      <c r="K950" t="s">
        <v>18702</v>
      </c>
    </row>
    <row r="951" spans="1:12">
      <c r="A951" t="s">
        <v>18705</v>
      </c>
      <c r="B951" s="1" t="s">
        <v>18706</v>
      </c>
      <c r="F951">
        <v>1</v>
      </c>
      <c r="G951" t="str">
        <f>HYPERLINK("http://babel.hathitrust.org/cgi/pt?id=mdp.39015033595805")</f>
        <v>http://babel.hathitrust.org/cgi/pt?id=mdp.39015033595805</v>
      </c>
      <c r="H951" t="str">
        <f>HYPERLINK("http://catalog.hathitrust.org/Record/001161327")</f>
        <v>http://catalog.hathitrust.org/Record/001161327</v>
      </c>
      <c r="J951" s="1">
        <v>1912</v>
      </c>
      <c r="K951" t="s">
        <v>18707</v>
      </c>
      <c r="L951" t="s">
        <v>18708</v>
      </c>
    </row>
    <row r="952" spans="1:12">
      <c r="A952" t="s">
        <v>18709</v>
      </c>
      <c r="B952" s="1" t="s">
        <v>18710</v>
      </c>
      <c r="F952">
        <v>1</v>
      </c>
      <c r="G952" t="str">
        <f>HYPERLINK("http://babel.hathitrust.org/cgi/pt?id=mdp.39015033595789")</f>
        <v>http://babel.hathitrust.org/cgi/pt?id=mdp.39015033595789</v>
      </c>
      <c r="H952" t="str">
        <f>HYPERLINK("http://catalog.hathitrust.org/Record/001161328")</f>
        <v>http://catalog.hathitrust.org/Record/001161328</v>
      </c>
      <c r="J952" s="1">
        <v>1905</v>
      </c>
      <c r="K952" t="s">
        <v>18711</v>
      </c>
      <c r="L952" t="s">
        <v>18708</v>
      </c>
    </row>
    <row r="953" spans="1:12">
      <c r="A953" t="s">
        <v>18712</v>
      </c>
      <c r="B953" s="1" t="s">
        <v>18710</v>
      </c>
      <c r="F953">
        <v>1</v>
      </c>
      <c r="G953" t="str">
        <f>HYPERLINK("http://babel.hathitrust.org/cgi/pt?id=uc1.b242042")</f>
        <v>http://babel.hathitrust.org/cgi/pt?id=uc1.b242042</v>
      </c>
      <c r="H953" t="str">
        <f>HYPERLINK("http://catalog.hathitrust.org/Record/001161328")</f>
        <v>http://catalog.hathitrust.org/Record/001161328</v>
      </c>
      <c r="J953" s="1">
        <v>1905</v>
      </c>
      <c r="K953" t="s">
        <v>18711</v>
      </c>
      <c r="L953" t="s">
        <v>18708</v>
      </c>
    </row>
    <row r="954" spans="1:12">
      <c r="A954" t="s">
        <v>18713</v>
      </c>
      <c r="B954" s="1" t="s">
        <v>18710</v>
      </c>
      <c r="F954">
        <v>1</v>
      </c>
      <c r="G954" t="str">
        <f>HYPERLINK("http://babel.hathitrust.org/cgi/pt?id=uc2.ark:/13960/t53f4pc47")</f>
        <v>http://babel.hathitrust.org/cgi/pt?id=uc2.ark:/13960/t53f4pc47</v>
      </c>
      <c r="H954" t="str">
        <f>HYPERLINK("http://catalog.hathitrust.org/Record/001161328")</f>
        <v>http://catalog.hathitrust.org/Record/001161328</v>
      </c>
      <c r="J954" s="1">
        <v>1905</v>
      </c>
      <c r="K954" t="s">
        <v>18711</v>
      </c>
      <c r="L954" t="s">
        <v>18708</v>
      </c>
    </row>
    <row r="955" spans="1:12">
      <c r="A955" t="s">
        <v>18714</v>
      </c>
      <c r="B955" s="1" t="s">
        <v>18710</v>
      </c>
      <c r="F955">
        <v>1</v>
      </c>
      <c r="G955" t="str">
        <f>HYPERLINK("http://babel.hathitrust.org/cgi/pt?id=uva.x004506955")</f>
        <v>http://babel.hathitrust.org/cgi/pt?id=uva.x004506955</v>
      </c>
      <c r="H955" t="str">
        <f>HYPERLINK("http://catalog.hathitrust.org/Record/001161328")</f>
        <v>http://catalog.hathitrust.org/Record/001161328</v>
      </c>
      <c r="J955" s="1">
        <v>1905</v>
      </c>
      <c r="K955" t="s">
        <v>18711</v>
      </c>
      <c r="L955" t="s">
        <v>18708</v>
      </c>
    </row>
    <row r="956" spans="1:12">
      <c r="A956" t="s">
        <v>18715</v>
      </c>
      <c r="B956" s="1" t="s">
        <v>18716</v>
      </c>
      <c r="F956">
        <v>1</v>
      </c>
      <c r="G956" t="str">
        <f>HYPERLINK("http://babel.hathitrust.org/cgi/pt?id=mdp.39015033646061")</f>
        <v>http://babel.hathitrust.org/cgi/pt?id=mdp.39015033646061</v>
      </c>
      <c r="H956" t="str">
        <f>HYPERLINK("http://catalog.hathitrust.org/Record/001166243")</f>
        <v>http://catalog.hathitrust.org/Record/001166243</v>
      </c>
      <c r="J956" s="1">
        <v>1818</v>
      </c>
      <c r="K956" t="s">
        <v>18717</v>
      </c>
      <c r="L956" t="s">
        <v>18718</v>
      </c>
    </row>
    <row r="957" spans="1:12">
      <c r="A957" t="s">
        <v>18719</v>
      </c>
      <c r="B957" s="1" t="s">
        <v>18720</v>
      </c>
      <c r="F957">
        <v>1</v>
      </c>
      <c r="G957" t="str">
        <f>HYPERLINK("http://babel.hathitrust.org/cgi/pt?id=mdp.39015079885912")</f>
        <v>http://babel.hathitrust.org/cgi/pt?id=mdp.39015079885912</v>
      </c>
      <c r="H957" t="str">
        <f t="shared" ref="H957:H972" si="19">HYPERLINK("http://catalog.hathitrust.org/Record/001166440")</f>
        <v>http://catalog.hathitrust.org/Record/001166440</v>
      </c>
      <c r="I957" s="1" t="s">
        <v>20679</v>
      </c>
      <c r="J957" s="1">
        <v>1905</v>
      </c>
      <c r="K957" t="s">
        <v>18721</v>
      </c>
      <c r="L957" t="s">
        <v>18722</v>
      </c>
    </row>
    <row r="958" spans="1:12">
      <c r="A958" t="s">
        <v>18723</v>
      </c>
      <c r="B958" s="1" t="s">
        <v>18720</v>
      </c>
      <c r="F958">
        <v>1</v>
      </c>
      <c r="G958" t="str">
        <f>HYPERLINK("http://babel.hathitrust.org/cgi/pt?id=mdp.39015079885920")</f>
        <v>http://babel.hathitrust.org/cgi/pt?id=mdp.39015079885920</v>
      </c>
      <c r="H958" t="str">
        <f t="shared" si="19"/>
        <v>http://catalog.hathitrust.org/Record/001166440</v>
      </c>
      <c r="I958" s="1" t="s">
        <v>20920</v>
      </c>
      <c r="J958" s="1">
        <v>1905</v>
      </c>
      <c r="K958" t="s">
        <v>18721</v>
      </c>
      <c r="L958" t="s">
        <v>18722</v>
      </c>
    </row>
    <row r="959" spans="1:12">
      <c r="A959" t="s">
        <v>18724</v>
      </c>
      <c r="B959" s="1" t="s">
        <v>18720</v>
      </c>
      <c r="F959">
        <v>1</v>
      </c>
      <c r="G959" t="str">
        <f>HYPERLINK("http://babel.hathitrust.org/cgi/pt?id=mdp.39015079885938")</f>
        <v>http://babel.hathitrust.org/cgi/pt?id=mdp.39015079885938</v>
      </c>
      <c r="H959" t="str">
        <f t="shared" si="19"/>
        <v>http://catalog.hathitrust.org/Record/001166440</v>
      </c>
      <c r="I959" s="1" t="s">
        <v>20755</v>
      </c>
      <c r="J959" s="1">
        <v>1905</v>
      </c>
      <c r="K959" t="s">
        <v>18721</v>
      </c>
      <c r="L959" t="s">
        <v>18722</v>
      </c>
    </row>
    <row r="960" spans="1:12">
      <c r="A960" t="s">
        <v>18725</v>
      </c>
      <c r="B960" s="1" t="s">
        <v>18720</v>
      </c>
      <c r="F960">
        <v>1</v>
      </c>
      <c r="G960" t="str">
        <f>HYPERLINK("http://babel.hathitrust.org/cgi/pt?id=mdp.39015079885946")</f>
        <v>http://babel.hathitrust.org/cgi/pt?id=mdp.39015079885946</v>
      </c>
      <c r="H960" t="str">
        <f t="shared" si="19"/>
        <v>http://catalog.hathitrust.org/Record/001166440</v>
      </c>
      <c r="I960" s="1" t="s">
        <v>20916</v>
      </c>
      <c r="J960" s="1">
        <v>1905</v>
      </c>
      <c r="K960" t="s">
        <v>18721</v>
      </c>
      <c r="L960" t="s">
        <v>18722</v>
      </c>
    </row>
    <row r="961" spans="1:12">
      <c r="A961" t="s">
        <v>18726</v>
      </c>
      <c r="B961" s="1" t="s">
        <v>18720</v>
      </c>
      <c r="F961">
        <v>1</v>
      </c>
      <c r="G961" t="str">
        <f>HYPERLINK("http://babel.hathitrust.org/cgi/pt?id=nyp.33433082019146")</f>
        <v>http://babel.hathitrust.org/cgi/pt?id=nyp.33433082019146</v>
      </c>
      <c r="H961" t="str">
        <f t="shared" si="19"/>
        <v>http://catalog.hathitrust.org/Record/001166440</v>
      </c>
      <c r="I961" s="1" t="s">
        <v>20796</v>
      </c>
      <c r="J961" s="1">
        <v>1905</v>
      </c>
      <c r="K961" t="s">
        <v>18721</v>
      </c>
      <c r="L961" t="s">
        <v>18722</v>
      </c>
    </row>
    <row r="962" spans="1:12">
      <c r="A962" t="s">
        <v>18727</v>
      </c>
      <c r="B962" s="1" t="s">
        <v>18720</v>
      </c>
      <c r="F962">
        <v>1</v>
      </c>
      <c r="G962" t="str">
        <f>HYPERLINK("http://babel.hathitrust.org/cgi/pt?id=nyp.33433082019153")</f>
        <v>http://babel.hathitrust.org/cgi/pt?id=nyp.33433082019153</v>
      </c>
      <c r="H962" t="str">
        <f t="shared" si="19"/>
        <v>http://catalog.hathitrust.org/Record/001166440</v>
      </c>
      <c r="I962" s="1" t="s">
        <v>20799</v>
      </c>
      <c r="J962" s="1">
        <v>1905</v>
      </c>
      <c r="K962" t="s">
        <v>18721</v>
      </c>
      <c r="L962" t="s">
        <v>18722</v>
      </c>
    </row>
    <row r="963" spans="1:12">
      <c r="A963" t="s">
        <v>18728</v>
      </c>
      <c r="B963" s="1" t="s">
        <v>18720</v>
      </c>
      <c r="F963">
        <v>1</v>
      </c>
      <c r="G963" t="str">
        <f>HYPERLINK("http://babel.hathitrust.org/cgi/pt?id=nyp.33433082019161")</f>
        <v>http://babel.hathitrust.org/cgi/pt?id=nyp.33433082019161</v>
      </c>
      <c r="H963" t="str">
        <f t="shared" si="19"/>
        <v>http://catalog.hathitrust.org/Record/001166440</v>
      </c>
      <c r="I963" s="1" t="s">
        <v>20801</v>
      </c>
      <c r="J963" s="1">
        <v>1905</v>
      </c>
      <c r="K963" t="s">
        <v>18721</v>
      </c>
      <c r="L963" t="s">
        <v>18722</v>
      </c>
    </row>
    <row r="964" spans="1:12">
      <c r="A964" t="s">
        <v>18729</v>
      </c>
      <c r="B964" s="1" t="s">
        <v>18720</v>
      </c>
      <c r="F964">
        <v>1</v>
      </c>
      <c r="G964" t="str">
        <f>HYPERLINK("http://babel.hathitrust.org/cgi/pt?id=nyp.33433082019179")</f>
        <v>http://babel.hathitrust.org/cgi/pt?id=nyp.33433082019179</v>
      </c>
      <c r="H964" t="str">
        <f t="shared" si="19"/>
        <v>http://catalog.hathitrust.org/Record/001166440</v>
      </c>
      <c r="I964" s="1" t="s">
        <v>20803</v>
      </c>
      <c r="J964" s="1">
        <v>1905</v>
      </c>
      <c r="K964" t="s">
        <v>18721</v>
      </c>
      <c r="L964" t="s">
        <v>18722</v>
      </c>
    </row>
    <row r="965" spans="1:12">
      <c r="A965" t="s">
        <v>18730</v>
      </c>
      <c r="B965" s="1" t="s">
        <v>18720</v>
      </c>
      <c r="F965">
        <v>1</v>
      </c>
      <c r="G965" t="str">
        <f>HYPERLINK("http://babel.hathitrust.org/cgi/pt?id=uc1.b4230430")</f>
        <v>http://babel.hathitrust.org/cgi/pt?id=uc1.b4230430</v>
      </c>
      <c r="H965" t="str">
        <f t="shared" si="19"/>
        <v>http://catalog.hathitrust.org/Record/001166440</v>
      </c>
      <c r="I965" s="1" t="s">
        <v>20916</v>
      </c>
      <c r="J965" s="1">
        <v>1905</v>
      </c>
      <c r="K965" t="s">
        <v>18721</v>
      </c>
      <c r="L965" t="s">
        <v>18722</v>
      </c>
    </row>
    <row r="966" spans="1:12">
      <c r="A966" t="s">
        <v>18731</v>
      </c>
      <c r="B966" s="1" t="s">
        <v>18720</v>
      </c>
      <c r="F966">
        <v>1</v>
      </c>
      <c r="G966" t="str">
        <f>HYPERLINK("http://babel.hathitrust.org/cgi/pt?id=uc1.b4230431")</f>
        <v>http://babel.hathitrust.org/cgi/pt?id=uc1.b4230431</v>
      </c>
      <c r="H966" t="str">
        <f t="shared" si="19"/>
        <v>http://catalog.hathitrust.org/Record/001166440</v>
      </c>
      <c r="I966" s="1" t="s">
        <v>20755</v>
      </c>
      <c r="J966" s="1">
        <v>1905</v>
      </c>
      <c r="K966" t="s">
        <v>18721</v>
      </c>
      <c r="L966" t="s">
        <v>18722</v>
      </c>
    </row>
    <row r="967" spans="1:12">
      <c r="A967" t="s">
        <v>18732</v>
      </c>
      <c r="B967" s="1" t="s">
        <v>18720</v>
      </c>
      <c r="F967">
        <v>1</v>
      </c>
      <c r="G967" t="str">
        <f>HYPERLINK("http://babel.hathitrust.org/cgi/pt?id=uc1.b4230432")</f>
        <v>http://babel.hathitrust.org/cgi/pt?id=uc1.b4230432</v>
      </c>
      <c r="H967" t="str">
        <f t="shared" si="19"/>
        <v>http://catalog.hathitrust.org/Record/001166440</v>
      </c>
      <c r="I967" s="1" t="s">
        <v>20920</v>
      </c>
      <c r="J967" s="1">
        <v>1905</v>
      </c>
      <c r="K967" t="s">
        <v>18721</v>
      </c>
      <c r="L967" t="s">
        <v>18722</v>
      </c>
    </row>
    <row r="968" spans="1:12">
      <c r="A968" t="s">
        <v>18733</v>
      </c>
      <c r="B968" s="1" t="s">
        <v>18720</v>
      </c>
      <c r="F968">
        <v>1</v>
      </c>
      <c r="G968" t="str">
        <f>HYPERLINK("http://babel.hathitrust.org/cgi/pt?id=uc1.b4230433")</f>
        <v>http://babel.hathitrust.org/cgi/pt?id=uc1.b4230433</v>
      </c>
      <c r="H968" t="str">
        <f t="shared" si="19"/>
        <v>http://catalog.hathitrust.org/Record/001166440</v>
      </c>
      <c r="I968" s="1" t="s">
        <v>20679</v>
      </c>
      <c r="J968" s="1">
        <v>1905</v>
      </c>
      <c r="K968" t="s">
        <v>18721</v>
      </c>
      <c r="L968" t="s">
        <v>18722</v>
      </c>
    </row>
    <row r="969" spans="1:12">
      <c r="A969" t="s">
        <v>18734</v>
      </c>
      <c r="B969" s="1" t="s">
        <v>18720</v>
      </c>
      <c r="F969">
        <v>1</v>
      </c>
      <c r="G969" t="str">
        <f>HYPERLINK("http://babel.hathitrust.org/cgi/pt?id=uc2.ark:/13960/t0xp78j06")</f>
        <v>http://babel.hathitrust.org/cgi/pt?id=uc2.ark:/13960/t0xp78j06</v>
      </c>
      <c r="H969" t="str">
        <f t="shared" si="19"/>
        <v>http://catalog.hathitrust.org/Record/001166440</v>
      </c>
      <c r="I969" s="1" t="s">
        <v>20679</v>
      </c>
      <c r="J969" s="1">
        <v>1905</v>
      </c>
      <c r="K969" t="s">
        <v>18721</v>
      </c>
      <c r="L969" t="s">
        <v>18722</v>
      </c>
    </row>
    <row r="970" spans="1:12">
      <c r="A970" t="s">
        <v>18735</v>
      </c>
      <c r="B970" s="1" t="s">
        <v>18720</v>
      </c>
      <c r="F970">
        <v>1</v>
      </c>
      <c r="G970" t="str">
        <f>HYPERLINK("http://babel.hathitrust.org/cgi/pt?id=uc2.ark:/13960/t22b9908d")</f>
        <v>http://babel.hathitrust.org/cgi/pt?id=uc2.ark:/13960/t22b9908d</v>
      </c>
      <c r="H970" t="str">
        <f t="shared" si="19"/>
        <v>http://catalog.hathitrust.org/Record/001166440</v>
      </c>
      <c r="I970" s="1" t="s">
        <v>20920</v>
      </c>
      <c r="J970" s="1">
        <v>1905</v>
      </c>
      <c r="K970" t="s">
        <v>18721</v>
      </c>
      <c r="L970" t="s">
        <v>18722</v>
      </c>
    </row>
    <row r="971" spans="1:12">
      <c r="A971" t="s">
        <v>18736</v>
      </c>
      <c r="B971" s="1" t="s">
        <v>18720</v>
      </c>
      <c r="F971">
        <v>1</v>
      </c>
      <c r="G971" t="str">
        <f>HYPERLINK("http://babel.hathitrust.org/cgi/pt?id=uc2.ark:/13960/t3xs6045d")</f>
        <v>http://babel.hathitrust.org/cgi/pt?id=uc2.ark:/13960/t3xs6045d</v>
      </c>
      <c r="H971" t="str">
        <f t="shared" si="19"/>
        <v>http://catalog.hathitrust.org/Record/001166440</v>
      </c>
      <c r="I971" s="1" t="s">
        <v>20916</v>
      </c>
      <c r="J971" s="1">
        <v>1905</v>
      </c>
      <c r="K971" t="s">
        <v>18721</v>
      </c>
      <c r="L971" t="s">
        <v>18722</v>
      </c>
    </row>
    <row r="972" spans="1:12">
      <c r="A972" t="s">
        <v>18737</v>
      </c>
      <c r="B972" s="1" t="s">
        <v>18720</v>
      </c>
      <c r="F972">
        <v>1</v>
      </c>
      <c r="G972" t="str">
        <f>HYPERLINK("http://babel.hathitrust.org/cgi/pt?id=uc2.ark:/13960/t6ww7nt8m")</f>
        <v>http://babel.hathitrust.org/cgi/pt?id=uc2.ark:/13960/t6ww7nt8m</v>
      </c>
      <c r="H972" t="str">
        <f t="shared" si="19"/>
        <v>http://catalog.hathitrust.org/Record/001166440</v>
      </c>
      <c r="I972" s="1" t="s">
        <v>20755</v>
      </c>
      <c r="J972" s="1">
        <v>1905</v>
      </c>
      <c r="K972" t="s">
        <v>18721</v>
      </c>
      <c r="L972" t="s">
        <v>18722</v>
      </c>
    </row>
    <row r="973" spans="1:12">
      <c r="A973" t="s">
        <v>18738</v>
      </c>
      <c r="B973" s="1" t="s">
        <v>18739</v>
      </c>
      <c r="F973">
        <v>1</v>
      </c>
      <c r="G973" t="str">
        <f>HYPERLINK("http://babel.hathitrust.org/cgi/pt?id=mdp.39015067190218")</f>
        <v>http://babel.hathitrust.org/cgi/pt?id=mdp.39015067190218</v>
      </c>
      <c r="H973" t="str">
        <f>HYPERLINK("http://catalog.hathitrust.org/Record/001167267")</f>
        <v>http://catalog.hathitrust.org/Record/001167267</v>
      </c>
      <c r="J973" s="1">
        <v>1936</v>
      </c>
      <c r="K973" t="s">
        <v>18740</v>
      </c>
      <c r="L973" t="s">
        <v>20382</v>
      </c>
    </row>
    <row r="974" spans="1:12">
      <c r="A974" t="s">
        <v>18741</v>
      </c>
      <c r="B974" s="1" t="s">
        <v>18739</v>
      </c>
      <c r="F974">
        <v>1</v>
      </c>
      <c r="G974" t="str">
        <f>HYPERLINK("http://babel.hathitrust.org/cgi/pt?id=uc1.b316549")</f>
        <v>http://babel.hathitrust.org/cgi/pt?id=uc1.b316549</v>
      </c>
      <c r="H974" t="str">
        <f>HYPERLINK("http://catalog.hathitrust.org/Record/001167267")</f>
        <v>http://catalog.hathitrust.org/Record/001167267</v>
      </c>
      <c r="J974" s="1">
        <v>1936</v>
      </c>
      <c r="K974" t="s">
        <v>18740</v>
      </c>
      <c r="L974" t="s">
        <v>20382</v>
      </c>
    </row>
    <row r="975" spans="1:12">
      <c r="A975" t="s">
        <v>18742</v>
      </c>
      <c r="B975" s="1" t="s">
        <v>18743</v>
      </c>
      <c r="F975">
        <v>1</v>
      </c>
      <c r="G975" t="str">
        <f>HYPERLINK("http://babel.hathitrust.org/cgi/pt?id=uc1.b4229632")</f>
        <v>http://babel.hathitrust.org/cgi/pt?id=uc1.b4229632</v>
      </c>
      <c r="H975" t="str">
        <f>HYPERLINK("http://catalog.hathitrust.org/Record/001168961")</f>
        <v>http://catalog.hathitrust.org/Record/001168961</v>
      </c>
      <c r="I975" s="1" t="s">
        <v>20796</v>
      </c>
      <c r="J975" s="1">
        <v>1884</v>
      </c>
      <c r="K975" t="s">
        <v>18744</v>
      </c>
    </row>
    <row r="976" spans="1:12">
      <c r="A976" t="s">
        <v>18745</v>
      </c>
      <c r="B976" s="1" t="s">
        <v>18743</v>
      </c>
      <c r="F976">
        <v>1</v>
      </c>
      <c r="G976" t="str">
        <f>HYPERLINK("http://babel.hathitrust.org/cgi/pt?id=uc1.b4229633")</f>
        <v>http://babel.hathitrust.org/cgi/pt?id=uc1.b4229633</v>
      </c>
      <c r="H976" t="str">
        <f>HYPERLINK("http://catalog.hathitrust.org/Record/001168961")</f>
        <v>http://catalog.hathitrust.org/Record/001168961</v>
      </c>
      <c r="I976" s="1" t="s">
        <v>20799</v>
      </c>
      <c r="J976" s="1">
        <v>1884</v>
      </c>
      <c r="K976" t="s">
        <v>18744</v>
      </c>
    </row>
    <row r="977" spans="1:12">
      <c r="A977" t="s">
        <v>18746</v>
      </c>
      <c r="B977" s="1" t="s">
        <v>18743</v>
      </c>
      <c r="F977">
        <v>1</v>
      </c>
      <c r="G977" t="str">
        <f>HYPERLINK("http://babel.hathitrust.org/cgi/pt?id=uc1.b4229634")</f>
        <v>http://babel.hathitrust.org/cgi/pt?id=uc1.b4229634</v>
      </c>
      <c r="H977" t="str">
        <f>HYPERLINK("http://catalog.hathitrust.org/Record/001168961")</f>
        <v>http://catalog.hathitrust.org/Record/001168961</v>
      </c>
      <c r="I977" s="1" t="s">
        <v>20801</v>
      </c>
      <c r="J977" s="1">
        <v>1884</v>
      </c>
      <c r="K977" t="s">
        <v>18744</v>
      </c>
    </row>
    <row r="978" spans="1:12">
      <c r="A978" t="s">
        <v>18747</v>
      </c>
      <c r="B978" s="1" t="s">
        <v>18748</v>
      </c>
      <c r="F978">
        <v>1</v>
      </c>
      <c r="G978" t="str">
        <f>HYPERLINK("http://babel.hathitrust.org/cgi/pt?id=mdp.39015033678510")</f>
        <v>http://babel.hathitrust.org/cgi/pt?id=mdp.39015033678510</v>
      </c>
      <c r="H978" t="str">
        <f>HYPERLINK("http://catalog.hathitrust.org/Record/001168963")</f>
        <v>http://catalog.hathitrust.org/Record/001168963</v>
      </c>
      <c r="J978" s="1">
        <v>1850</v>
      </c>
      <c r="K978" t="s">
        <v>18749</v>
      </c>
    </row>
    <row r="979" spans="1:12">
      <c r="A979" t="s">
        <v>18750</v>
      </c>
      <c r="B979" s="1" t="s">
        <v>18751</v>
      </c>
      <c r="F979">
        <v>1</v>
      </c>
      <c r="G979" t="str">
        <f>HYPERLINK("http://babel.hathitrust.org/cgi/pt?id=njp.32101041573716")</f>
        <v>http://babel.hathitrust.org/cgi/pt?id=njp.32101041573716</v>
      </c>
      <c r="H979" t="str">
        <f>HYPERLINK("http://catalog.hathitrust.org/Record/001168964")</f>
        <v>http://catalog.hathitrust.org/Record/001168964</v>
      </c>
      <c r="I979" s="1" t="s">
        <v>20679</v>
      </c>
      <c r="J979" s="1">
        <v>1900</v>
      </c>
      <c r="K979" t="s">
        <v>18752</v>
      </c>
    </row>
    <row r="980" spans="1:12">
      <c r="A980" t="s">
        <v>18753</v>
      </c>
      <c r="B980" s="1" t="s">
        <v>18751</v>
      </c>
      <c r="F980">
        <v>1</v>
      </c>
      <c r="G980" t="str">
        <f>HYPERLINK("http://babel.hathitrust.org/cgi/pt?id=njp.32101041573724")</f>
        <v>http://babel.hathitrust.org/cgi/pt?id=njp.32101041573724</v>
      </c>
      <c r="H980" t="str">
        <f>HYPERLINK("http://catalog.hathitrust.org/Record/001168964")</f>
        <v>http://catalog.hathitrust.org/Record/001168964</v>
      </c>
      <c r="I980" s="1" t="s">
        <v>20920</v>
      </c>
      <c r="J980" s="1">
        <v>1900</v>
      </c>
      <c r="K980" t="s">
        <v>18752</v>
      </c>
    </row>
    <row r="981" spans="1:12">
      <c r="A981" t="s">
        <v>18754</v>
      </c>
      <c r="B981" s="1" t="s">
        <v>18751</v>
      </c>
      <c r="F981">
        <v>1</v>
      </c>
      <c r="G981" t="str">
        <f>HYPERLINK("http://babel.hathitrust.org/cgi/pt?id=njp.32101041573732")</f>
        <v>http://babel.hathitrust.org/cgi/pt?id=njp.32101041573732</v>
      </c>
      <c r="H981" t="str">
        <f>HYPERLINK("http://catalog.hathitrust.org/Record/001168964")</f>
        <v>http://catalog.hathitrust.org/Record/001168964</v>
      </c>
      <c r="I981" s="1" t="s">
        <v>20755</v>
      </c>
      <c r="J981" s="1">
        <v>1900</v>
      </c>
      <c r="K981" t="s">
        <v>18752</v>
      </c>
    </row>
    <row r="982" spans="1:12">
      <c r="A982" t="s">
        <v>18755</v>
      </c>
      <c r="B982" s="1" t="s">
        <v>18751</v>
      </c>
      <c r="F982">
        <v>1</v>
      </c>
      <c r="G982" t="str">
        <f>HYPERLINK("http://babel.hathitrust.org/cgi/pt?id=njp.32101041573740")</f>
        <v>http://babel.hathitrust.org/cgi/pt?id=njp.32101041573740</v>
      </c>
      <c r="H982" t="str">
        <f>HYPERLINK("http://catalog.hathitrust.org/Record/001168964")</f>
        <v>http://catalog.hathitrust.org/Record/001168964</v>
      </c>
      <c r="I982" s="1" t="s">
        <v>20916</v>
      </c>
      <c r="J982" s="1">
        <v>1900</v>
      </c>
      <c r="K982" t="s">
        <v>18752</v>
      </c>
    </row>
    <row r="983" spans="1:12">
      <c r="A983" t="s">
        <v>18756</v>
      </c>
      <c r="B983" s="1" t="s">
        <v>18757</v>
      </c>
      <c r="F983">
        <v>1</v>
      </c>
      <c r="G983" t="str">
        <f>HYPERLINK("http://babel.hathitrust.org/cgi/pt?id=njp.32101073226209")</f>
        <v>http://babel.hathitrust.org/cgi/pt?id=njp.32101073226209</v>
      </c>
      <c r="H983" t="str">
        <f>HYPERLINK("http://catalog.hathitrust.org/Record/001168967")</f>
        <v>http://catalog.hathitrust.org/Record/001168967</v>
      </c>
      <c r="J983" s="1">
        <v>1895</v>
      </c>
      <c r="K983" t="s">
        <v>18639</v>
      </c>
    </row>
    <row r="984" spans="1:12">
      <c r="A984" t="s">
        <v>18640</v>
      </c>
      <c r="B984" s="1" t="s">
        <v>18757</v>
      </c>
      <c r="F984">
        <v>1</v>
      </c>
      <c r="G984" t="str">
        <f>HYPERLINK("http://babel.hathitrust.org/cgi/pt?id=uc2.ark:/13960/t5x63rp19")</f>
        <v>http://babel.hathitrust.org/cgi/pt?id=uc2.ark:/13960/t5x63rp19</v>
      </c>
      <c r="H984" t="str">
        <f>HYPERLINK("http://catalog.hathitrust.org/Record/001168967")</f>
        <v>http://catalog.hathitrust.org/Record/001168967</v>
      </c>
      <c r="J984" s="1">
        <v>1895</v>
      </c>
      <c r="K984" t="s">
        <v>18639</v>
      </c>
    </row>
    <row r="985" spans="1:12">
      <c r="A985" t="s">
        <v>18641</v>
      </c>
      <c r="B985" s="1" t="s">
        <v>18642</v>
      </c>
      <c r="F985">
        <v>1</v>
      </c>
      <c r="G985" t="str">
        <f>HYPERLINK("http://babel.hathitrust.org/cgi/pt?id=uc2.ark:/13960/t9b56mk1x")</f>
        <v>http://babel.hathitrust.org/cgi/pt?id=uc2.ark:/13960/t9b56mk1x</v>
      </c>
      <c r="H985" t="str">
        <f>HYPERLINK("http://catalog.hathitrust.org/Record/001168968")</f>
        <v>http://catalog.hathitrust.org/Record/001168968</v>
      </c>
      <c r="J985" s="1">
        <v>1905</v>
      </c>
      <c r="K985" t="s">
        <v>18643</v>
      </c>
    </row>
    <row r="986" spans="1:12">
      <c r="A986" t="s">
        <v>18644</v>
      </c>
      <c r="B986" s="1" t="s">
        <v>18645</v>
      </c>
      <c r="F986">
        <v>1</v>
      </c>
      <c r="G986" t="str">
        <f>HYPERLINK("http://babel.hathitrust.org/cgi/pt?id=mdp.39015023945788")</f>
        <v>http://babel.hathitrust.org/cgi/pt?id=mdp.39015023945788</v>
      </c>
      <c r="H986" t="str">
        <f>HYPERLINK("http://catalog.hathitrust.org/Record/001168977")</f>
        <v>http://catalog.hathitrust.org/Record/001168977</v>
      </c>
      <c r="J986" s="1">
        <v>1952</v>
      </c>
      <c r="K986" t="s">
        <v>18646</v>
      </c>
    </row>
    <row r="987" spans="1:12">
      <c r="A987" t="s">
        <v>18647</v>
      </c>
      <c r="B987" s="1" t="s">
        <v>18648</v>
      </c>
      <c r="F987">
        <v>1</v>
      </c>
      <c r="G987" t="str">
        <f>HYPERLINK("http://babel.hathitrust.org/cgi/pt?id=mdp.39015078263145")</f>
        <v>http://babel.hathitrust.org/cgi/pt?id=mdp.39015078263145</v>
      </c>
      <c r="H987" t="str">
        <f>HYPERLINK("http://catalog.hathitrust.org/Record/001168979")</f>
        <v>http://catalog.hathitrust.org/Record/001168979</v>
      </c>
      <c r="I987" s="1" t="s">
        <v>20755</v>
      </c>
      <c r="J987" s="1">
        <v>1945</v>
      </c>
      <c r="K987" t="s">
        <v>18649</v>
      </c>
      <c r="L987" t="s">
        <v>18650</v>
      </c>
    </row>
    <row r="988" spans="1:12">
      <c r="A988" t="s">
        <v>18651</v>
      </c>
      <c r="B988" s="1" t="s">
        <v>18648</v>
      </c>
      <c r="F988">
        <v>1</v>
      </c>
      <c r="G988" t="str">
        <f>HYPERLINK("http://babel.hathitrust.org/cgi/pt?id=mdp.39015078263152")</f>
        <v>http://babel.hathitrust.org/cgi/pt?id=mdp.39015078263152</v>
      </c>
      <c r="H988" t="str">
        <f>HYPERLINK("http://catalog.hathitrust.org/Record/001168979")</f>
        <v>http://catalog.hathitrust.org/Record/001168979</v>
      </c>
      <c r="I988" s="1" t="s">
        <v>20920</v>
      </c>
      <c r="J988" s="1">
        <v>1945</v>
      </c>
      <c r="K988" t="s">
        <v>18649</v>
      </c>
      <c r="L988" t="s">
        <v>18650</v>
      </c>
    </row>
    <row r="989" spans="1:12">
      <c r="A989" t="s">
        <v>18652</v>
      </c>
      <c r="B989" s="1" t="s">
        <v>18648</v>
      </c>
      <c r="F989">
        <v>1</v>
      </c>
      <c r="G989" t="str">
        <f>HYPERLINK("http://babel.hathitrust.org/cgi/pt?id=mdp.39015078263160")</f>
        <v>http://babel.hathitrust.org/cgi/pt?id=mdp.39015078263160</v>
      </c>
      <c r="H989" t="str">
        <f>HYPERLINK("http://catalog.hathitrust.org/Record/001168979")</f>
        <v>http://catalog.hathitrust.org/Record/001168979</v>
      </c>
      <c r="I989" s="1" t="s">
        <v>18653</v>
      </c>
      <c r="J989" s="1">
        <v>1945</v>
      </c>
      <c r="K989" t="s">
        <v>18649</v>
      </c>
      <c r="L989" t="s">
        <v>18650</v>
      </c>
    </row>
    <row r="990" spans="1:12">
      <c r="A990" t="s">
        <v>18654</v>
      </c>
      <c r="B990" s="1" t="s">
        <v>18655</v>
      </c>
      <c r="F990">
        <v>1</v>
      </c>
      <c r="G990" t="str">
        <f>HYPERLINK("http://babel.hathitrust.org/cgi/pt?id=mdp.39015033678478")</f>
        <v>http://babel.hathitrust.org/cgi/pt?id=mdp.39015033678478</v>
      </c>
      <c r="H990" t="str">
        <f>HYPERLINK("http://catalog.hathitrust.org/Record/001168983")</f>
        <v>http://catalog.hathitrust.org/Record/001168983</v>
      </c>
      <c r="J990" s="1">
        <v>1931</v>
      </c>
      <c r="K990" t="s">
        <v>18656</v>
      </c>
    </row>
    <row r="991" spans="1:12">
      <c r="A991" t="s">
        <v>18657</v>
      </c>
      <c r="B991" s="1" t="s">
        <v>18658</v>
      </c>
      <c r="F991">
        <v>1</v>
      </c>
      <c r="G991" t="str">
        <f>HYPERLINK("http://babel.hathitrust.org/cgi/pt?id=mdp.39015078263210")</f>
        <v>http://babel.hathitrust.org/cgi/pt?id=mdp.39015078263210</v>
      </c>
      <c r="H991" t="str">
        <f>HYPERLINK("http://catalog.hathitrust.org/Record/001168985")</f>
        <v>http://catalog.hathitrust.org/Record/001168985</v>
      </c>
      <c r="I991" s="1" t="s">
        <v>20916</v>
      </c>
      <c r="J991" s="1">
        <v>1950</v>
      </c>
      <c r="K991" t="s">
        <v>18659</v>
      </c>
    </row>
    <row r="992" spans="1:12">
      <c r="A992" t="s">
        <v>18660</v>
      </c>
      <c r="B992" s="1" t="s">
        <v>18658</v>
      </c>
      <c r="F992">
        <v>1</v>
      </c>
      <c r="G992" t="str">
        <f>HYPERLINK("http://babel.hathitrust.org/cgi/pt?id=mdp.39015078263228")</f>
        <v>http://babel.hathitrust.org/cgi/pt?id=mdp.39015078263228</v>
      </c>
      <c r="H992" t="str">
        <f>HYPERLINK("http://catalog.hathitrust.org/Record/001168985")</f>
        <v>http://catalog.hathitrust.org/Record/001168985</v>
      </c>
      <c r="I992" s="1" t="s">
        <v>20755</v>
      </c>
      <c r="J992" s="1">
        <v>1950</v>
      </c>
      <c r="K992" t="s">
        <v>18659</v>
      </c>
    </row>
    <row r="993" spans="1:12">
      <c r="A993" t="s">
        <v>18661</v>
      </c>
      <c r="B993" s="1" t="s">
        <v>18662</v>
      </c>
      <c r="F993">
        <v>1</v>
      </c>
      <c r="G993" t="str">
        <f>HYPERLINK("http://babel.hathitrust.org/cgi/pt?id=mdp.39015033678437")</f>
        <v>http://babel.hathitrust.org/cgi/pt?id=mdp.39015033678437</v>
      </c>
      <c r="H993" t="str">
        <f>HYPERLINK("http://catalog.hathitrust.org/Record/001168987")</f>
        <v>http://catalog.hathitrust.org/Record/001168987</v>
      </c>
      <c r="I993" s="1" t="s">
        <v>20920</v>
      </c>
      <c r="J993" s="1">
        <v>1913</v>
      </c>
      <c r="K993" t="s">
        <v>18663</v>
      </c>
    </row>
    <row r="994" spans="1:12">
      <c r="A994" t="s">
        <v>18664</v>
      </c>
      <c r="B994" s="1" t="s">
        <v>18662</v>
      </c>
      <c r="F994">
        <v>1</v>
      </c>
      <c r="G994" t="str">
        <f>HYPERLINK("http://babel.hathitrust.org/cgi/pt?id=mdp.39015033678445")</f>
        <v>http://babel.hathitrust.org/cgi/pt?id=mdp.39015033678445</v>
      </c>
      <c r="H994" t="str">
        <f>HYPERLINK("http://catalog.hathitrust.org/Record/001168987")</f>
        <v>http://catalog.hathitrust.org/Record/001168987</v>
      </c>
      <c r="I994" s="1" t="s">
        <v>20755</v>
      </c>
      <c r="J994" s="1">
        <v>1913</v>
      </c>
      <c r="K994" t="s">
        <v>18663</v>
      </c>
    </row>
    <row r="995" spans="1:12">
      <c r="A995" t="s">
        <v>18665</v>
      </c>
      <c r="B995" s="1" t="s">
        <v>18662</v>
      </c>
      <c r="F995">
        <v>1</v>
      </c>
      <c r="G995" t="str">
        <f>HYPERLINK("http://babel.hathitrust.org/cgi/pt?id=mdp.39015033678452")</f>
        <v>http://babel.hathitrust.org/cgi/pt?id=mdp.39015033678452</v>
      </c>
      <c r="H995" t="str">
        <f>HYPERLINK("http://catalog.hathitrust.org/Record/001168987")</f>
        <v>http://catalog.hathitrust.org/Record/001168987</v>
      </c>
      <c r="I995" s="1" t="s">
        <v>20916</v>
      </c>
      <c r="J995" s="1">
        <v>1913</v>
      </c>
      <c r="K995" t="s">
        <v>18663</v>
      </c>
    </row>
    <row r="996" spans="1:12">
      <c r="A996" t="s">
        <v>18666</v>
      </c>
      <c r="B996" s="1" t="s">
        <v>18667</v>
      </c>
      <c r="F996">
        <v>1</v>
      </c>
      <c r="G996" t="str">
        <f>HYPERLINK("http://babel.hathitrust.org/cgi/pt?id=mdp.39015033678395")</f>
        <v>http://babel.hathitrust.org/cgi/pt?id=mdp.39015033678395</v>
      </c>
      <c r="H996" t="str">
        <f>HYPERLINK("http://catalog.hathitrust.org/Record/001168991")</f>
        <v>http://catalog.hathitrust.org/Record/001168991</v>
      </c>
      <c r="I996" s="1" t="s">
        <v>20920</v>
      </c>
      <c r="J996" s="1">
        <v>1903</v>
      </c>
      <c r="K996" t="s">
        <v>18668</v>
      </c>
    </row>
    <row r="997" spans="1:12">
      <c r="A997" t="s">
        <v>18669</v>
      </c>
      <c r="B997" s="1" t="s">
        <v>18667</v>
      </c>
      <c r="F997">
        <v>1</v>
      </c>
      <c r="G997" t="str">
        <f>HYPERLINK("http://babel.hathitrust.org/cgi/pt?id=mdp.39015033678403")</f>
        <v>http://babel.hathitrust.org/cgi/pt?id=mdp.39015033678403</v>
      </c>
      <c r="H997" t="str">
        <f>HYPERLINK("http://catalog.hathitrust.org/Record/001168991")</f>
        <v>http://catalog.hathitrust.org/Record/001168991</v>
      </c>
      <c r="I997" s="1" t="s">
        <v>20755</v>
      </c>
      <c r="J997" s="1">
        <v>1903</v>
      </c>
      <c r="K997" t="s">
        <v>18668</v>
      </c>
    </row>
    <row r="998" spans="1:12">
      <c r="A998" t="s">
        <v>18670</v>
      </c>
      <c r="B998" s="1" t="s">
        <v>18667</v>
      </c>
      <c r="F998">
        <v>1</v>
      </c>
      <c r="G998" t="str">
        <f>HYPERLINK("http://babel.hathitrust.org/cgi/pt?id=mdp.39015033678411")</f>
        <v>http://babel.hathitrust.org/cgi/pt?id=mdp.39015033678411</v>
      </c>
      <c r="H998" t="str">
        <f>HYPERLINK("http://catalog.hathitrust.org/Record/001168991")</f>
        <v>http://catalog.hathitrust.org/Record/001168991</v>
      </c>
      <c r="I998" s="1" t="s">
        <v>20916</v>
      </c>
      <c r="J998" s="1">
        <v>1903</v>
      </c>
      <c r="K998" t="s">
        <v>18668</v>
      </c>
    </row>
    <row r="999" spans="1:12">
      <c r="A999" t="s">
        <v>18671</v>
      </c>
      <c r="B999" s="1" t="s">
        <v>18667</v>
      </c>
      <c r="F999">
        <v>1</v>
      </c>
      <c r="G999" t="str">
        <f>HYPERLINK("http://babel.hathitrust.org/cgi/pt?id=nyp.33433031039997")</f>
        <v>http://babel.hathitrust.org/cgi/pt?id=nyp.33433031039997</v>
      </c>
      <c r="H999" t="str">
        <f>HYPERLINK("http://catalog.hathitrust.org/Record/001168991")</f>
        <v>http://catalog.hathitrust.org/Record/001168991</v>
      </c>
      <c r="I999" s="1" t="s">
        <v>20801</v>
      </c>
      <c r="J999" s="1">
        <v>1903</v>
      </c>
      <c r="K999" t="s">
        <v>18668</v>
      </c>
    </row>
    <row r="1000" spans="1:12">
      <c r="A1000" t="s">
        <v>18672</v>
      </c>
      <c r="B1000" s="1" t="s">
        <v>18673</v>
      </c>
      <c r="F1000">
        <v>1</v>
      </c>
      <c r="G1000" t="str">
        <f>HYPERLINK("http://babel.hathitrust.org/cgi/pt?id=mdp.39015033689855")</f>
        <v>http://babel.hathitrust.org/cgi/pt?id=mdp.39015033689855</v>
      </c>
      <c r="H1000" t="str">
        <f>HYPERLINK("http://catalog.hathitrust.org/Record/001169059")</f>
        <v>http://catalog.hathitrust.org/Record/001169059</v>
      </c>
      <c r="J1000" s="1">
        <v>1910</v>
      </c>
      <c r="K1000" t="s">
        <v>18674</v>
      </c>
    </row>
    <row r="1001" spans="1:12">
      <c r="A1001" t="s">
        <v>18675</v>
      </c>
      <c r="B1001" s="1" t="s">
        <v>18676</v>
      </c>
      <c r="F1001">
        <v>1</v>
      </c>
      <c r="G1001" t="str">
        <f>HYPERLINK("http://babel.hathitrust.org/cgi/pt?id=hvd.hxg8ju")</f>
        <v>http://babel.hathitrust.org/cgi/pt?id=hvd.hxg8ju</v>
      </c>
      <c r="H1001" t="str">
        <f t="shared" ref="H1001:H1011" si="20">HYPERLINK("http://catalog.hathitrust.org/Record/001169065")</f>
        <v>http://catalog.hathitrust.org/Record/001169065</v>
      </c>
      <c r="I1001" s="1" t="s">
        <v>20679</v>
      </c>
      <c r="J1001" s="1">
        <v>1810</v>
      </c>
      <c r="K1001" t="s">
        <v>18677</v>
      </c>
      <c r="L1001" t="s">
        <v>18678</v>
      </c>
    </row>
    <row r="1002" spans="1:12">
      <c r="A1002" t="s">
        <v>18679</v>
      </c>
      <c r="B1002" s="1" t="s">
        <v>18676</v>
      </c>
      <c r="F1002">
        <v>1</v>
      </c>
      <c r="G1002" t="str">
        <f>HYPERLINK("http://babel.hathitrust.org/cgi/pt?id=hvd.hxg8jv")</f>
        <v>http://babel.hathitrust.org/cgi/pt?id=hvd.hxg8jv</v>
      </c>
      <c r="H1002" t="str">
        <f t="shared" si="20"/>
        <v>http://catalog.hathitrust.org/Record/001169065</v>
      </c>
      <c r="I1002" s="1" t="s">
        <v>20920</v>
      </c>
      <c r="J1002" s="1">
        <v>1810</v>
      </c>
      <c r="K1002" t="s">
        <v>18677</v>
      </c>
      <c r="L1002" t="s">
        <v>18678</v>
      </c>
    </row>
    <row r="1003" spans="1:12">
      <c r="A1003" t="s">
        <v>18680</v>
      </c>
      <c r="B1003" s="1" t="s">
        <v>18676</v>
      </c>
      <c r="F1003">
        <v>1</v>
      </c>
      <c r="G1003" t="str">
        <f>HYPERLINK("http://babel.hathitrust.org/cgi/pt?id=hvd.hxg8jw")</f>
        <v>http://babel.hathitrust.org/cgi/pt?id=hvd.hxg8jw</v>
      </c>
      <c r="H1003" t="str">
        <f t="shared" si="20"/>
        <v>http://catalog.hathitrust.org/Record/001169065</v>
      </c>
      <c r="I1003" s="1" t="s">
        <v>20755</v>
      </c>
      <c r="J1003" s="1">
        <v>1810</v>
      </c>
      <c r="K1003" t="s">
        <v>18677</v>
      </c>
      <c r="L1003" t="s">
        <v>18678</v>
      </c>
    </row>
    <row r="1004" spans="1:12">
      <c r="A1004" t="s">
        <v>18681</v>
      </c>
      <c r="B1004" s="1" t="s">
        <v>18676</v>
      </c>
      <c r="F1004">
        <v>1</v>
      </c>
      <c r="G1004" t="str">
        <f>HYPERLINK("http://babel.hathitrust.org/cgi/pt?id=hvd.hxg8jx")</f>
        <v>http://babel.hathitrust.org/cgi/pt?id=hvd.hxg8jx</v>
      </c>
      <c r="H1004" t="str">
        <f t="shared" si="20"/>
        <v>http://catalog.hathitrust.org/Record/001169065</v>
      </c>
      <c r="I1004" s="1" t="s">
        <v>20916</v>
      </c>
      <c r="J1004" s="1">
        <v>1810</v>
      </c>
      <c r="K1004" t="s">
        <v>18677</v>
      </c>
      <c r="L1004" t="s">
        <v>18678</v>
      </c>
    </row>
    <row r="1005" spans="1:12">
      <c r="A1005" t="s">
        <v>18682</v>
      </c>
      <c r="B1005" s="1" t="s">
        <v>18676</v>
      </c>
      <c r="F1005">
        <v>1</v>
      </c>
      <c r="G1005" t="str">
        <f>HYPERLINK("http://babel.hathitrust.org/cgi/pt?id=nyp.33433074792247")</f>
        <v>http://babel.hathitrust.org/cgi/pt?id=nyp.33433074792247</v>
      </c>
      <c r="H1005" t="str">
        <f t="shared" si="20"/>
        <v>http://catalog.hathitrust.org/Record/001169065</v>
      </c>
      <c r="I1005" s="1" t="s">
        <v>20803</v>
      </c>
      <c r="J1005" s="1">
        <v>1810</v>
      </c>
      <c r="K1005" t="s">
        <v>18677</v>
      </c>
      <c r="L1005" t="s">
        <v>18678</v>
      </c>
    </row>
    <row r="1006" spans="1:12">
      <c r="A1006" t="s">
        <v>18683</v>
      </c>
      <c r="B1006" s="1" t="s">
        <v>18676</v>
      </c>
      <c r="F1006">
        <v>1</v>
      </c>
      <c r="G1006" t="str">
        <f>HYPERLINK("http://babel.hathitrust.org/cgi/pt?id=nyp.33433074792254")</f>
        <v>http://babel.hathitrust.org/cgi/pt?id=nyp.33433074792254</v>
      </c>
      <c r="H1006" t="str">
        <f t="shared" si="20"/>
        <v>http://catalog.hathitrust.org/Record/001169065</v>
      </c>
      <c r="I1006" s="1" t="s">
        <v>18684</v>
      </c>
      <c r="J1006" s="1">
        <v>1810</v>
      </c>
      <c r="K1006" t="s">
        <v>18677</v>
      </c>
      <c r="L1006" t="s">
        <v>18678</v>
      </c>
    </row>
    <row r="1007" spans="1:12">
      <c r="A1007" t="s">
        <v>18685</v>
      </c>
      <c r="B1007" s="1" t="s">
        <v>18676</v>
      </c>
      <c r="F1007">
        <v>1</v>
      </c>
      <c r="G1007" t="str">
        <f>HYPERLINK("http://babel.hathitrust.org/cgi/pt?id=nyp.33433074792262")</f>
        <v>http://babel.hathitrust.org/cgi/pt?id=nyp.33433074792262</v>
      </c>
      <c r="H1007" t="str">
        <f t="shared" si="20"/>
        <v>http://catalog.hathitrust.org/Record/001169065</v>
      </c>
      <c r="I1007" s="1" t="s">
        <v>18686</v>
      </c>
      <c r="J1007" s="1">
        <v>1810</v>
      </c>
      <c r="K1007" t="s">
        <v>18677</v>
      </c>
      <c r="L1007" t="s">
        <v>18678</v>
      </c>
    </row>
    <row r="1008" spans="1:12">
      <c r="A1008" t="s">
        <v>18687</v>
      </c>
      <c r="B1008" s="1" t="s">
        <v>18676</v>
      </c>
      <c r="F1008">
        <v>1</v>
      </c>
      <c r="G1008" t="str">
        <f>HYPERLINK("http://babel.hathitrust.org/cgi/pt?id=nyp.33433074792502")</f>
        <v>http://babel.hathitrust.org/cgi/pt?id=nyp.33433074792502</v>
      </c>
      <c r="H1008" t="str">
        <f t="shared" si="20"/>
        <v>http://catalog.hathitrust.org/Record/001169065</v>
      </c>
      <c r="I1008" s="1" t="s">
        <v>20801</v>
      </c>
      <c r="J1008" s="1">
        <v>1810</v>
      </c>
      <c r="K1008" t="s">
        <v>18677</v>
      </c>
      <c r="L1008" t="s">
        <v>18678</v>
      </c>
    </row>
    <row r="1009" spans="1:12">
      <c r="A1009" t="s">
        <v>18688</v>
      </c>
      <c r="B1009" s="1" t="s">
        <v>18676</v>
      </c>
      <c r="F1009">
        <v>1</v>
      </c>
      <c r="G1009" t="str">
        <f>HYPERLINK("http://babel.hathitrust.org/cgi/pt?id=uc2.ark:/13960/t3dz06f85")</f>
        <v>http://babel.hathitrust.org/cgi/pt?id=uc2.ark:/13960/t3dz06f85</v>
      </c>
      <c r="H1009" t="str">
        <f t="shared" si="20"/>
        <v>http://catalog.hathitrust.org/Record/001169065</v>
      </c>
      <c r="I1009" s="1" t="s">
        <v>20679</v>
      </c>
      <c r="J1009" s="1">
        <v>1810</v>
      </c>
      <c r="K1009" t="s">
        <v>18677</v>
      </c>
      <c r="L1009" t="s">
        <v>18678</v>
      </c>
    </row>
    <row r="1010" spans="1:12">
      <c r="A1010" t="s">
        <v>18689</v>
      </c>
      <c r="B1010" s="1" t="s">
        <v>18676</v>
      </c>
      <c r="F1010">
        <v>1</v>
      </c>
      <c r="G1010" t="str">
        <f>HYPERLINK("http://babel.hathitrust.org/cgi/pt?id=uc2.ark:/13960/t3jw89w1f")</f>
        <v>http://babel.hathitrust.org/cgi/pt?id=uc2.ark:/13960/t3jw89w1f</v>
      </c>
      <c r="H1010" t="str">
        <f t="shared" si="20"/>
        <v>http://catalog.hathitrust.org/Record/001169065</v>
      </c>
      <c r="I1010" s="1" t="s">
        <v>20755</v>
      </c>
      <c r="J1010" s="1">
        <v>1810</v>
      </c>
      <c r="K1010" t="s">
        <v>18677</v>
      </c>
      <c r="L1010" t="s">
        <v>18678</v>
      </c>
    </row>
    <row r="1011" spans="1:12">
      <c r="A1011" t="s">
        <v>18690</v>
      </c>
      <c r="B1011" s="1" t="s">
        <v>18676</v>
      </c>
      <c r="F1011">
        <v>1</v>
      </c>
      <c r="G1011" t="str">
        <f>HYPERLINK("http://babel.hathitrust.org/cgi/pt?id=uc2.ark:/13960/t41r6rc3j")</f>
        <v>http://babel.hathitrust.org/cgi/pt?id=uc2.ark:/13960/t41r6rc3j</v>
      </c>
      <c r="H1011" t="str">
        <f t="shared" si="20"/>
        <v>http://catalog.hathitrust.org/Record/001169065</v>
      </c>
      <c r="I1011" s="1" t="s">
        <v>20916</v>
      </c>
      <c r="J1011" s="1">
        <v>1810</v>
      </c>
      <c r="K1011" t="s">
        <v>18677</v>
      </c>
      <c r="L1011" t="s">
        <v>18678</v>
      </c>
    </row>
    <row r="1012" spans="1:12">
      <c r="A1012" t="s">
        <v>18584</v>
      </c>
      <c r="B1012" s="1" t="s">
        <v>18585</v>
      </c>
      <c r="F1012">
        <v>1</v>
      </c>
      <c r="G1012" t="str">
        <f>HYPERLINK("http://babel.hathitrust.org/cgi/pt?id=hvd.hxg8jz")</f>
        <v>http://babel.hathitrust.org/cgi/pt?id=hvd.hxg8jz</v>
      </c>
      <c r="H1012" t="str">
        <f t="shared" ref="H1012:H1022" si="21">HYPERLINK("http://catalog.hathitrust.org/Record/001169066")</f>
        <v>http://catalog.hathitrust.org/Record/001169066</v>
      </c>
      <c r="I1012" s="1" t="s">
        <v>20679</v>
      </c>
      <c r="J1012" s="1">
        <v>1814</v>
      </c>
      <c r="K1012" t="s">
        <v>18586</v>
      </c>
      <c r="L1012" t="s">
        <v>18678</v>
      </c>
    </row>
    <row r="1013" spans="1:12">
      <c r="A1013" t="s">
        <v>18587</v>
      </c>
      <c r="B1013" s="1" t="s">
        <v>18585</v>
      </c>
      <c r="F1013">
        <v>1</v>
      </c>
      <c r="G1013" t="str">
        <f>HYPERLINK("http://babel.hathitrust.org/cgi/pt?id=hvd.hxg8k1")</f>
        <v>http://babel.hathitrust.org/cgi/pt?id=hvd.hxg8k1</v>
      </c>
      <c r="H1013" t="str">
        <f t="shared" si="21"/>
        <v>http://catalog.hathitrust.org/Record/001169066</v>
      </c>
      <c r="I1013" s="1" t="s">
        <v>20755</v>
      </c>
      <c r="J1013" s="1">
        <v>1814</v>
      </c>
      <c r="K1013" t="s">
        <v>18586</v>
      </c>
      <c r="L1013" t="s">
        <v>18678</v>
      </c>
    </row>
    <row r="1014" spans="1:12">
      <c r="A1014" t="s">
        <v>18588</v>
      </c>
      <c r="B1014" s="1" t="s">
        <v>18585</v>
      </c>
      <c r="F1014">
        <v>1</v>
      </c>
      <c r="G1014" t="str">
        <f>HYPERLINK("http://babel.hathitrust.org/cgi/pt?id=hvd.hxg8k2")</f>
        <v>http://babel.hathitrust.org/cgi/pt?id=hvd.hxg8k2</v>
      </c>
      <c r="H1014" t="str">
        <f t="shared" si="21"/>
        <v>http://catalog.hathitrust.org/Record/001169066</v>
      </c>
      <c r="I1014" s="1" t="s">
        <v>20916</v>
      </c>
      <c r="J1014" s="1">
        <v>1814</v>
      </c>
      <c r="K1014" t="s">
        <v>18586</v>
      </c>
      <c r="L1014" t="s">
        <v>18678</v>
      </c>
    </row>
    <row r="1015" spans="1:12">
      <c r="A1015" t="s">
        <v>18589</v>
      </c>
      <c r="B1015" s="1" t="s">
        <v>18585</v>
      </c>
      <c r="F1015">
        <v>1</v>
      </c>
      <c r="G1015" t="str">
        <f>HYPERLINK("http://babel.hathitrust.org/cgi/pt?id=mdp.39015074634117")</f>
        <v>http://babel.hathitrust.org/cgi/pt?id=mdp.39015074634117</v>
      </c>
      <c r="H1015" t="str">
        <f t="shared" si="21"/>
        <v>http://catalog.hathitrust.org/Record/001169066</v>
      </c>
      <c r="I1015" s="1" t="s">
        <v>20679</v>
      </c>
      <c r="J1015" s="1">
        <v>1814</v>
      </c>
      <c r="K1015" t="s">
        <v>18586</v>
      </c>
      <c r="L1015" t="s">
        <v>18678</v>
      </c>
    </row>
    <row r="1016" spans="1:12">
      <c r="A1016" t="s">
        <v>18590</v>
      </c>
      <c r="B1016" s="1" t="s">
        <v>18585</v>
      </c>
      <c r="F1016">
        <v>1</v>
      </c>
      <c r="G1016" t="str">
        <f>HYPERLINK("http://babel.hathitrust.org/cgi/pt?id=mdp.39015074634125")</f>
        <v>http://babel.hathitrust.org/cgi/pt?id=mdp.39015074634125</v>
      </c>
      <c r="H1016" t="str">
        <f t="shared" si="21"/>
        <v>http://catalog.hathitrust.org/Record/001169066</v>
      </c>
      <c r="I1016" s="1" t="s">
        <v>20920</v>
      </c>
      <c r="J1016" s="1">
        <v>1814</v>
      </c>
      <c r="K1016" t="s">
        <v>18586</v>
      </c>
      <c r="L1016" t="s">
        <v>18678</v>
      </c>
    </row>
    <row r="1017" spans="1:12">
      <c r="A1017" t="s">
        <v>18591</v>
      </c>
      <c r="B1017" s="1" t="s">
        <v>18585</v>
      </c>
      <c r="F1017">
        <v>1</v>
      </c>
      <c r="G1017" t="str">
        <f>HYPERLINK("http://babel.hathitrust.org/cgi/pt?id=mdp.39015074634133")</f>
        <v>http://babel.hathitrust.org/cgi/pt?id=mdp.39015074634133</v>
      </c>
      <c r="H1017" t="str">
        <f t="shared" si="21"/>
        <v>http://catalog.hathitrust.org/Record/001169066</v>
      </c>
      <c r="I1017" s="1" t="s">
        <v>20916</v>
      </c>
      <c r="J1017" s="1">
        <v>1814</v>
      </c>
      <c r="K1017" t="s">
        <v>18586</v>
      </c>
      <c r="L1017" t="s">
        <v>18678</v>
      </c>
    </row>
    <row r="1018" spans="1:12">
      <c r="A1018" t="s">
        <v>18592</v>
      </c>
      <c r="B1018" s="1" t="s">
        <v>18585</v>
      </c>
      <c r="F1018">
        <v>1</v>
      </c>
      <c r="G1018" t="str">
        <f>HYPERLINK("http://babel.hathitrust.org/cgi/pt?id=mdp.39015074634299")</f>
        <v>http://babel.hathitrust.org/cgi/pt?id=mdp.39015074634299</v>
      </c>
      <c r="H1018" t="str">
        <f t="shared" si="21"/>
        <v>http://catalog.hathitrust.org/Record/001169066</v>
      </c>
      <c r="I1018" s="1" t="s">
        <v>20755</v>
      </c>
      <c r="J1018" s="1">
        <v>1814</v>
      </c>
      <c r="K1018" t="s">
        <v>18586</v>
      </c>
      <c r="L1018" t="s">
        <v>18678</v>
      </c>
    </row>
    <row r="1019" spans="1:12">
      <c r="A1019" t="s">
        <v>18593</v>
      </c>
      <c r="B1019" s="1" t="s">
        <v>18585</v>
      </c>
      <c r="F1019">
        <v>1</v>
      </c>
      <c r="G1019" t="str">
        <f>HYPERLINK("http://babel.hathitrust.org/cgi/pt?id=uc2.ark:/13960/t0pr7qx8w")</f>
        <v>http://babel.hathitrust.org/cgi/pt?id=uc2.ark:/13960/t0pr7qx8w</v>
      </c>
      <c r="H1019" t="str">
        <f t="shared" si="21"/>
        <v>http://catalog.hathitrust.org/Record/001169066</v>
      </c>
      <c r="I1019" s="1" t="s">
        <v>19351</v>
      </c>
      <c r="J1019" s="1">
        <v>1814</v>
      </c>
      <c r="K1019" t="s">
        <v>18586</v>
      </c>
      <c r="L1019" t="s">
        <v>18678</v>
      </c>
    </row>
    <row r="1020" spans="1:12">
      <c r="A1020" t="s">
        <v>18594</v>
      </c>
      <c r="B1020" s="1" t="s">
        <v>18585</v>
      </c>
      <c r="F1020">
        <v>1</v>
      </c>
      <c r="G1020" t="str">
        <f>HYPERLINK("http://babel.hathitrust.org/cgi/pt?id=uc2.ark:/13960/t3513z787")</f>
        <v>http://babel.hathitrust.org/cgi/pt?id=uc2.ark:/13960/t3513z787</v>
      </c>
      <c r="H1020" t="str">
        <f t="shared" si="21"/>
        <v>http://catalog.hathitrust.org/Record/001169066</v>
      </c>
      <c r="I1020" s="1" t="s">
        <v>18595</v>
      </c>
      <c r="J1020" s="1">
        <v>1814</v>
      </c>
      <c r="K1020" t="s">
        <v>18586</v>
      </c>
      <c r="L1020" t="s">
        <v>18678</v>
      </c>
    </row>
    <row r="1021" spans="1:12">
      <c r="A1021" t="s">
        <v>18596</v>
      </c>
      <c r="B1021" s="1" t="s">
        <v>18585</v>
      </c>
      <c r="F1021">
        <v>1</v>
      </c>
      <c r="G1021" t="str">
        <f>HYPERLINK("http://babel.hathitrust.org/cgi/pt?id=uc2.ark:/13960/t3kw5bt0n")</f>
        <v>http://babel.hathitrust.org/cgi/pt?id=uc2.ark:/13960/t3kw5bt0n</v>
      </c>
      <c r="H1021" t="str">
        <f t="shared" si="21"/>
        <v>http://catalog.hathitrust.org/Record/001169066</v>
      </c>
      <c r="I1021" s="1" t="s">
        <v>18597</v>
      </c>
      <c r="J1021" s="1">
        <v>1814</v>
      </c>
      <c r="K1021" t="s">
        <v>18586</v>
      </c>
      <c r="L1021" t="s">
        <v>18678</v>
      </c>
    </row>
    <row r="1022" spans="1:12">
      <c r="A1022" t="s">
        <v>18598</v>
      </c>
      <c r="B1022" s="1" t="s">
        <v>18585</v>
      </c>
      <c r="F1022">
        <v>1</v>
      </c>
      <c r="G1022" t="str">
        <f>HYPERLINK("http://babel.hathitrust.org/cgi/pt?id=uc2.ark:/13960/t3ws8mw6n")</f>
        <v>http://babel.hathitrust.org/cgi/pt?id=uc2.ark:/13960/t3ws8mw6n</v>
      </c>
      <c r="H1022" t="str">
        <f t="shared" si="21"/>
        <v>http://catalog.hathitrust.org/Record/001169066</v>
      </c>
      <c r="I1022" s="1" t="s">
        <v>18599</v>
      </c>
      <c r="J1022" s="1">
        <v>1814</v>
      </c>
      <c r="K1022" t="s">
        <v>18586</v>
      </c>
      <c r="L1022" t="s">
        <v>18678</v>
      </c>
    </row>
    <row r="1023" spans="1:12">
      <c r="A1023" t="s">
        <v>18600</v>
      </c>
      <c r="B1023" s="1" t="s">
        <v>18601</v>
      </c>
      <c r="F1023">
        <v>1</v>
      </c>
      <c r="G1023" t="str">
        <f>HYPERLINK("http://babel.hathitrust.org/cgi/pt?id=mdp.39015033689814")</f>
        <v>http://babel.hathitrust.org/cgi/pt?id=mdp.39015033689814</v>
      </c>
      <c r="H1023" t="str">
        <f>HYPERLINK("http://catalog.hathitrust.org/Record/001169068")</f>
        <v>http://catalog.hathitrust.org/Record/001169068</v>
      </c>
      <c r="J1023" s="1">
        <v>1930</v>
      </c>
      <c r="K1023" t="s">
        <v>18602</v>
      </c>
      <c r="L1023" t="s">
        <v>18603</v>
      </c>
    </row>
    <row r="1024" spans="1:12">
      <c r="A1024" t="s">
        <v>18604</v>
      </c>
      <c r="B1024" s="1" t="s">
        <v>18601</v>
      </c>
      <c r="F1024">
        <v>1</v>
      </c>
      <c r="G1024" t="str">
        <f>HYPERLINK("http://babel.hathitrust.org/cgi/pt?id=uc1.b72328")</f>
        <v>http://babel.hathitrust.org/cgi/pt?id=uc1.b72328</v>
      </c>
      <c r="H1024" t="str">
        <f>HYPERLINK("http://catalog.hathitrust.org/Record/001169068")</f>
        <v>http://catalog.hathitrust.org/Record/001169068</v>
      </c>
      <c r="J1024" s="1">
        <v>1930</v>
      </c>
      <c r="K1024" t="s">
        <v>18602</v>
      </c>
      <c r="L1024" t="s">
        <v>18603</v>
      </c>
    </row>
    <row r="1025" spans="1:12">
      <c r="A1025" t="s">
        <v>18605</v>
      </c>
      <c r="B1025" s="1" t="s">
        <v>18606</v>
      </c>
      <c r="F1025">
        <v>1</v>
      </c>
      <c r="G1025" t="str">
        <f>HYPERLINK("http://babel.hathitrust.org/cgi/pt?id=uc2.ark:/13960/t7tm73x3t")</f>
        <v>http://babel.hathitrust.org/cgi/pt?id=uc2.ark:/13960/t7tm73x3t</v>
      </c>
      <c r="H1025" t="str">
        <f>HYPERLINK("http://catalog.hathitrust.org/Record/001169070")</f>
        <v>http://catalog.hathitrust.org/Record/001169070</v>
      </c>
      <c r="J1025" s="1">
        <v>1816</v>
      </c>
      <c r="K1025" t="s">
        <v>18607</v>
      </c>
      <c r="L1025" t="s">
        <v>18608</v>
      </c>
    </row>
    <row r="1026" spans="1:12">
      <c r="A1026" t="s">
        <v>18609</v>
      </c>
      <c r="B1026" s="1" t="s">
        <v>18610</v>
      </c>
      <c r="F1026">
        <v>1</v>
      </c>
      <c r="G1026" t="str">
        <f>HYPERLINK("http://babel.hathitrust.org/cgi/pt?id=nyp.33433074796644")</f>
        <v>http://babel.hathitrust.org/cgi/pt?id=nyp.33433074796644</v>
      </c>
      <c r="H1026" t="str">
        <f>HYPERLINK("http://catalog.hathitrust.org/Record/001169071")</f>
        <v>http://catalog.hathitrust.org/Record/001169071</v>
      </c>
      <c r="J1026" s="1">
        <v>1893</v>
      </c>
      <c r="K1026" t="s">
        <v>18611</v>
      </c>
    </row>
    <row r="1027" spans="1:12">
      <c r="A1027" t="s">
        <v>18612</v>
      </c>
      <c r="B1027" s="1" t="s">
        <v>18610</v>
      </c>
      <c r="F1027">
        <v>1</v>
      </c>
      <c r="G1027" t="str">
        <f>HYPERLINK("http://babel.hathitrust.org/cgi/pt?id=uc2.ark:/13960/t3pv6hp3b")</f>
        <v>http://babel.hathitrust.org/cgi/pt?id=uc2.ark:/13960/t3pv6hp3b</v>
      </c>
      <c r="H1027" t="str">
        <f>HYPERLINK("http://catalog.hathitrust.org/Record/001169071")</f>
        <v>http://catalog.hathitrust.org/Record/001169071</v>
      </c>
      <c r="J1027" s="1">
        <v>1893</v>
      </c>
      <c r="K1027" t="s">
        <v>18611</v>
      </c>
    </row>
    <row r="1028" spans="1:12">
      <c r="A1028" t="s">
        <v>18613</v>
      </c>
      <c r="B1028" s="1" t="s">
        <v>18614</v>
      </c>
      <c r="F1028">
        <v>1</v>
      </c>
      <c r="G1028" t="str">
        <f>HYPERLINK("http://babel.hathitrust.org/cgi/pt?id=nyp.33433074796578")</f>
        <v>http://babel.hathitrust.org/cgi/pt?id=nyp.33433074796578</v>
      </c>
      <c r="H1028" t="str">
        <f t="shared" ref="H1028:H1036" si="22">HYPERLINK("http://catalog.hathitrust.org/Record/001169072")</f>
        <v>http://catalog.hathitrust.org/Record/001169072</v>
      </c>
      <c r="I1028" s="1" t="s">
        <v>20801</v>
      </c>
      <c r="J1028" s="1">
        <v>1905</v>
      </c>
      <c r="K1028" t="s">
        <v>18615</v>
      </c>
    </row>
    <row r="1029" spans="1:12">
      <c r="A1029" t="s">
        <v>18616</v>
      </c>
      <c r="B1029" s="1" t="s">
        <v>18614</v>
      </c>
      <c r="F1029">
        <v>1</v>
      </c>
      <c r="G1029" t="str">
        <f>HYPERLINK("http://babel.hathitrust.org/cgi/pt?id=nyp.33433074796586")</f>
        <v>http://babel.hathitrust.org/cgi/pt?id=nyp.33433074796586</v>
      </c>
      <c r="H1029" t="str">
        <f t="shared" si="22"/>
        <v>http://catalog.hathitrust.org/Record/001169072</v>
      </c>
      <c r="I1029" s="1" t="s">
        <v>20799</v>
      </c>
      <c r="J1029" s="1">
        <v>1905</v>
      </c>
      <c r="K1029" t="s">
        <v>18615</v>
      </c>
    </row>
    <row r="1030" spans="1:12">
      <c r="A1030" t="s">
        <v>18617</v>
      </c>
      <c r="B1030" s="1" t="s">
        <v>18614</v>
      </c>
      <c r="F1030">
        <v>1</v>
      </c>
      <c r="G1030" t="str">
        <f>HYPERLINK("http://babel.hathitrust.org/cgi/pt?id=nyp.33433074796594")</f>
        <v>http://babel.hathitrust.org/cgi/pt?id=nyp.33433074796594</v>
      </c>
      <c r="H1030" t="str">
        <f t="shared" si="22"/>
        <v>http://catalog.hathitrust.org/Record/001169072</v>
      </c>
      <c r="I1030" s="1" t="s">
        <v>20796</v>
      </c>
      <c r="J1030" s="1">
        <v>1905</v>
      </c>
      <c r="K1030" t="s">
        <v>18615</v>
      </c>
    </row>
    <row r="1031" spans="1:12">
      <c r="A1031" t="s">
        <v>18618</v>
      </c>
      <c r="B1031" s="1" t="s">
        <v>18614</v>
      </c>
      <c r="F1031">
        <v>1</v>
      </c>
      <c r="G1031" t="str">
        <f>HYPERLINK("http://babel.hathitrust.org/cgi/pt?id=uc1.b3537729")</f>
        <v>http://babel.hathitrust.org/cgi/pt?id=uc1.b3537729</v>
      </c>
      <c r="H1031" t="str">
        <f t="shared" si="22"/>
        <v>http://catalog.hathitrust.org/Record/001169072</v>
      </c>
      <c r="I1031" s="1" t="s">
        <v>20801</v>
      </c>
      <c r="J1031" s="1">
        <v>1905</v>
      </c>
      <c r="K1031" t="s">
        <v>18615</v>
      </c>
    </row>
    <row r="1032" spans="1:12">
      <c r="A1032" t="s">
        <v>18619</v>
      </c>
      <c r="B1032" s="1" t="s">
        <v>18614</v>
      </c>
      <c r="F1032">
        <v>1</v>
      </c>
      <c r="G1032" t="str">
        <f>HYPERLINK("http://babel.hathitrust.org/cgi/pt?id=uc1.b3537730")</f>
        <v>http://babel.hathitrust.org/cgi/pt?id=uc1.b3537730</v>
      </c>
      <c r="H1032" t="str">
        <f t="shared" si="22"/>
        <v>http://catalog.hathitrust.org/Record/001169072</v>
      </c>
      <c r="I1032" s="1" t="s">
        <v>20796</v>
      </c>
      <c r="J1032" s="1">
        <v>1905</v>
      </c>
      <c r="K1032" t="s">
        <v>18615</v>
      </c>
    </row>
    <row r="1033" spans="1:12">
      <c r="A1033" t="s">
        <v>18620</v>
      </c>
      <c r="B1033" s="1" t="s">
        <v>18614</v>
      </c>
      <c r="F1033">
        <v>1</v>
      </c>
      <c r="G1033" t="str">
        <f>HYPERLINK("http://babel.hathitrust.org/cgi/pt?id=uc1.b3537731")</f>
        <v>http://babel.hathitrust.org/cgi/pt?id=uc1.b3537731</v>
      </c>
      <c r="H1033" t="str">
        <f t="shared" si="22"/>
        <v>http://catalog.hathitrust.org/Record/001169072</v>
      </c>
      <c r="I1033" s="1" t="s">
        <v>20799</v>
      </c>
      <c r="J1033" s="1">
        <v>1905</v>
      </c>
      <c r="K1033" t="s">
        <v>18615</v>
      </c>
    </row>
    <row r="1034" spans="1:12">
      <c r="A1034" t="s">
        <v>18621</v>
      </c>
      <c r="B1034" s="1" t="s">
        <v>18614</v>
      </c>
      <c r="F1034">
        <v>1</v>
      </c>
      <c r="G1034" t="str">
        <f>HYPERLINK("http://babel.hathitrust.org/cgi/pt?id=uc2.ark:/13960/t55d90s7z")</f>
        <v>http://babel.hathitrust.org/cgi/pt?id=uc2.ark:/13960/t55d90s7z</v>
      </c>
      <c r="H1034" t="str">
        <f t="shared" si="22"/>
        <v>http://catalog.hathitrust.org/Record/001169072</v>
      </c>
      <c r="I1034" s="1" t="s">
        <v>20916</v>
      </c>
      <c r="J1034" s="1">
        <v>1905</v>
      </c>
      <c r="K1034" t="s">
        <v>18615</v>
      </c>
    </row>
    <row r="1035" spans="1:12">
      <c r="A1035" t="s">
        <v>18622</v>
      </c>
      <c r="B1035" s="1" t="s">
        <v>18614</v>
      </c>
      <c r="F1035">
        <v>1</v>
      </c>
      <c r="G1035" t="str">
        <f>HYPERLINK("http://babel.hathitrust.org/cgi/pt?id=uc2.ark:/13960/t80k2jx48")</f>
        <v>http://babel.hathitrust.org/cgi/pt?id=uc2.ark:/13960/t80k2jx48</v>
      </c>
      <c r="H1035" t="str">
        <f t="shared" si="22"/>
        <v>http://catalog.hathitrust.org/Record/001169072</v>
      </c>
      <c r="I1035" s="1" t="s">
        <v>20920</v>
      </c>
      <c r="J1035" s="1">
        <v>1905</v>
      </c>
      <c r="K1035" t="s">
        <v>18615</v>
      </c>
    </row>
    <row r="1036" spans="1:12">
      <c r="A1036" t="s">
        <v>18623</v>
      </c>
      <c r="B1036" s="1" t="s">
        <v>18614</v>
      </c>
      <c r="F1036">
        <v>1</v>
      </c>
      <c r="G1036" t="str">
        <f>HYPERLINK("http://babel.hathitrust.org/cgi/pt?id=uc2.ark:/13960/t9668n60s")</f>
        <v>http://babel.hathitrust.org/cgi/pt?id=uc2.ark:/13960/t9668n60s</v>
      </c>
      <c r="H1036" t="str">
        <f t="shared" si="22"/>
        <v>http://catalog.hathitrust.org/Record/001169072</v>
      </c>
      <c r="I1036" s="1" t="s">
        <v>20755</v>
      </c>
      <c r="J1036" s="1">
        <v>1905</v>
      </c>
      <c r="K1036" t="s">
        <v>18615</v>
      </c>
    </row>
    <row r="1037" spans="1:12">
      <c r="A1037" t="s">
        <v>18624</v>
      </c>
      <c r="B1037" s="1" t="s">
        <v>18625</v>
      </c>
      <c r="F1037">
        <v>1</v>
      </c>
      <c r="G1037" t="str">
        <f>HYPERLINK("http://babel.hathitrust.org/cgi/pt?id=mdp.39015033689780")</f>
        <v>http://babel.hathitrust.org/cgi/pt?id=mdp.39015033689780</v>
      </c>
      <c r="H1037" t="str">
        <f>HYPERLINK("http://catalog.hathitrust.org/Record/001169074")</f>
        <v>http://catalog.hathitrust.org/Record/001169074</v>
      </c>
      <c r="J1037" s="1">
        <v>1876</v>
      </c>
      <c r="K1037" t="s">
        <v>18626</v>
      </c>
      <c r="L1037" t="s">
        <v>18627</v>
      </c>
    </row>
    <row r="1038" spans="1:12">
      <c r="A1038" t="s">
        <v>18628</v>
      </c>
      <c r="B1038" s="1" t="s">
        <v>18625</v>
      </c>
      <c r="F1038">
        <v>1</v>
      </c>
      <c r="G1038" t="str">
        <f>HYPERLINK("http://babel.hathitrust.org/cgi/pt?id=nyp.33433074796792")</f>
        <v>http://babel.hathitrust.org/cgi/pt?id=nyp.33433074796792</v>
      </c>
      <c r="H1038" t="str">
        <f>HYPERLINK("http://catalog.hathitrust.org/Record/001169074")</f>
        <v>http://catalog.hathitrust.org/Record/001169074</v>
      </c>
      <c r="I1038" s="1" t="s">
        <v>18629</v>
      </c>
      <c r="J1038" s="1">
        <v>1876</v>
      </c>
      <c r="K1038" t="s">
        <v>18626</v>
      </c>
      <c r="L1038" t="s">
        <v>18627</v>
      </c>
    </row>
    <row r="1039" spans="1:12">
      <c r="A1039" t="s">
        <v>18630</v>
      </c>
      <c r="B1039" s="1" t="s">
        <v>18625</v>
      </c>
      <c r="F1039">
        <v>1</v>
      </c>
      <c r="G1039" t="str">
        <f>HYPERLINK("http://babel.hathitrust.org/cgi/pt?id=uc1.b4229680")</f>
        <v>http://babel.hathitrust.org/cgi/pt?id=uc1.b4229680</v>
      </c>
      <c r="H1039" t="str">
        <f>HYPERLINK("http://catalog.hathitrust.org/Record/001169074")</f>
        <v>http://catalog.hathitrust.org/Record/001169074</v>
      </c>
      <c r="J1039" s="1">
        <v>1876</v>
      </c>
      <c r="K1039" t="s">
        <v>18626</v>
      </c>
      <c r="L1039" t="s">
        <v>18627</v>
      </c>
    </row>
    <row r="1040" spans="1:12">
      <c r="A1040" t="s">
        <v>18631</v>
      </c>
      <c r="B1040" s="1" t="s">
        <v>18632</v>
      </c>
      <c r="F1040">
        <v>1</v>
      </c>
      <c r="G1040" t="str">
        <f>HYPERLINK("http://babel.hathitrust.org/cgi/pt?id=uc1.b4229637")</f>
        <v>http://babel.hathitrust.org/cgi/pt?id=uc1.b4229637</v>
      </c>
      <c r="H1040" t="str">
        <f>HYPERLINK("http://catalog.hathitrust.org/Record/001169080")</f>
        <v>http://catalog.hathitrust.org/Record/001169080</v>
      </c>
      <c r="J1040" s="1">
        <v>1939</v>
      </c>
      <c r="K1040" t="s">
        <v>18633</v>
      </c>
    </row>
    <row r="1041" spans="1:12">
      <c r="A1041" t="s">
        <v>18634</v>
      </c>
      <c r="B1041" s="1" t="s">
        <v>18635</v>
      </c>
      <c r="F1041">
        <v>1</v>
      </c>
      <c r="G1041" t="str">
        <f>HYPERLINK("http://babel.hathitrust.org/cgi/pt?id=uc1.$b658901")</f>
        <v>http://babel.hathitrust.org/cgi/pt?id=uc1.$b658901</v>
      </c>
      <c r="H1041" t="str">
        <f>HYPERLINK("http://catalog.hathitrust.org/Record/001169085")</f>
        <v>http://catalog.hathitrust.org/Record/001169085</v>
      </c>
      <c r="J1041" s="1">
        <v>1926</v>
      </c>
      <c r="K1041" t="s">
        <v>18636</v>
      </c>
      <c r="L1041" t="s">
        <v>18637</v>
      </c>
    </row>
    <row r="1042" spans="1:12">
      <c r="A1042" t="s">
        <v>18638</v>
      </c>
      <c r="B1042" s="1" t="s">
        <v>18635</v>
      </c>
      <c r="F1042">
        <v>1</v>
      </c>
      <c r="G1042" t="str">
        <f>HYPERLINK("http://babel.hathitrust.org/cgi/pt?id=uc1.b4229679")</f>
        <v>http://babel.hathitrust.org/cgi/pt?id=uc1.b4229679</v>
      </c>
      <c r="H1042" t="str">
        <f>HYPERLINK("http://catalog.hathitrust.org/Record/001169085")</f>
        <v>http://catalog.hathitrust.org/Record/001169085</v>
      </c>
      <c r="J1042" s="1">
        <v>1926</v>
      </c>
      <c r="K1042" t="s">
        <v>18636</v>
      </c>
      <c r="L1042" t="s">
        <v>18637</v>
      </c>
    </row>
    <row r="1043" spans="1:12">
      <c r="A1043" t="s">
        <v>18524</v>
      </c>
      <c r="B1043" s="1" t="s">
        <v>18525</v>
      </c>
      <c r="F1043">
        <v>1</v>
      </c>
      <c r="G1043" t="str">
        <f>HYPERLINK("http://babel.hathitrust.org/cgi/pt?id=mdp.39015033682496")</f>
        <v>http://babel.hathitrust.org/cgi/pt?id=mdp.39015033682496</v>
      </c>
      <c r="H1043" t="str">
        <f>HYPERLINK("http://catalog.hathitrust.org/Record/001169192")</f>
        <v>http://catalog.hathitrust.org/Record/001169192</v>
      </c>
      <c r="J1043" s="1">
        <v>1914</v>
      </c>
      <c r="K1043" t="s">
        <v>18526</v>
      </c>
      <c r="L1043" t="s">
        <v>18637</v>
      </c>
    </row>
    <row r="1044" spans="1:12">
      <c r="A1044" t="s">
        <v>18527</v>
      </c>
      <c r="B1044" s="1" t="s">
        <v>18528</v>
      </c>
      <c r="F1044">
        <v>1</v>
      </c>
      <c r="G1044" t="str">
        <f>HYPERLINK("http://babel.hathitrust.org/cgi/pt?id=mdp.39015033682363")</f>
        <v>http://babel.hathitrust.org/cgi/pt?id=mdp.39015033682363</v>
      </c>
      <c r="H1044" t="str">
        <f>HYPERLINK("http://catalog.hathitrust.org/Record/001169216")</f>
        <v>http://catalog.hathitrust.org/Record/001169216</v>
      </c>
      <c r="J1044" s="1">
        <v>1909</v>
      </c>
      <c r="K1044" t="s">
        <v>18529</v>
      </c>
      <c r="L1044" t="s">
        <v>18530</v>
      </c>
    </row>
    <row r="1045" spans="1:12">
      <c r="A1045" t="s">
        <v>18531</v>
      </c>
      <c r="B1045" s="1" t="s">
        <v>18532</v>
      </c>
      <c r="F1045">
        <v>1</v>
      </c>
      <c r="G1045" t="str">
        <f>HYPERLINK("http://babel.hathitrust.org/cgi/pt?id=mdp.39015059718513")</f>
        <v>http://babel.hathitrust.org/cgi/pt?id=mdp.39015059718513</v>
      </c>
      <c r="H1045" t="str">
        <f>HYPERLINK("http://catalog.hathitrust.org/Record/001171699")</f>
        <v>http://catalog.hathitrust.org/Record/001171699</v>
      </c>
      <c r="J1045" s="1">
        <v>1963</v>
      </c>
      <c r="K1045" t="s">
        <v>18533</v>
      </c>
      <c r="L1045" t="s">
        <v>18534</v>
      </c>
    </row>
    <row r="1046" spans="1:12">
      <c r="A1046" t="s">
        <v>18535</v>
      </c>
      <c r="B1046" s="1" t="s">
        <v>18536</v>
      </c>
      <c r="F1046">
        <v>1</v>
      </c>
      <c r="G1046" t="str">
        <f>HYPERLINK("http://babel.hathitrust.org/cgi/pt?id=mdp.39015073717657")</f>
        <v>http://babel.hathitrust.org/cgi/pt?id=mdp.39015073717657</v>
      </c>
      <c r="H1046" t="str">
        <f>HYPERLINK("http://catalog.hathitrust.org/Record/001172944")</f>
        <v>http://catalog.hathitrust.org/Record/001172944</v>
      </c>
      <c r="J1046" s="1">
        <v>1939</v>
      </c>
      <c r="K1046" t="s">
        <v>18537</v>
      </c>
      <c r="L1046" t="s">
        <v>18538</v>
      </c>
    </row>
    <row r="1047" spans="1:12">
      <c r="A1047" t="s">
        <v>18539</v>
      </c>
      <c r="B1047" s="1" t="s">
        <v>18540</v>
      </c>
      <c r="C1047">
        <v>1</v>
      </c>
      <c r="E1047">
        <v>1</v>
      </c>
      <c r="G1047" t="str">
        <f>HYPERLINK("http://babel.hathitrust.org/cgi/pt?id=mdp.39015033564165")</f>
        <v>http://babel.hathitrust.org/cgi/pt?id=mdp.39015033564165</v>
      </c>
      <c r="H1047" t="str">
        <f>HYPERLINK("http://catalog.hathitrust.org/Record/001175119")</f>
        <v>http://catalog.hathitrust.org/Record/001175119</v>
      </c>
      <c r="J1047" s="1">
        <v>1892</v>
      </c>
      <c r="K1047" t="s">
        <v>18541</v>
      </c>
      <c r="L1047" t="s">
        <v>20629</v>
      </c>
    </row>
    <row r="1048" spans="1:12">
      <c r="A1048" t="s">
        <v>18542</v>
      </c>
      <c r="B1048" s="1" t="s">
        <v>18543</v>
      </c>
      <c r="F1048">
        <v>1</v>
      </c>
      <c r="G1048" t="str">
        <f>HYPERLINK("http://babel.hathitrust.org/cgi/pt?id=mdp.39015034595036")</f>
        <v>http://babel.hathitrust.org/cgi/pt?id=mdp.39015034595036</v>
      </c>
      <c r="H1048" t="str">
        <f>HYPERLINK("http://catalog.hathitrust.org/Record/001176987")</f>
        <v>http://catalog.hathitrust.org/Record/001176987</v>
      </c>
      <c r="J1048" s="1">
        <v>1962</v>
      </c>
      <c r="K1048" t="s">
        <v>18544</v>
      </c>
      <c r="L1048" t="s">
        <v>18545</v>
      </c>
    </row>
    <row r="1049" spans="1:12">
      <c r="A1049" t="s">
        <v>18546</v>
      </c>
      <c r="B1049" s="1" t="s">
        <v>18543</v>
      </c>
      <c r="F1049">
        <v>1</v>
      </c>
      <c r="G1049" t="str">
        <f>HYPERLINK("http://babel.hathitrust.org/cgi/pt?id=mdp.39015067282635")</f>
        <v>http://babel.hathitrust.org/cgi/pt?id=mdp.39015067282635</v>
      </c>
      <c r="H1049" t="str">
        <f>HYPERLINK("http://catalog.hathitrust.org/Record/001176987")</f>
        <v>http://catalog.hathitrust.org/Record/001176987</v>
      </c>
      <c r="J1049" s="1">
        <v>1962</v>
      </c>
      <c r="K1049" t="s">
        <v>18544</v>
      </c>
      <c r="L1049" t="s">
        <v>18545</v>
      </c>
    </row>
    <row r="1050" spans="1:12">
      <c r="A1050" t="s">
        <v>18547</v>
      </c>
      <c r="B1050" s="1" t="s">
        <v>18548</v>
      </c>
      <c r="F1050">
        <v>1</v>
      </c>
      <c r="G1050" t="str">
        <f>HYPERLINK("http://babel.hathitrust.org/cgi/pt?id=mdp.39015065773940")</f>
        <v>http://babel.hathitrust.org/cgi/pt?id=mdp.39015065773940</v>
      </c>
      <c r="H1050" t="str">
        <f>HYPERLINK("http://catalog.hathitrust.org/Record/001181005")</f>
        <v>http://catalog.hathitrust.org/Record/001181005</v>
      </c>
      <c r="J1050" s="1">
        <v>1894</v>
      </c>
      <c r="K1050" t="s">
        <v>18549</v>
      </c>
      <c r="L1050" t="s">
        <v>18550</v>
      </c>
    </row>
    <row r="1051" spans="1:12">
      <c r="A1051" t="s">
        <v>18551</v>
      </c>
      <c r="B1051" s="1" t="s">
        <v>18552</v>
      </c>
      <c r="F1051">
        <v>1</v>
      </c>
      <c r="G1051" t="str">
        <f>HYPERLINK("http://babel.hathitrust.org/cgi/pt?id=mdp.39015008624333")</f>
        <v>http://babel.hathitrust.org/cgi/pt?id=mdp.39015008624333</v>
      </c>
      <c r="H1051" t="str">
        <f>HYPERLINK("http://catalog.hathitrust.org/Record/001181315")</f>
        <v>http://catalog.hathitrust.org/Record/001181315</v>
      </c>
      <c r="J1051" s="1">
        <v>1940</v>
      </c>
      <c r="K1051" t="s">
        <v>18553</v>
      </c>
      <c r="L1051" t="s">
        <v>18554</v>
      </c>
    </row>
    <row r="1052" spans="1:12">
      <c r="A1052" t="s">
        <v>18555</v>
      </c>
      <c r="B1052" s="1" t="s">
        <v>18552</v>
      </c>
      <c r="F1052">
        <v>1</v>
      </c>
      <c r="G1052" t="str">
        <f>HYPERLINK("http://babel.hathitrust.org/cgi/pt?id=uc1.32106001524138")</f>
        <v>http://babel.hathitrust.org/cgi/pt?id=uc1.32106001524138</v>
      </c>
      <c r="H1052" t="str">
        <f>HYPERLINK("http://catalog.hathitrust.org/Record/001181315")</f>
        <v>http://catalog.hathitrust.org/Record/001181315</v>
      </c>
      <c r="J1052" s="1">
        <v>1940</v>
      </c>
      <c r="K1052" t="s">
        <v>18553</v>
      </c>
      <c r="L1052" t="s">
        <v>18554</v>
      </c>
    </row>
    <row r="1053" spans="1:12">
      <c r="A1053" t="s">
        <v>18556</v>
      </c>
      <c r="B1053" s="1" t="s">
        <v>18557</v>
      </c>
      <c r="F1053">
        <v>1</v>
      </c>
      <c r="G1053" t="str">
        <f>HYPERLINK("http://babel.hathitrust.org/cgi/pt?id=mdp.39015005562528")</f>
        <v>http://babel.hathitrust.org/cgi/pt?id=mdp.39015005562528</v>
      </c>
      <c r="H1053" t="str">
        <f>HYPERLINK("http://catalog.hathitrust.org/Record/001181670")</f>
        <v>http://catalog.hathitrust.org/Record/001181670</v>
      </c>
      <c r="J1053" s="1">
        <v>1910</v>
      </c>
      <c r="K1053" t="s">
        <v>18558</v>
      </c>
      <c r="L1053" t="s">
        <v>18559</v>
      </c>
    </row>
    <row r="1054" spans="1:12">
      <c r="A1054" t="s">
        <v>18560</v>
      </c>
      <c r="B1054" s="1" t="s">
        <v>18561</v>
      </c>
      <c r="F1054">
        <v>1</v>
      </c>
      <c r="G1054" t="str">
        <f>HYPERLINK("http://babel.hathitrust.org/cgi/pt?id=mdp.39015010828906")</f>
        <v>http://babel.hathitrust.org/cgi/pt?id=mdp.39015010828906</v>
      </c>
      <c r="H1054" t="str">
        <f>HYPERLINK("http://catalog.hathitrust.org/Record/001182037")</f>
        <v>http://catalog.hathitrust.org/Record/001182037</v>
      </c>
      <c r="J1054" s="1">
        <v>1922</v>
      </c>
      <c r="K1054" t="s">
        <v>18562</v>
      </c>
      <c r="L1054" t="s">
        <v>18563</v>
      </c>
    </row>
    <row r="1055" spans="1:12">
      <c r="A1055" t="s">
        <v>18564</v>
      </c>
      <c r="B1055" s="1" t="s">
        <v>18561</v>
      </c>
      <c r="F1055">
        <v>1</v>
      </c>
      <c r="G1055" t="str">
        <f>HYPERLINK("http://babel.hathitrust.org/cgi/pt?id=uc2.ark:/13960/t0tq62h28")</f>
        <v>http://babel.hathitrust.org/cgi/pt?id=uc2.ark:/13960/t0tq62h28</v>
      </c>
      <c r="H1055" t="str">
        <f>HYPERLINK("http://catalog.hathitrust.org/Record/001182037")</f>
        <v>http://catalog.hathitrust.org/Record/001182037</v>
      </c>
      <c r="J1055" s="1">
        <v>1922</v>
      </c>
      <c r="K1055" t="s">
        <v>18562</v>
      </c>
      <c r="L1055" t="s">
        <v>18563</v>
      </c>
    </row>
    <row r="1056" spans="1:12">
      <c r="A1056" t="s">
        <v>18565</v>
      </c>
      <c r="B1056" s="1" t="s">
        <v>18566</v>
      </c>
      <c r="F1056">
        <v>1</v>
      </c>
      <c r="G1056" t="str">
        <f>HYPERLINK("http://babel.hathitrust.org/cgi/pt?id=mdp.39015014622149")</f>
        <v>http://babel.hathitrust.org/cgi/pt?id=mdp.39015014622149</v>
      </c>
      <c r="H1056" t="str">
        <f>HYPERLINK("http://catalog.hathitrust.org/Record/001182702")</f>
        <v>http://catalog.hathitrust.org/Record/001182702</v>
      </c>
      <c r="J1056" s="1">
        <v>1922</v>
      </c>
      <c r="K1056" t="s">
        <v>18567</v>
      </c>
      <c r="L1056" t="s">
        <v>18568</v>
      </c>
    </row>
    <row r="1057" spans="1:12">
      <c r="A1057" t="s">
        <v>18569</v>
      </c>
      <c r="B1057" s="1" t="s">
        <v>18566</v>
      </c>
      <c r="F1057">
        <v>1</v>
      </c>
      <c r="G1057" t="str">
        <f>HYPERLINK("http://babel.hathitrust.org/cgi/pt?id=mdp.39015065772827")</f>
        <v>http://babel.hathitrust.org/cgi/pt?id=mdp.39015065772827</v>
      </c>
      <c r="H1057" t="str">
        <f>HYPERLINK("http://catalog.hathitrust.org/Record/001182702")</f>
        <v>http://catalog.hathitrust.org/Record/001182702</v>
      </c>
      <c r="J1057" s="1">
        <v>1922</v>
      </c>
      <c r="K1057" t="s">
        <v>18567</v>
      </c>
      <c r="L1057" t="s">
        <v>18568</v>
      </c>
    </row>
    <row r="1058" spans="1:12">
      <c r="A1058" t="s">
        <v>18570</v>
      </c>
      <c r="B1058" s="1" t="s">
        <v>18566</v>
      </c>
      <c r="F1058">
        <v>1</v>
      </c>
      <c r="G1058" t="str">
        <f>HYPERLINK("http://babel.hathitrust.org/cgi/pt?id=nyp.33433082285903")</f>
        <v>http://babel.hathitrust.org/cgi/pt?id=nyp.33433082285903</v>
      </c>
      <c r="H1058" t="str">
        <f>HYPERLINK("http://catalog.hathitrust.org/Record/001182702")</f>
        <v>http://catalog.hathitrust.org/Record/001182702</v>
      </c>
      <c r="J1058" s="1">
        <v>1922</v>
      </c>
      <c r="K1058" t="s">
        <v>18567</v>
      </c>
      <c r="L1058" t="s">
        <v>18568</v>
      </c>
    </row>
    <row r="1059" spans="1:12">
      <c r="A1059" t="s">
        <v>18571</v>
      </c>
      <c r="B1059" s="1" t="s">
        <v>18566</v>
      </c>
      <c r="F1059">
        <v>1</v>
      </c>
      <c r="G1059" t="str">
        <f>HYPERLINK("http://babel.hathitrust.org/cgi/pt?id=uc2.ark:/13960/t9s17xx4m")</f>
        <v>http://babel.hathitrust.org/cgi/pt?id=uc2.ark:/13960/t9s17xx4m</v>
      </c>
      <c r="H1059" t="str">
        <f>HYPERLINK("http://catalog.hathitrust.org/Record/001182702")</f>
        <v>http://catalog.hathitrust.org/Record/001182702</v>
      </c>
      <c r="J1059" s="1">
        <v>1922</v>
      </c>
      <c r="K1059" t="s">
        <v>18567</v>
      </c>
      <c r="L1059" t="s">
        <v>18568</v>
      </c>
    </row>
    <row r="1060" spans="1:12">
      <c r="A1060" t="s">
        <v>18572</v>
      </c>
      <c r="B1060" s="1" t="s">
        <v>18573</v>
      </c>
      <c r="F1060">
        <v>1</v>
      </c>
      <c r="G1060" t="str">
        <f>HYPERLINK("http://babel.hathitrust.org/cgi/pt?id=mdp.39015031030250")</f>
        <v>http://babel.hathitrust.org/cgi/pt?id=mdp.39015031030250</v>
      </c>
      <c r="H1060" t="str">
        <f>HYPERLINK("http://catalog.hathitrust.org/Record/001182936")</f>
        <v>http://catalog.hathitrust.org/Record/001182936</v>
      </c>
      <c r="J1060" s="1">
        <v>1921</v>
      </c>
      <c r="K1060" t="s">
        <v>18574</v>
      </c>
      <c r="L1060" t="s">
        <v>19718</v>
      </c>
    </row>
    <row r="1061" spans="1:12">
      <c r="A1061" t="s">
        <v>18575</v>
      </c>
      <c r="B1061" s="1" t="s">
        <v>18573</v>
      </c>
      <c r="F1061">
        <v>1</v>
      </c>
      <c r="G1061" t="str">
        <f>HYPERLINK("http://babel.hathitrust.org/cgi/pt?id=mdp.39015078153643")</f>
        <v>http://babel.hathitrust.org/cgi/pt?id=mdp.39015078153643</v>
      </c>
      <c r="H1061" t="str">
        <f>HYPERLINK("http://catalog.hathitrust.org/Record/001182936")</f>
        <v>http://catalog.hathitrust.org/Record/001182936</v>
      </c>
      <c r="J1061" s="1">
        <v>1921</v>
      </c>
      <c r="K1061" t="s">
        <v>18574</v>
      </c>
      <c r="L1061" t="s">
        <v>19718</v>
      </c>
    </row>
    <row r="1062" spans="1:12">
      <c r="A1062" t="s">
        <v>18576</v>
      </c>
      <c r="B1062" s="1" t="s">
        <v>18573</v>
      </c>
      <c r="F1062">
        <v>1</v>
      </c>
      <c r="G1062" t="str">
        <f>HYPERLINK("http://babel.hathitrust.org/cgi/pt?id=uc1.b40593")</f>
        <v>http://babel.hathitrust.org/cgi/pt?id=uc1.b40593</v>
      </c>
      <c r="H1062" t="str">
        <f>HYPERLINK("http://catalog.hathitrust.org/Record/001182936")</f>
        <v>http://catalog.hathitrust.org/Record/001182936</v>
      </c>
      <c r="J1062" s="1">
        <v>1921</v>
      </c>
      <c r="K1062" t="s">
        <v>18574</v>
      </c>
      <c r="L1062" t="s">
        <v>19718</v>
      </c>
    </row>
    <row r="1063" spans="1:12">
      <c r="A1063" t="s">
        <v>18577</v>
      </c>
      <c r="B1063" s="1" t="s">
        <v>18573</v>
      </c>
      <c r="F1063">
        <v>1</v>
      </c>
      <c r="G1063" t="str">
        <f>HYPERLINK("http://babel.hathitrust.org/cgi/pt?id=uc2.ark:/13960/t5fb4zr8g")</f>
        <v>http://babel.hathitrust.org/cgi/pt?id=uc2.ark:/13960/t5fb4zr8g</v>
      </c>
      <c r="H1063" t="str">
        <f>HYPERLINK("http://catalog.hathitrust.org/Record/001182936")</f>
        <v>http://catalog.hathitrust.org/Record/001182936</v>
      </c>
      <c r="J1063" s="1">
        <v>1921</v>
      </c>
      <c r="K1063" t="s">
        <v>18574</v>
      </c>
      <c r="L1063" t="s">
        <v>19718</v>
      </c>
    </row>
    <row r="1064" spans="1:12">
      <c r="A1064" t="s">
        <v>18578</v>
      </c>
      <c r="B1064" s="1" t="s">
        <v>18579</v>
      </c>
      <c r="F1064">
        <v>1</v>
      </c>
      <c r="G1064" t="str">
        <f>HYPERLINK("http://babel.hathitrust.org/cgi/pt?id=nyp.33433081988747")</f>
        <v>http://babel.hathitrust.org/cgi/pt?id=nyp.33433081988747</v>
      </c>
      <c r="H1064" t="str">
        <f>HYPERLINK("http://catalog.hathitrust.org/Record/001182969")</f>
        <v>http://catalog.hathitrust.org/Record/001182969</v>
      </c>
      <c r="J1064" s="1">
        <v>1831</v>
      </c>
      <c r="K1064" t="s">
        <v>18580</v>
      </c>
      <c r="L1064" t="s">
        <v>18581</v>
      </c>
    </row>
    <row r="1065" spans="1:12">
      <c r="A1065" t="s">
        <v>18582</v>
      </c>
      <c r="B1065" s="1" t="s">
        <v>18583</v>
      </c>
      <c r="D1065">
        <v>1</v>
      </c>
      <c r="G1065" t="str">
        <f>HYPERLINK("http://babel.hathitrust.org/cgi/pt?id=uc1.b3540920")</f>
        <v>http://babel.hathitrust.org/cgi/pt?id=uc1.b3540920</v>
      </c>
      <c r="H1065" t="str">
        <f>HYPERLINK("http://catalog.hathitrust.org/Record/001183022")</f>
        <v>http://catalog.hathitrust.org/Record/001183022</v>
      </c>
      <c r="J1065" s="1">
        <v>1919</v>
      </c>
      <c r="K1065" t="s">
        <v>18467</v>
      </c>
      <c r="L1065" t="s">
        <v>18468</v>
      </c>
    </row>
    <row r="1066" spans="1:12">
      <c r="A1066" t="s">
        <v>18469</v>
      </c>
      <c r="B1066" s="1" t="s">
        <v>18583</v>
      </c>
      <c r="F1066">
        <v>1</v>
      </c>
      <c r="G1066" t="str">
        <f>HYPERLINK("http://babel.hathitrust.org/cgi/pt?id=uc2.ark:/13960/t51g0t50g")</f>
        <v>http://babel.hathitrust.org/cgi/pt?id=uc2.ark:/13960/t51g0t50g</v>
      </c>
      <c r="H1066" t="str">
        <f>HYPERLINK("http://catalog.hathitrust.org/Record/001183022")</f>
        <v>http://catalog.hathitrust.org/Record/001183022</v>
      </c>
      <c r="J1066" s="1">
        <v>1919</v>
      </c>
      <c r="K1066" t="s">
        <v>18467</v>
      </c>
      <c r="L1066" t="s">
        <v>18468</v>
      </c>
    </row>
    <row r="1067" spans="1:12">
      <c r="A1067" t="s">
        <v>18470</v>
      </c>
      <c r="B1067" s="1" t="s">
        <v>18471</v>
      </c>
      <c r="D1067">
        <v>1</v>
      </c>
      <c r="G1067" t="str">
        <f>HYPERLINK("http://babel.hathitrust.org/cgi/pt?id=mdp.39015005089308")</f>
        <v>http://babel.hathitrust.org/cgi/pt?id=mdp.39015005089308</v>
      </c>
      <c r="H1067" t="str">
        <f>HYPERLINK("http://catalog.hathitrust.org/Record/001183023")</f>
        <v>http://catalog.hathitrust.org/Record/001183023</v>
      </c>
      <c r="J1067" s="1">
        <v>1951</v>
      </c>
      <c r="K1067" t="s">
        <v>18472</v>
      </c>
      <c r="L1067" t="s">
        <v>18468</v>
      </c>
    </row>
    <row r="1068" spans="1:12">
      <c r="A1068" t="s">
        <v>18473</v>
      </c>
      <c r="B1068" s="1" t="s">
        <v>18471</v>
      </c>
      <c r="F1068">
        <v>1</v>
      </c>
      <c r="G1068" t="str">
        <f>HYPERLINK("http://babel.hathitrust.org/cgi/pt?id=mdp.39015046445360")</f>
        <v>http://babel.hathitrust.org/cgi/pt?id=mdp.39015046445360</v>
      </c>
      <c r="H1068" t="str">
        <f>HYPERLINK("http://catalog.hathitrust.org/Record/001183023")</f>
        <v>http://catalog.hathitrust.org/Record/001183023</v>
      </c>
      <c r="J1068" s="1">
        <v>1951</v>
      </c>
      <c r="K1068" t="s">
        <v>18472</v>
      </c>
      <c r="L1068" t="s">
        <v>18468</v>
      </c>
    </row>
    <row r="1069" spans="1:12">
      <c r="A1069" t="s">
        <v>18474</v>
      </c>
      <c r="B1069" s="1" t="s">
        <v>18475</v>
      </c>
      <c r="D1069">
        <v>1</v>
      </c>
      <c r="G1069" t="str">
        <f>HYPERLINK("http://babel.hathitrust.org/cgi/pt?id=mdp.39015005770865")</f>
        <v>http://babel.hathitrust.org/cgi/pt?id=mdp.39015005770865</v>
      </c>
      <c r="H1069" t="str">
        <f>HYPERLINK("http://catalog.hathitrust.org/Record/001183024")</f>
        <v>http://catalog.hathitrust.org/Record/001183024</v>
      </c>
      <c r="J1069" s="1">
        <v>1888</v>
      </c>
      <c r="K1069" t="s">
        <v>18476</v>
      </c>
      <c r="L1069" t="s">
        <v>18477</v>
      </c>
    </row>
    <row r="1070" spans="1:12">
      <c r="A1070" t="s">
        <v>18478</v>
      </c>
      <c r="B1070" s="1" t="s">
        <v>18475</v>
      </c>
      <c r="F1070">
        <v>1</v>
      </c>
      <c r="G1070" t="str">
        <f>HYPERLINK("http://babel.hathitrust.org/cgi/pt?id=mdp.39015065774799")</f>
        <v>http://babel.hathitrust.org/cgi/pt?id=mdp.39015065774799</v>
      </c>
      <c r="H1070" t="str">
        <f>HYPERLINK("http://catalog.hathitrust.org/Record/001183024")</f>
        <v>http://catalog.hathitrust.org/Record/001183024</v>
      </c>
      <c r="J1070" s="1">
        <v>1888</v>
      </c>
      <c r="K1070" t="s">
        <v>18476</v>
      </c>
      <c r="L1070" t="s">
        <v>18477</v>
      </c>
    </row>
    <row r="1071" spans="1:12">
      <c r="A1071" t="s">
        <v>18479</v>
      </c>
      <c r="B1071" s="1" t="s">
        <v>18475</v>
      </c>
      <c r="F1071">
        <v>1</v>
      </c>
      <c r="G1071" t="str">
        <f>HYPERLINK("http://babel.hathitrust.org/cgi/pt?id=uc1.32106001573341")</f>
        <v>http://babel.hathitrust.org/cgi/pt?id=uc1.32106001573341</v>
      </c>
      <c r="H1071" t="str">
        <f>HYPERLINK("http://catalog.hathitrust.org/Record/001183024")</f>
        <v>http://catalog.hathitrust.org/Record/001183024</v>
      </c>
      <c r="J1071" s="1">
        <v>1888</v>
      </c>
      <c r="K1071" t="s">
        <v>18476</v>
      </c>
      <c r="L1071" t="s">
        <v>18477</v>
      </c>
    </row>
    <row r="1072" spans="1:12">
      <c r="A1072" t="s">
        <v>18480</v>
      </c>
      <c r="B1072" s="1" t="s">
        <v>18475</v>
      </c>
      <c r="F1072">
        <v>1</v>
      </c>
      <c r="G1072" t="str">
        <f>HYPERLINK("http://babel.hathitrust.org/cgi/pt?id=uc1.b4097698")</f>
        <v>http://babel.hathitrust.org/cgi/pt?id=uc1.b4097698</v>
      </c>
      <c r="H1072" t="str">
        <f>HYPERLINK("http://catalog.hathitrust.org/Record/001183024")</f>
        <v>http://catalog.hathitrust.org/Record/001183024</v>
      </c>
      <c r="I1072" s="1" t="s">
        <v>20183</v>
      </c>
      <c r="J1072" s="1">
        <v>1888</v>
      </c>
      <c r="K1072" t="s">
        <v>18476</v>
      </c>
      <c r="L1072" t="s">
        <v>18477</v>
      </c>
    </row>
    <row r="1073" spans="1:12">
      <c r="A1073" t="s">
        <v>18481</v>
      </c>
      <c r="B1073" s="1" t="s">
        <v>18482</v>
      </c>
      <c r="F1073">
        <v>1</v>
      </c>
      <c r="G1073" t="str">
        <f>HYPERLINK("http://babel.hathitrust.org/cgi/pt?id=mdp.39015013275030")</f>
        <v>http://babel.hathitrust.org/cgi/pt?id=mdp.39015013275030</v>
      </c>
      <c r="H1073" t="str">
        <f>HYPERLINK("http://catalog.hathitrust.org/Record/001183026")</f>
        <v>http://catalog.hathitrust.org/Record/001183026</v>
      </c>
      <c r="J1073" s="1">
        <v>1895</v>
      </c>
      <c r="K1073" t="s">
        <v>18483</v>
      </c>
      <c r="L1073" t="s">
        <v>20629</v>
      </c>
    </row>
    <row r="1074" spans="1:12">
      <c r="A1074" t="s">
        <v>18484</v>
      </c>
      <c r="B1074" s="1" t="s">
        <v>18482</v>
      </c>
      <c r="F1074">
        <v>1</v>
      </c>
      <c r="G1074" t="str">
        <f>HYPERLINK("http://babel.hathitrust.org/cgi/pt?id=nyp.33433074391263")</f>
        <v>http://babel.hathitrust.org/cgi/pt?id=nyp.33433074391263</v>
      </c>
      <c r="H1074" t="str">
        <f>HYPERLINK("http://catalog.hathitrust.org/Record/001183026")</f>
        <v>http://catalog.hathitrust.org/Record/001183026</v>
      </c>
      <c r="J1074" s="1">
        <v>1895</v>
      </c>
      <c r="K1074" t="s">
        <v>18483</v>
      </c>
      <c r="L1074" t="s">
        <v>20629</v>
      </c>
    </row>
    <row r="1075" spans="1:12">
      <c r="A1075" t="s">
        <v>18485</v>
      </c>
      <c r="B1075" s="1" t="s">
        <v>18482</v>
      </c>
      <c r="E1075">
        <v>1</v>
      </c>
      <c r="F1075">
        <v>1</v>
      </c>
      <c r="G1075" t="str">
        <f>HYPERLINK("http://babel.hathitrust.org/cgi/pt?id=uc2.ark:/13960/t7kp8568j")</f>
        <v>http://babel.hathitrust.org/cgi/pt?id=uc2.ark:/13960/t7kp8568j</v>
      </c>
      <c r="H1075" t="str">
        <f>HYPERLINK("http://catalog.hathitrust.org/Record/001183026")</f>
        <v>http://catalog.hathitrust.org/Record/001183026</v>
      </c>
      <c r="J1075" s="1">
        <v>1895</v>
      </c>
      <c r="K1075" t="s">
        <v>18483</v>
      </c>
      <c r="L1075" t="s">
        <v>20629</v>
      </c>
    </row>
    <row r="1076" spans="1:12">
      <c r="A1076" t="s">
        <v>18486</v>
      </c>
      <c r="B1076" s="1" t="s">
        <v>18487</v>
      </c>
      <c r="F1076">
        <v>1</v>
      </c>
      <c r="G1076" t="str">
        <f>HYPERLINK("http://babel.hathitrust.org/cgi/pt?id=coo.31924012980375")</f>
        <v>http://babel.hathitrust.org/cgi/pt?id=coo.31924012980375</v>
      </c>
      <c r="H1076" t="str">
        <f t="shared" ref="H1076:H1089" si="23">HYPERLINK("http://catalog.hathitrust.org/Record/001183042")</f>
        <v>http://catalog.hathitrust.org/Record/001183042</v>
      </c>
      <c r="I1076" s="1" t="s">
        <v>18489</v>
      </c>
      <c r="J1076" s="1">
        <v>1869</v>
      </c>
      <c r="K1076" t="s">
        <v>18488</v>
      </c>
      <c r="L1076" t="s">
        <v>20553</v>
      </c>
    </row>
    <row r="1077" spans="1:12">
      <c r="A1077" t="s">
        <v>18490</v>
      </c>
      <c r="B1077" s="1" t="s">
        <v>18487</v>
      </c>
      <c r="F1077">
        <v>1</v>
      </c>
      <c r="G1077" t="str">
        <f>HYPERLINK("http://babel.hathitrust.org/cgi/pt?id=coo.31924012980383")</f>
        <v>http://babel.hathitrust.org/cgi/pt?id=coo.31924012980383</v>
      </c>
      <c r="H1077" t="str">
        <f t="shared" si="23"/>
        <v>http://catalog.hathitrust.org/Record/001183042</v>
      </c>
      <c r="I1077" s="1" t="s">
        <v>18491</v>
      </c>
      <c r="J1077" s="1">
        <v>1869</v>
      </c>
      <c r="K1077" t="s">
        <v>18488</v>
      </c>
      <c r="L1077" t="s">
        <v>20553</v>
      </c>
    </row>
    <row r="1078" spans="1:12">
      <c r="A1078" t="s">
        <v>18492</v>
      </c>
      <c r="B1078" s="1" t="s">
        <v>18487</v>
      </c>
      <c r="F1078">
        <v>1</v>
      </c>
      <c r="G1078" t="str">
        <f>HYPERLINK("http://babel.hathitrust.org/cgi/pt?id=hvd.32044072003056")</f>
        <v>http://babel.hathitrust.org/cgi/pt?id=hvd.32044072003056</v>
      </c>
      <c r="H1078" t="str">
        <f t="shared" si="23"/>
        <v>http://catalog.hathitrust.org/Record/001183042</v>
      </c>
      <c r="I1078" s="1" t="s">
        <v>18493</v>
      </c>
      <c r="J1078" s="1">
        <v>1869</v>
      </c>
      <c r="K1078" t="s">
        <v>18488</v>
      </c>
      <c r="L1078" t="s">
        <v>20553</v>
      </c>
    </row>
    <row r="1079" spans="1:12">
      <c r="A1079" t="s">
        <v>18494</v>
      </c>
      <c r="B1079" s="1" t="s">
        <v>18487</v>
      </c>
      <c r="F1079">
        <v>1</v>
      </c>
      <c r="G1079" t="str">
        <f>HYPERLINK("http://babel.hathitrust.org/cgi/pt?id=hvd.32044072003064")</f>
        <v>http://babel.hathitrust.org/cgi/pt?id=hvd.32044072003064</v>
      </c>
      <c r="H1079" t="str">
        <f t="shared" si="23"/>
        <v>http://catalog.hathitrust.org/Record/001183042</v>
      </c>
      <c r="I1079" s="1" t="s">
        <v>18495</v>
      </c>
      <c r="J1079" s="1">
        <v>1869</v>
      </c>
      <c r="K1079" t="s">
        <v>18488</v>
      </c>
      <c r="L1079" t="s">
        <v>20553</v>
      </c>
    </row>
    <row r="1080" spans="1:12">
      <c r="A1080" t="s">
        <v>18496</v>
      </c>
      <c r="B1080" s="1" t="s">
        <v>18487</v>
      </c>
      <c r="F1080">
        <v>1</v>
      </c>
      <c r="G1080" t="str">
        <f>HYPERLINK("http://babel.hathitrust.org/cgi/pt?id=hvd.32044072003072")</f>
        <v>http://babel.hathitrust.org/cgi/pt?id=hvd.32044072003072</v>
      </c>
      <c r="H1080" t="str">
        <f t="shared" si="23"/>
        <v>http://catalog.hathitrust.org/Record/001183042</v>
      </c>
      <c r="I1080" s="1" t="s">
        <v>18497</v>
      </c>
      <c r="J1080" s="1">
        <v>1869</v>
      </c>
      <c r="K1080" t="s">
        <v>18488</v>
      </c>
      <c r="L1080" t="s">
        <v>20553</v>
      </c>
    </row>
    <row r="1081" spans="1:12">
      <c r="A1081" t="s">
        <v>18498</v>
      </c>
      <c r="B1081" s="1" t="s">
        <v>18487</v>
      </c>
      <c r="F1081">
        <v>1</v>
      </c>
      <c r="G1081" t="str">
        <f>HYPERLINK("http://babel.hathitrust.org/cgi/pt?id=mdp.39015001526410")</f>
        <v>http://babel.hathitrust.org/cgi/pt?id=mdp.39015001526410</v>
      </c>
      <c r="H1081" t="str">
        <f t="shared" si="23"/>
        <v>http://catalog.hathitrust.org/Record/001183042</v>
      </c>
      <c r="I1081" s="1" t="s">
        <v>20755</v>
      </c>
      <c r="J1081" s="1">
        <v>1869</v>
      </c>
      <c r="K1081" t="s">
        <v>18488</v>
      </c>
      <c r="L1081" t="s">
        <v>20553</v>
      </c>
    </row>
    <row r="1082" spans="1:12">
      <c r="A1082" t="s">
        <v>18499</v>
      </c>
      <c r="B1082" s="1" t="s">
        <v>18487</v>
      </c>
      <c r="F1082">
        <v>1</v>
      </c>
      <c r="G1082" t="str">
        <f>HYPERLINK("http://babel.hathitrust.org/cgi/pt?id=mdp.39015003498337")</f>
        <v>http://babel.hathitrust.org/cgi/pt?id=mdp.39015003498337</v>
      </c>
      <c r="H1082" t="str">
        <f t="shared" si="23"/>
        <v>http://catalog.hathitrust.org/Record/001183042</v>
      </c>
      <c r="I1082" s="1" t="s">
        <v>20920</v>
      </c>
      <c r="J1082" s="1">
        <v>1869</v>
      </c>
      <c r="K1082" t="s">
        <v>18488</v>
      </c>
      <c r="L1082" t="s">
        <v>20553</v>
      </c>
    </row>
    <row r="1083" spans="1:12">
      <c r="A1083" t="s">
        <v>18500</v>
      </c>
      <c r="B1083" s="1" t="s">
        <v>18487</v>
      </c>
      <c r="F1083">
        <v>1</v>
      </c>
      <c r="G1083" t="str">
        <f>HYPERLINK("http://babel.hathitrust.org/cgi/pt?id=mdp.39015003498352")</f>
        <v>http://babel.hathitrust.org/cgi/pt?id=mdp.39015003498352</v>
      </c>
      <c r="H1083" t="str">
        <f t="shared" si="23"/>
        <v>http://catalog.hathitrust.org/Record/001183042</v>
      </c>
      <c r="I1083" s="1" t="s">
        <v>20916</v>
      </c>
      <c r="J1083" s="1">
        <v>1869</v>
      </c>
      <c r="K1083" t="s">
        <v>18488</v>
      </c>
      <c r="L1083" t="s">
        <v>20553</v>
      </c>
    </row>
    <row r="1084" spans="1:12">
      <c r="A1084" t="s">
        <v>18501</v>
      </c>
      <c r="B1084" s="1" t="s">
        <v>18487</v>
      </c>
      <c r="F1084">
        <v>1</v>
      </c>
      <c r="G1084" t="str">
        <f>HYPERLINK("http://babel.hathitrust.org/cgi/pt?id=mdp.39015034115371")</f>
        <v>http://babel.hathitrust.org/cgi/pt?id=mdp.39015034115371</v>
      </c>
      <c r="H1084" t="str">
        <f t="shared" si="23"/>
        <v>http://catalog.hathitrust.org/Record/001183042</v>
      </c>
      <c r="I1084" s="1" t="s">
        <v>20681</v>
      </c>
      <c r="J1084" s="1">
        <v>1869</v>
      </c>
      <c r="K1084" t="s">
        <v>18488</v>
      </c>
      <c r="L1084" t="s">
        <v>20553</v>
      </c>
    </row>
    <row r="1085" spans="1:12">
      <c r="A1085" t="s">
        <v>18502</v>
      </c>
      <c r="B1085" s="1" t="s">
        <v>18487</v>
      </c>
      <c r="F1085">
        <v>1</v>
      </c>
      <c r="G1085" t="str">
        <f>HYPERLINK("http://babel.hathitrust.org/cgi/pt?id=mdp.39015066547855")</f>
        <v>http://babel.hathitrust.org/cgi/pt?id=mdp.39015066547855</v>
      </c>
      <c r="H1085" t="str">
        <f t="shared" si="23"/>
        <v>http://catalog.hathitrust.org/Record/001183042</v>
      </c>
      <c r="I1085" s="1" t="s">
        <v>18825</v>
      </c>
      <c r="J1085" s="1">
        <v>1869</v>
      </c>
      <c r="K1085" t="s">
        <v>18488</v>
      </c>
      <c r="L1085" t="s">
        <v>20553</v>
      </c>
    </row>
    <row r="1086" spans="1:12">
      <c r="A1086" t="s">
        <v>18503</v>
      </c>
      <c r="B1086" s="1" t="s">
        <v>18487</v>
      </c>
      <c r="F1086">
        <v>1</v>
      </c>
      <c r="G1086" t="str">
        <f>HYPERLINK("http://babel.hathitrust.org/cgi/pt?id=mdp.39015078118786")</f>
        <v>http://babel.hathitrust.org/cgi/pt?id=mdp.39015078118786</v>
      </c>
      <c r="H1086" t="str">
        <f t="shared" si="23"/>
        <v>http://catalog.hathitrust.org/Record/001183042</v>
      </c>
      <c r="I1086" s="1" t="s">
        <v>20679</v>
      </c>
      <c r="J1086" s="1">
        <v>1869</v>
      </c>
      <c r="K1086" t="s">
        <v>18488</v>
      </c>
      <c r="L1086" t="s">
        <v>20553</v>
      </c>
    </row>
    <row r="1087" spans="1:12">
      <c r="A1087" t="s">
        <v>18504</v>
      </c>
      <c r="B1087" s="1" t="s">
        <v>18487</v>
      </c>
      <c r="F1087">
        <v>1</v>
      </c>
      <c r="G1087" t="str">
        <f>HYPERLINK("http://babel.hathitrust.org/cgi/pt?id=mdp.39015078118794")</f>
        <v>http://babel.hathitrust.org/cgi/pt?id=mdp.39015078118794</v>
      </c>
      <c r="H1087" t="str">
        <f t="shared" si="23"/>
        <v>http://catalog.hathitrust.org/Record/001183042</v>
      </c>
      <c r="I1087" s="1" t="s">
        <v>18829</v>
      </c>
      <c r="J1087" s="1">
        <v>1869</v>
      </c>
      <c r="K1087" t="s">
        <v>18488</v>
      </c>
      <c r="L1087" t="s">
        <v>20553</v>
      </c>
    </row>
    <row r="1088" spans="1:12">
      <c r="A1088" t="s">
        <v>18505</v>
      </c>
      <c r="B1088" s="1" t="s">
        <v>18487</v>
      </c>
      <c r="F1088">
        <v>1</v>
      </c>
      <c r="G1088" t="str">
        <f>HYPERLINK("http://babel.hathitrust.org/cgi/pt?id=njp.32101074756709")</f>
        <v>http://babel.hathitrust.org/cgi/pt?id=njp.32101074756709</v>
      </c>
      <c r="H1088" t="str">
        <f t="shared" si="23"/>
        <v>http://catalog.hathitrust.org/Record/001183042</v>
      </c>
      <c r="I1088" s="1" t="s">
        <v>20801</v>
      </c>
      <c r="J1088" s="1">
        <v>1869</v>
      </c>
      <c r="K1088" t="s">
        <v>18488</v>
      </c>
      <c r="L1088" t="s">
        <v>20553</v>
      </c>
    </row>
    <row r="1089" spans="1:12">
      <c r="A1089" t="s">
        <v>18506</v>
      </c>
      <c r="B1089" s="1" t="s">
        <v>18487</v>
      </c>
      <c r="F1089">
        <v>1</v>
      </c>
      <c r="G1089" t="str">
        <f>HYPERLINK("http://babel.hathitrust.org/cgi/pt?id=uc1.32106014328139")</f>
        <v>http://babel.hathitrust.org/cgi/pt?id=uc1.32106014328139</v>
      </c>
      <c r="H1089" t="str">
        <f t="shared" si="23"/>
        <v>http://catalog.hathitrust.org/Record/001183042</v>
      </c>
      <c r="I1089" s="1" t="s">
        <v>20916</v>
      </c>
      <c r="J1089" s="1">
        <v>1869</v>
      </c>
      <c r="K1089" t="s">
        <v>18488</v>
      </c>
      <c r="L1089" t="s">
        <v>20553</v>
      </c>
    </row>
    <row r="1090" spans="1:12">
      <c r="A1090" t="s">
        <v>18507</v>
      </c>
      <c r="B1090" s="1" t="s">
        <v>18508</v>
      </c>
      <c r="F1090">
        <v>1</v>
      </c>
      <c r="G1090" t="str">
        <f>HYPERLINK("http://babel.hathitrust.org/cgi/pt?id=mdp.39015058601207")</f>
        <v>http://babel.hathitrust.org/cgi/pt?id=mdp.39015058601207</v>
      </c>
      <c r="H1090" t="str">
        <f>HYPERLINK("http://catalog.hathitrust.org/Record/001183045")</f>
        <v>http://catalog.hathitrust.org/Record/001183045</v>
      </c>
      <c r="J1090" s="1">
        <v>1924</v>
      </c>
      <c r="K1090" t="s">
        <v>20947</v>
      </c>
      <c r="L1090" t="s">
        <v>20948</v>
      </c>
    </row>
    <row r="1091" spans="1:12">
      <c r="A1091" t="s">
        <v>18509</v>
      </c>
      <c r="B1091" s="1" t="s">
        <v>18510</v>
      </c>
      <c r="F1091">
        <v>1</v>
      </c>
      <c r="G1091" t="str">
        <f>HYPERLINK("http://babel.hathitrust.org/cgi/pt?id=mdp.39015023517447")</f>
        <v>http://babel.hathitrust.org/cgi/pt?id=mdp.39015023517447</v>
      </c>
      <c r="H1091" t="str">
        <f>HYPERLINK("http://catalog.hathitrust.org/Record/001183046")</f>
        <v>http://catalog.hathitrust.org/Record/001183046</v>
      </c>
      <c r="J1091" s="1">
        <v>1950</v>
      </c>
      <c r="K1091" t="s">
        <v>18511</v>
      </c>
      <c r="L1091" t="s">
        <v>20948</v>
      </c>
    </row>
    <row r="1092" spans="1:12">
      <c r="A1092" t="s">
        <v>18512</v>
      </c>
      <c r="B1092" s="1" t="s">
        <v>18510</v>
      </c>
      <c r="F1092">
        <v>1</v>
      </c>
      <c r="G1092" t="str">
        <f>HYPERLINK("http://babel.hathitrust.org/cgi/pt?id=uc1.32106001573424")</f>
        <v>http://babel.hathitrust.org/cgi/pt?id=uc1.32106001573424</v>
      </c>
      <c r="H1092" t="str">
        <f>HYPERLINK("http://catalog.hathitrust.org/Record/001183046")</f>
        <v>http://catalog.hathitrust.org/Record/001183046</v>
      </c>
      <c r="J1092" s="1">
        <v>1950</v>
      </c>
      <c r="K1092" t="s">
        <v>18511</v>
      </c>
      <c r="L1092" t="s">
        <v>20948</v>
      </c>
    </row>
    <row r="1093" spans="1:12">
      <c r="A1093" t="s">
        <v>18513</v>
      </c>
      <c r="B1093" s="1" t="s">
        <v>18514</v>
      </c>
      <c r="F1093">
        <v>1</v>
      </c>
      <c r="G1093" t="str">
        <f>HYPERLINK("http://babel.hathitrust.org/cgi/pt?id=mdp.39015015175915")</f>
        <v>http://babel.hathitrust.org/cgi/pt?id=mdp.39015015175915</v>
      </c>
      <c r="H1093" t="str">
        <f>HYPERLINK("http://catalog.hathitrust.org/Record/001183048")</f>
        <v>http://catalog.hathitrust.org/Record/001183048</v>
      </c>
      <c r="J1093" s="1">
        <v>1919</v>
      </c>
      <c r="K1093" t="s">
        <v>18515</v>
      </c>
      <c r="L1093" t="s">
        <v>18516</v>
      </c>
    </row>
    <row r="1094" spans="1:12">
      <c r="A1094" t="s">
        <v>18517</v>
      </c>
      <c r="B1094" s="1" t="s">
        <v>18514</v>
      </c>
      <c r="F1094">
        <v>1</v>
      </c>
      <c r="G1094" t="str">
        <f>HYPERLINK("http://babel.hathitrust.org/cgi/pt?id=mdp.39015018000706")</f>
        <v>http://babel.hathitrust.org/cgi/pt?id=mdp.39015018000706</v>
      </c>
      <c r="H1094" t="str">
        <f>HYPERLINK("http://catalog.hathitrust.org/Record/001183048")</f>
        <v>http://catalog.hathitrust.org/Record/001183048</v>
      </c>
      <c r="J1094" s="1">
        <v>1919</v>
      </c>
      <c r="K1094" t="s">
        <v>18515</v>
      </c>
      <c r="L1094" t="s">
        <v>18516</v>
      </c>
    </row>
    <row r="1095" spans="1:12">
      <c r="A1095" t="s">
        <v>18518</v>
      </c>
      <c r="B1095" s="1" t="s">
        <v>18514</v>
      </c>
      <c r="F1095">
        <v>1</v>
      </c>
      <c r="G1095" t="str">
        <f>HYPERLINK("http://babel.hathitrust.org/cgi/pt?id=uc1.32106001573580")</f>
        <v>http://babel.hathitrust.org/cgi/pt?id=uc1.32106001573580</v>
      </c>
      <c r="H1095" t="str">
        <f>HYPERLINK("http://catalog.hathitrust.org/Record/001183048")</f>
        <v>http://catalog.hathitrust.org/Record/001183048</v>
      </c>
      <c r="J1095" s="1">
        <v>1919</v>
      </c>
      <c r="K1095" t="s">
        <v>18515</v>
      </c>
      <c r="L1095" t="s">
        <v>18516</v>
      </c>
    </row>
    <row r="1096" spans="1:12">
      <c r="A1096" t="s">
        <v>18519</v>
      </c>
      <c r="B1096" s="1" t="s">
        <v>18514</v>
      </c>
      <c r="F1096">
        <v>1</v>
      </c>
      <c r="G1096" t="str">
        <f>HYPERLINK("http://babel.hathitrust.org/cgi/pt?id=uc1.b4091635")</f>
        <v>http://babel.hathitrust.org/cgi/pt?id=uc1.b4091635</v>
      </c>
      <c r="H1096" t="str">
        <f>HYPERLINK("http://catalog.hathitrust.org/Record/001183048")</f>
        <v>http://catalog.hathitrust.org/Record/001183048</v>
      </c>
      <c r="J1096" s="1">
        <v>1919</v>
      </c>
      <c r="K1096" t="s">
        <v>18515</v>
      </c>
      <c r="L1096" t="s">
        <v>18516</v>
      </c>
    </row>
    <row r="1097" spans="1:12">
      <c r="A1097" t="s">
        <v>18520</v>
      </c>
      <c r="B1097" s="1" t="s">
        <v>18514</v>
      </c>
      <c r="F1097">
        <v>1</v>
      </c>
      <c r="G1097" t="str">
        <f>HYPERLINK("http://babel.hathitrust.org/cgi/pt?id=uc2.ark:/13960/t7gq72x78")</f>
        <v>http://babel.hathitrust.org/cgi/pt?id=uc2.ark:/13960/t7gq72x78</v>
      </c>
      <c r="H1097" t="str">
        <f>HYPERLINK("http://catalog.hathitrust.org/Record/001183048")</f>
        <v>http://catalog.hathitrust.org/Record/001183048</v>
      </c>
      <c r="J1097" s="1">
        <v>1919</v>
      </c>
      <c r="K1097" t="s">
        <v>18515</v>
      </c>
      <c r="L1097" t="s">
        <v>18516</v>
      </c>
    </row>
    <row r="1098" spans="1:12">
      <c r="A1098" t="s">
        <v>18521</v>
      </c>
      <c r="B1098" s="1" t="s">
        <v>18522</v>
      </c>
      <c r="F1098">
        <v>1</v>
      </c>
      <c r="G1098" t="str">
        <f>HYPERLINK("http://babel.hathitrust.org/cgi/pt?id=mdp.39015058601199")</f>
        <v>http://babel.hathitrust.org/cgi/pt?id=mdp.39015058601199</v>
      </c>
      <c r="H1098" t="str">
        <f>HYPERLINK("http://catalog.hathitrust.org/Record/001183051")</f>
        <v>http://catalog.hathitrust.org/Record/001183051</v>
      </c>
      <c r="J1098" s="1">
        <v>1922</v>
      </c>
      <c r="K1098" t="s">
        <v>18523</v>
      </c>
      <c r="L1098" t="s">
        <v>18400</v>
      </c>
    </row>
    <row r="1099" spans="1:12">
      <c r="A1099" t="s">
        <v>18401</v>
      </c>
      <c r="B1099" s="1" t="s">
        <v>18522</v>
      </c>
      <c r="F1099">
        <v>1</v>
      </c>
      <c r="G1099" t="str">
        <f>HYPERLINK("http://babel.hathitrust.org/cgi/pt?id=njp.32101042221554")</f>
        <v>http://babel.hathitrust.org/cgi/pt?id=njp.32101042221554</v>
      </c>
      <c r="H1099" t="str">
        <f>HYPERLINK("http://catalog.hathitrust.org/Record/001183051")</f>
        <v>http://catalog.hathitrust.org/Record/001183051</v>
      </c>
      <c r="J1099" s="1">
        <v>1922</v>
      </c>
      <c r="K1099" t="s">
        <v>18523</v>
      </c>
      <c r="L1099" t="s">
        <v>18400</v>
      </c>
    </row>
    <row r="1100" spans="1:12">
      <c r="A1100" t="s">
        <v>18402</v>
      </c>
      <c r="B1100" s="1" t="s">
        <v>18522</v>
      </c>
      <c r="F1100">
        <v>1</v>
      </c>
      <c r="G1100" t="str">
        <f>HYPERLINK("http://babel.hathitrust.org/cgi/pt?id=nyp.33433044077976")</f>
        <v>http://babel.hathitrust.org/cgi/pt?id=nyp.33433044077976</v>
      </c>
      <c r="H1100" t="str">
        <f>HYPERLINK("http://catalog.hathitrust.org/Record/001183051")</f>
        <v>http://catalog.hathitrust.org/Record/001183051</v>
      </c>
      <c r="J1100" s="1">
        <v>1922</v>
      </c>
      <c r="K1100" t="s">
        <v>18523</v>
      </c>
      <c r="L1100" t="s">
        <v>18400</v>
      </c>
    </row>
    <row r="1101" spans="1:12">
      <c r="A1101" t="s">
        <v>18403</v>
      </c>
      <c r="B1101" s="1" t="s">
        <v>18404</v>
      </c>
      <c r="F1101">
        <v>1</v>
      </c>
      <c r="G1101" t="str">
        <f>HYPERLINK("http://babel.hathitrust.org/cgi/pt?id=mdp.39015001569717")</f>
        <v>http://babel.hathitrust.org/cgi/pt?id=mdp.39015001569717</v>
      </c>
      <c r="H1101" t="str">
        <f>HYPERLINK("http://catalog.hathitrust.org/Record/001183057")</f>
        <v>http://catalog.hathitrust.org/Record/001183057</v>
      </c>
      <c r="J1101" s="1">
        <v>1932</v>
      </c>
      <c r="K1101" t="s">
        <v>18405</v>
      </c>
      <c r="L1101" t="s">
        <v>18406</v>
      </c>
    </row>
    <row r="1102" spans="1:12">
      <c r="A1102" t="s">
        <v>18407</v>
      </c>
      <c r="B1102" s="1" t="s">
        <v>18408</v>
      </c>
      <c r="F1102">
        <v>1</v>
      </c>
      <c r="G1102" t="str">
        <f>HYPERLINK("http://babel.hathitrust.org/cgi/pt?id=njp.32101061812242")</f>
        <v>http://babel.hathitrust.org/cgi/pt?id=njp.32101061812242</v>
      </c>
      <c r="H1102" t="str">
        <f>HYPERLINK("http://catalog.hathitrust.org/Record/001183074")</f>
        <v>http://catalog.hathitrust.org/Record/001183074</v>
      </c>
      <c r="I1102" s="1" t="s">
        <v>20916</v>
      </c>
      <c r="J1102" s="1">
        <v>1776</v>
      </c>
      <c r="K1102" t="s">
        <v>18409</v>
      </c>
      <c r="L1102" t="s">
        <v>18885</v>
      </c>
    </row>
    <row r="1103" spans="1:12">
      <c r="A1103" t="s">
        <v>18410</v>
      </c>
      <c r="B1103" s="1" t="s">
        <v>18408</v>
      </c>
      <c r="F1103">
        <v>1</v>
      </c>
      <c r="G1103" t="str">
        <f>HYPERLINK("http://babel.hathitrust.org/cgi/pt?id=njp.32101061812259")</f>
        <v>http://babel.hathitrust.org/cgi/pt?id=njp.32101061812259</v>
      </c>
      <c r="H1103" t="str">
        <f>HYPERLINK("http://catalog.hathitrust.org/Record/001183074")</f>
        <v>http://catalog.hathitrust.org/Record/001183074</v>
      </c>
      <c r="I1103" s="1" t="s">
        <v>20755</v>
      </c>
      <c r="J1103" s="1">
        <v>1776</v>
      </c>
      <c r="K1103" t="s">
        <v>18409</v>
      </c>
      <c r="L1103" t="s">
        <v>18885</v>
      </c>
    </row>
    <row r="1104" spans="1:12">
      <c r="A1104" t="s">
        <v>18411</v>
      </c>
      <c r="B1104" s="1" t="s">
        <v>18412</v>
      </c>
      <c r="F1104">
        <v>1</v>
      </c>
      <c r="G1104" t="str">
        <f>HYPERLINK("http://babel.hathitrust.org/cgi/pt?id=mdp.39015065774781")</f>
        <v>http://babel.hathitrust.org/cgi/pt?id=mdp.39015065774781</v>
      </c>
      <c r="H1104" t="str">
        <f>HYPERLINK("http://catalog.hathitrust.org/Record/001183077")</f>
        <v>http://catalog.hathitrust.org/Record/001183077</v>
      </c>
      <c r="J1104" s="1">
        <v>1909</v>
      </c>
      <c r="K1104" t="s">
        <v>18413</v>
      </c>
      <c r="L1104" t="s">
        <v>18414</v>
      </c>
    </row>
    <row r="1105" spans="1:12">
      <c r="A1105" t="s">
        <v>18415</v>
      </c>
      <c r="B1105" s="1" t="s">
        <v>18412</v>
      </c>
      <c r="F1105">
        <v>1</v>
      </c>
      <c r="G1105" t="str">
        <f>HYPERLINK("http://babel.hathitrust.org/cgi/pt?id=uc1.b4093244")</f>
        <v>http://babel.hathitrust.org/cgi/pt?id=uc1.b4093244</v>
      </c>
      <c r="H1105" t="str">
        <f>HYPERLINK("http://catalog.hathitrust.org/Record/001183077")</f>
        <v>http://catalog.hathitrust.org/Record/001183077</v>
      </c>
      <c r="I1105" s="1" t="s">
        <v>20183</v>
      </c>
      <c r="J1105" s="1">
        <v>1909</v>
      </c>
      <c r="K1105" t="s">
        <v>18413</v>
      </c>
      <c r="L1105" t="s">
        <v>18414</v>
      </c>
    </row>
    <row r="1106" spans="1:12">
      <c r="A1106" t="s">
        <v>18416</v>
      </c>
      <c r="B1106" s="1" t="s">
        <v>18412</v>
      </c>
      <c r="F1106">
        <v>1</v>
      </c>
      <c r="G1106" t="str">
        <f>HYPERLINK("http://babel.hathitrust.org/cgi/pt?id=uc1.b4097387")</f>
        <v>http://babel.hathitrust.org/cgi/pt?id=uc1.b4097387</v>
      </c>
      <c r="H1106" t="str">
        <f>HYPERLINK("http://catalog.hathitrust.org/Record/001183077")</f>
        <v>http://catalog.hathitrust.org/Record/001183077</v>
      </c>
      <c r="I1106" s="1" t="s">
        <v>18694</v>
      </c>
      <c r="J1106" s="1">
        <v>1909</v>
      </c>
      <c r="K1106" t="s">
        <v>18413</v>
      </c>
      <c r="L1106" t="s">
        <v>18414</v>
      </c>
    </row>
    <row r="1107" spans="1:12">
      <c r="A1107" t="s">
        <v>18417</v>
      </c>
      <c r="B1107" s="1" t="s">
        <v>18418</v>
      </c>
      <c r="F1107">
        <v>1</v>
      </c>
      <c r="G1107" t="str">
        <f>HYPERLINK("http://babel.hathitrust.org/cgi/pt?id=mdp.39015065840038")</f>
        <v>http://babel.hathitrust.org/cgi/pt?id=mdp.39015065840038</v>
      </c>
      <c r="H1107" t="str">
        <f>HYPERLINK("http://catalog.hathitrust.org/Record/001183087")</f>
        <v>http://catalog.hathitrust.org/Record/001183087</v>
      </c>
      <c r="J1107" s="1">
        <v>1956</v>
      </c>
      <c r="K1107" t="s">
        <v>18419</v>
      </c>
      <c r="L1107" t="s">
        <v>18420</v>
      </c>
    </row>
    <row r="1108" spans="1:12">
      <c r="A1108" t="s">
        <v>18421</v>
      </c>
      <c r="B1108" s="1" t="s">
        <v>18418</v>
      </c>
      <c r="F1108">
        <v>1</v>
      </c>
      <c r="G1108" t="str">
        <f>HYPERLINK("http://babel.hathitrust.org/cgi/pt?id=wu.89048451850")</f>
        <v>http://babel.hathitrust.org/cgi/pt?id=wu.89048451850</v>
      </c>
      <c r="H1108" t="str">
        <f>HYPERLINK("http://catalog.hathitrust.org/Record/001183087")</f>
        <v>http://catalog.hathitrust.org/Record/001183087</v>
      </c>
      <c r="J1108" s="1">
        <v>1956</v>
      </c>
      <c r="K1108" t="s">
        <v>18419</v>
      </c>
      <c r="L1108" t="s">
        <v>18420</v>
      </c>
    </row>
    <row r="1109" spans="1:12">
      <c r="A1109" t="s">
        <v>18422</v>
      </c>
      <c r="B1109" s="1" t="s">
        <v>18423</v>
      </c>
      <c r="F1109">
        <v>1</v>
      </c>
      <c r="G1109" t="str">
        <f>HYPERLINK("http://babel.hathitrust.org/cgi/pt?id=mdp.39015004344456")</f>
        <v>http://babel.hathitrust.org/cgi/pt?id=mdp.39015004344456</v>
      </c>
      <c r="H1109" t="str">
        <f>HYPERLINK("http://catalog.hathitrust.org/Record/001183103")</f>
        <v>http://catalog.hathitrust.org/Record/001183103</v>
      </c>
      <c r="J1109" s="1">
        <v>1956</v>
      </c>
      <c r="K1109" t="s">
        <v>18424</v>
      </c>
      <c r="L1109" t="s">
        <v>18425</v>
      </c>
    </row>
    <row r="1110" spans="1:12">
      <c r="A1110" t="s">
        <v>18426</v>
      </c>
      <c r="B1110" s="1" t="s">
        <v>18423</v>
      </c>
      <c r="F1110">
        <v>1</v>
      </c>
      <c r="G1110" t="str">
        <f>HYPERLINK("http://babel.hathitrust.org/cgi/pt?id=mdp.39015031013629")</f>
        <v>http://babel.hathitrust.org/cgi/pt?id=mdp.39015031013629</v>
      </c>
      <c r="H1110" t="str">
        <f>HYPERLINK("http://catalog.hathitrust.org/Record/001183103")</f>
        <v>http://catalog.hathitrust.org/Record/001183103</v>
      </c>
      <c r="J1110" s="1">
        <v>1956</v>
      </c>
      <c r="K1110" t="s">
        <v>18424</v>
      </c>
      <c r="L1110" t="s">
        <v>18425</v>
      </c>
    </row>
    <row r="1111" spans="1:12">
      <c r="A1111" t="s">
        <v>18427</v>
      </c>
      <c r="B1111" s="1" t="s">
        <v>18428</v>
      </c>
      <c r="F1111">
        <v>1</v>
      </c>
      <c r="G1111" t="str">
        <f>HYPERLINK("http://babel.hathitrust.org/cgi/pt?id=mdp.39015072136404")</f>
        <v>http://babel.hathitrust.org/cgi/pt?id=mdp.39015072136404</v>
      </c>
      <c r="H1111" t="str">
        <f>HYPERLINK("http://catalog.hathitrust.org/Record/001183118")</f>
        <v>http://catalog.hathitrust.org/Record/001183118</v>
      </c>
      <c r="J1111" s="1">
        <v>1955</v>
      </c>
      <c r="K1111" t="s">
        <v>18429</v>
      </c>
      <c r="L1111" t="s">
        <v>18430</v>
      </c>
    </row>
    <row r="1112" spans="1:12">
      <c r="A1112" t="s">
        <v>18431</v>
      </c>
      <c r="B1112" s="1" t="s">
        <v>18432</v>
      </c>
      <c r="F1112">
        <v>1</v>
      </c>
      <c r="G1112" t="str">
        <f>HYPERLINK("http://babel.hathitrust.org/cgi/pt?id=mdp.39015004560994")</f>
        <v>http://babel.hathitrust.org/cgi/pt?id=mdp.39015004560994</v>
      </c>
      <c r="H1112" t="str">
        <f>HYPERLINK("http://catalog.hathitrust.org/Record/001183124")</f>
        <v>http://catalog.hathitrust.org/Record/001183124</v>
      </c>
      <c r="J1112" s="1">
        <v>1957</v>
      </c>
      <c r="K1112" t="s">
        <v>18433</v>
      </c>
      <c r="L1112" t="s">
        <v>18434</v>
      </c>
    </row>
    <row r="1113" spans="1:12">
      <c r="A1113" t="s">
        <v>18435</v>
      </c>
      <c r="B1113" s="1" t="s">
        <v>18432</v>
      </c>
      <c r="F1113">
        <v>1</v>
      </c>
      <c r="G1113" t="str">
        <f>HYPERLINK("http://babel.hathitrust.org/cgi/pt?id=uc1.b4094164")</f>
        <v>http://babel.hathitrust.org/cgi/pt?id=uc1.b4094164</v>
      </c>
      <c r="H1113" t="str">
        <f>HYPERLINK("http://catalog.hathitrust.org/Record/001183124")</f>
        <v>http://catalog.hathitrust.org/Record/001183124</v>
      </c>
      <c r="J1113" s="1">
        <v>1957</v>
      </c>
      <c r="K1113" t="s">
        <v>18433</v>
      </c>
      <c r="L1113" t="s">
        <v>18434</v>
      </c>
    </row>
    <row r="1114" spans="1:12">
      <c r="A1114" t="s">
        <v>18436</v>
      </c>
      <c r="B1114" s="1" t="s">
        <v>18437</v>
      </c>
      <c r="F1114">
        <v>1</v>
      </c>
      <c r="G1114" t="str">
        <f>HYPERLINK("http://babel.hathitrust.org/cgi/pt?id=mdp.39015048998895")</f>
        <v>http://babel.hathitrust.org/cgi/pt?id=mdp.39015048998895</v>
      </c>
      <c r="H1114" t="str">
        <f>HYPERLINK("http://catalog.hathitrust.org/Record/001183131")</f>
        <v>http://catalog.hathitrust.org/Record/001183131</v>
      </c>
      <c r="J1114" s="1">
        <v>1942</v>
      </c>
      <c r="K1114" t="s">
        <v>18438</v>
      </c>
      <c r="L1114" t="s">
        <v>18430</v>
      </c>
    </row>
    <row r="1115" spans="1:12">
      <c r="A1115" t="s">
        <v>18439</v>
      </c>
      <c r="B1115" s="1" t="s">
        <v>18440</v>
      </c>
      <c r="F1115">
        <v>1</v>
      </c>
      <c r="G1115" t="str">
        <f>HYPERLINK("http://babel.hathitrust.org/cgi/pt?id=mdp.39015013237576")</f>
        <v>http://babel.hathitrust.org/cgi/pt?id=mdp.39015013237576</v>
      </c>
      <c r="H1115" t="str">
        <f>HYPERLINK("http://catalog.hathitrust.org/Record/001183146")</f>
        <v>http://catalog.hathitrust.org/Record/001183146</v>
      </c>
      <c r="J1115" s="1">
        <v>1919</v>
      </c>
      <c r="K1115" t="s">
        <v>18441</v>
      </c>
      <c r="L1115" t="s">
        <v>18442</v>
      </c>
    </row>
    <row r="1116" spans="1:12">
      <c r="A1116" t="s">
        <v>18443</v>
      </c>
      <c r="B1116" s="1" t="s">
        <v>18440</v>
      </c>
      <c r="F1116">
        <v>1</v>
      </c>
      <c r="G1116" t="str">
        <f>HYPERLINK("http://babel.hathitrust.org/cgi/pt?id=mdp.39015031013280")</f>
        <v>http://babel.hathitrust.org/cgi/pt?id=mdp.39015031013280</v>
      </c>
      <c r="H1116" t="str">
        <f>HYPERLINK("http://catalog.hathitrust.org/Record/001183146")</f>
        <v>http://catalog.hathitrust.org/Record/001183146</v>
      </c>
      <c r="I1116" s="1" t="s">
        <v>19273</v>
      </c>
      <c r="J1116" s="1">
        <v>1919</v>
      </c>
      <c r="K1116" t="s">
        <v>18441</v>
      </c>
      <c r="L1116" t="s">
        <v>18442</v>
      </c>
    </row>
    <row r="1117" spans="1:12">
      <c r="A1117" t="s">
        <v>18444</v>
      </c>
      <c r="B1117" s="1" t="s">
        <v>18440</v>
      </c>
      <c r="F1117">
        <v>1</v>
      </c>
      <c r="G1117" t="str">
        <f>HYPERLINK("http://babel.hathitrust.org/cgi/pt?id=uc1.b258276")</f>
        <v>http://babel.hathitrust.org/cgi/pt?id=uc1.b258276</v>
      </c>
      <c r="H1117" t="str">
        <f>HYPERLINK("http://catalog.hathitrust.org/Record/001183146")</f>
        <v>http://catalog.hathitrust.org/Record/001183146</v>
      </c>
      <c r="J1117" s="1">
        <v>1919</v>
      </c>
      <c r="K1117" t="s">
        <v>18441</v>
      </c>
      <c r="L1117" t="s">
        <v>18442</v>
      </c>
    </row>
    <row r="1118" spans="1:12">
      <c r="A1118" t="s">
        <v>18445</v>
      </c>
      <c r="B1118" s="1" t="s">
        <v>18440</v>
      </c>
      <c r="F1118">
        <v>1</v>
      </c>
      <c r="G1118" t="str">
        <f>HYPERLINK("http://babel.hathitrust.org/cgi/pt?id=uc2.ark:/13960/t1hh6pc2b")</f>
        <v>http://babel.hathitrust.org/cgi/pt?id=uc2.ark:/13960/t1hh6pc2b</v>
      </c>
      <c r="H1118" t="str">
        <f>HYPERLINK("http://catalog.hathitrust.org/Record/001183146")</f>
        <v>http://catalog.hathitrust.org/Record/001183146</v>
      </c>
      <c r="J1118" s="1">
        <v>1919</v>
      </c>
      <c r="K1118" t="s">
        <v>18441</v>
      </c>
      <c r="L1118" t="s">
        <v>18442</v>
      </c>
    </row>
    <row r="1119" spans="1:12">
      <c r="A1119" t="s">
        <v>18446</v>
      </c>
      <c r="B1119" s="1" t="s">
        <v>18447</v>
      </c>
      <c r="F1119">
        <v>1</v>
      </c>
      <c r="G1119" t="str">
        <f>HYPERLINK("http://babel.hathitrust.org/cgi/pt?id=uc1.b258635")</f>
        <v>http://babel.hathitrust.org/cgi/pt?id=uc1.b258635</v>
      </c>
      <c r="H1119" t="str">
        <f>HYPERLINK("http://catalog.hathitrust.org/Record/001183181")</f>
        <v>http://catalog.hathitrust.org/Record/001183181</v>
      </c>
      <c r="J1119" s="1">
        <v>1917</v>
      </c>
      <c r="K1119" t="s">
        <v>18448</v>
      </c>
      <c r="L1119" t="s">
        <v>18449</v>
      </c>
    </row>
    <row r="1120" spans="1:12">
      <c r="A1120" t="s">
        <v>18450</v>
      </c>
      <c r="B1120" s="1" t="s">
        <v>18447</v>
      </c>
      <c r="F1120">
        <v>1</v>
      </c>
      <c r="G1120" t="str">
        <f>HYPERLINK("http://babel.hathitrust.org/cgi/pt?id=uc2.ark:/13960/t22b8z17v")</f>
        <v>http://babel.hathitrust.org/cgi/pt?id=uc2.ark:/13960/t22b8z17v</v>
      </c>
      <c r="H1120" t="str">
        <f>HYPERLINK("http://catalog.hathitrust.org/Record/001183181")</f>
        <v>http://catalog.hathitrust.org/Record/001183181</v>
      </c>
      <c r="J1120" s="1">
        <v>1917</v>
      </c>
      <c r="K1120" t="s">
        <v>18448</v>
      </c>
      <c r="L1120" t="s">
        <v>18449</v>
      </c>
    </row>
    <row r="1121" spans="1:12">
      <c r="A1121" t="s">
        <v>18451</v>
      </c>
      <c r="B1121" s="1" t="s">
        <v>18452</v>
      </c>
      <c r="F1121">
        <v>1</v>
      </c>
      <c r="G1121" t="str">
        <f>HYPERLINK("http://babel.hathitrust.org/cgi/pt?id=njp.32101013960255")</f>
        <v>http://babel.hathitrust.org/cgi/pt?id=njp.32101013960255</v>
      </c>
      <c r="H1121" t="str">
        <f>HYPERLINK("http://catalog.hathitrust.org/Record/001183263")</f>
        <v>http://catalog.hathitrust.org/Record/001183263</v>
      </c>
      <c r="J1121" s="1">
        <v>1815</v>
      </c>
      <c r="K1121" t="s">
        <v>18453</v>
      </c>
      <c r="L1121" t="s">
        <v>18454</v>
      </c>
    </row>
    <row r="1122" spans="1:12">
      <c r="A1122" t="s">
        <v>18455</v>
      </c>
      <c r="B1122" s="1" t="s">
        <v>18452</v>
      </c>
      <c r="F1122">
        <v>1</v>
      </c>
      <c r="G1122" t="str">
        <f>HYPERLINK("http://babel.hathitrust.org/cgi/pt?id=uc2.ark:/13960/t14m95x1k")</f>
        <v>http://babel.hathitrust.org/cgi/pt?id=uc2.ark:/13960/t14m95x1k</v>
      </c>
      <c r="H1122" t="str">
        <f>HYPERLINK("http://catalog.hathitrust.org/Record/001183263")</f>
        <v>http://catalog.hathitrust.org/Record/001183263</v>
      </c>
      <c r="J1122" s="1">
        <v>1815</v>
      </c>
      <c r="K1122" t="s">
        <v>18453</v>
      </c>
      <c r="L1122" t="s">
        <v>18454</v>
      </c>
    </row>
    <row r="1123" spans="1:12">
      <c r="A1123" t="s">
        <v>18456</v>
      </c>
      <c r="B1123" s="1" t="s">
        <v>18457</v>
      </c>
      <c r="F1123">
        <v>1</v>
      </c>
      <c r="G1123" t="str">
        <f>HYPERLINK("http://babel.hathitrust.org/cgi/pt?id=uc2.ark:/13960/t5gb20073")</f>
        <v>http://babel.hathitrust.org/cgi/pt?id=uc2.ark:/13960/t5gb20073</v>
      </c>
      <c r="H1123" t="str">
        <f>HYPERLINK("http://catalog.hathitrust.org/Record/001183276")</f>
        <v>http://catalog.hathitrust.org/Record/001183276</v>
      </c>
      <c r="I1123" s="1" t="s">
        <v>20755</v>
      </c>
      <c r="J1123" s="1">
        <v>1797</v>
      </c>
      <c r="K1123" t="s">
        <v>18458</v>
      </c>
      <c r="L1123" t="s">
        <v>19518</v>
      </c>
    </row>
    <row r="1124" spans="1:12">
      <c r="A1124" t="s">
        <v>18459</v>
      </c>
      <c r="B1124" s="1" t="s">
        <v>18457</v>
      </c>
      <c r="F1124">
        <v>1</v>
      </c>
      <c r="G1124" t="str">
        <f>HYPERLINK("http://babel.hathitrust.org/cgi/pt?id=uc2.ark:/13960/t82j69r6w")</f>
        <v>http://babel.hathitrust.org/cgi/pt?id=uc2.ark:/13960/t82j69r6w</v>
      </c>
      <c r="H1124" t="str">
        <f>HYPERLINK("http://catalog.hathitrust.org/Record/001183276")</f>
        <v>http://catalog.hathitrust.org/Record/001183276</v>
      </c>
      <c r="I1124" s="1" t="s">
        <v>20916</v>
      </c>
      <c r="J1124" s="1">
        <v>1797</v>
      </c>
      <c r="K1124" t="s">
        <v>18458</v>
      </c>
      <c r="L1124" t="s">
        <v>19518</v>
      </c>
    </row>
    <row r="1125" spans="1:12">
      <c r="A1125" t="s">
        <v>18460</v>
      </c>
      <c r="B1125" s="1" t="s">
        <v>18461</v>
      </c>
      <c r="E1125">
        <v>1</v>
      </c>
      <c r="G1125" t="str">
        <f>HYPERLINK("http://babel.hathitrust.org/cgi/pt?id=mdp.39015025887848")</f>
        <v>http://babel.hathitrust.org/cgi/pt?id=mdp.39015025887848</v>
      </c>
      <c r="H1125" t="str">
        <f>HYPERLINK("http://catalog.hathitrust.org/Record/001183286")</f>
        <v>http://catalog.hathitrust.org/Record/001183286</v>
      </c>
      <c r="I1125" s="1" t="s">
        <v>20679</v>
      </c>
      <c r="J1125" s="1">
        <v>1883</v>
      </c>
      <c r="K1125" t="s">
        <v>18462</v>
      </c>
      <c r="L1125" t="s">
        <v>18463</v>
      </c>
    </row>
    <row r="1126" spans="1:12">
      <c r="A1126" t="s">
        <v>18464</v>
      </c>
      <c r="B1126" s="1" t="s">
        <v>18461</v>
      </c>
      <c r="E1126">
        <v>1</v>
      </c>
      <c r="G1126" t="str">
        <f>HYPERLINK("http://babel.hathitrust.org/cgi/pt?id=mdp.39015025887855")</f>
        <v>http://babel.hathitrust.org/cgi/pt?id=mdp.39015025887855</v>
      </c>
      <c r="H1126" t="str">
        <f>HYPERLINK("http://catalog.hathitrust.org/Record/001183286")</f>
        <v>http://catalog.hathitrust.org/Record/001183286</v>
      </c>
      <c r="I1126" s="1" t="s">
        <v>20920</v>
      </c>
      <c r="J1126" s="1">
        <v>1883</v>
      </c>
      <c r="K1126" t="s">
        <v>18462</v>
      </c>
      <c r="L1126" t="s">
        <v>18463</v>
      </c>
    </row>
    <row r="1127" spans="1:12">
      <c r="A1127" t="s">
        <v>18465</v>
      </c>
      <c r="B1127" s="1" t="s">
        <v>18461</v>
      </c>
      <c r="E1127">
        <v>1</v>
      </c>
      <c r="G1127" t="str">
        <f>HYPERLINK("http://babel.hathitrust.org/cgi/pt?id=mdp.39015025887863")</f>
        <v>http://babel.hathitrust.org/cgi/pt?id=mdp.39015025887863</v>
      </c>
      <c r="H1127" t="str">
        <f>HYPERLINK("http://catalog.hathitrust.org/Record/001183286")</f>
        <v>http://catalog.hathitrust.org/Record/001183286</v>
      </c>
      <c r="I1127" s="1" t="s">
        <v>20755</v>
      </c>
      <c r="J1127" s="1">
        <v>1883</v>
      </c>
      <c r="K1127" t="s">
        <v>18462</v>
      </c>
      <c r="L1127" t="s">
        <v>18463</v>
      </c>
    </row>
    <row r="1128" spans="1:12">
      <c r="A1128" t="s">
        <v>18466</v>
      </c>
      <c r="B1128" s="1" t="s">
        <v>18461</v>
      </c>
      <c r="E1128">
        <v>1</v>
      </c>
      <c r="G1128" t="str">
        <f>HYPERLINK("http://babel.hathitrust.org/cgi/pt?id=mdp.39015025887871")</f>
        <v>http://babel.hathitrust.org/cgi/pt?id=mdp.39015025887871</v>
      </c>
      <c r="H1128" t="str">
        <f>HYPERLINK("http://catalog.hathitrust.org/Record/001183286")</f>
        <v>http://catalog.hathitrust.org/Record/001183286</v>
      </c>
      <c r="I1128" s="1" t="s">
        <v>20916</v>
      </c>
      <c r="J1128" s="1">
        <v>1883</v>
      </c>
      <c r="K1128" t="s">
        <v>18462</v>
      </c>
      <c r="L1128" t="s">
        <v>18463</v>
      </c>
    </row>
    <row r="1129" spans="1:12">
      <c r="A1129" t="s">
        <v>18335</v>
      </c>
      <c r="B1129" s="1" t="s">
        <v>18336</v>
      </c>
      <c r="F1129">
        <v>1</v>
      </c>
      <c r="G1129" t="str">
        <f>HYPERLINK("http://babel.hathitrust.org/cgi/pt?id=uc1.32106001579140")</f>
        <v>http://babel.hathitrust.org/cgi/pt?id=uc1.32106001579140</v>
      </c>
      <c r="H1129" t="str">
        <f>HYPERLINK("http://catalog.hathitrust.org/Record/001183433")</f>
        <v>http://catalog.hathitrust.org/Record/001183433</v>
      </c>
      <c r="J1129" s="1">
        <v>1961</v>
      </c>
      <c r="K1129" t="s">
        <v>18337</v>
      </c>
      <c r="L1129" t="s">
        <v>18338</v>
      </c>
    </row>
    <row r="1130" spans="1:12">
      <c r="A1130" t="s">
        <v>18339</v>
      </c>
      <c r="B1130" s="1" t="s">
        <v>18340</v>
      </c>
      <c r="D1130">
        <v>1</v>
      </c>
      <c r="G1130" t="str">
        <f>HYPERLINK("http://babel.hathitrust.org/cgi/pt?id=mdp.39015042484991")</f>
        <v>http://babel.hathitrust.org/cgi/pt?id=mdp.39015042484991</v>
      </c>
      <c r="H1130" t="str">
        <f>HYPERLINK("http://catalog.hathitrust.org/Record/001185516")</f>
        <v>http://catalog.hathitrust.org/Record/001185516</v>
      </c>
      <c r="J1130" s="1">
        <v>1904</v>
      </c>
      <c r="K1130" t="s">
        <v>18341</v>
      </c>
      <c r="L1130" t="s">
        <v>18342</v>
      </c>
    </row>
    <row r="1131" spans="1:12">
      <c r="A1131" t="s">
        <v>18343</v>
      </c>
      <c r="B1131" s="1" t="s">
        <v>18344</v>
      </c>
      <c r="F1131">
        <v>1</v>
      </c>
      <c r="G1131" t="str">
        <f>HYPERLINK("http://babel.hathitrust.org/cgi/pt?id=mdp.39015009040398")</f>
        <v>http://babel.hathitrust.org/cgi/pt?id=mdp.39015009040398</v>
      </c>
      <c r="H1131" t="str">
        <f>HYPERLINK("http://catalog.hathitrust.org/Record/001186165")</f>
        <v>http://catalog.hathitrust.org/Record/001186165</v>
      </c>
      <c r="J1131" s="1">
        <v>1898</v>
      </c>
      <c r="K1131" t="s">
        <v>18345</v>
      </c>
      <c r="L1131" t="s">
        <v>18346</v>
      </c>
    </row>
    <row r="1132" spans="1:12">
      <c r="A1132" t="s">
        <v>18347</v>
      </c>
      <c r="B1132" s="1" t="s">
        <v>18344</v>
      </c>
      <c r="F1132">
        <v>1</v>
      </c>
      <c r="G1132" t="str">
        <f>HYPERLINK("http://babel.hathitrust.org/cgi/pt?id=uc1.b3525082")</f>
        <v>http://babel.hathitrust.org/cgi/pt?id=uc1.b3525082</v>
      </c>
      <c r="H1132" t="str">
        <f>HYPERLINK("http://catalog.hathitrust.org/Record/001186165")</f>
        <v>http://catalog.hathitrust.org/Record/001186165</v>
      </c>
      <c r="I1132" s="1" t="s">
        <v>19820</v>
      </c>
      <c r="J1132" s="1">
        <v>1898</v>
      </c>
      <c r="K1132" t="s">
        <v>18345</v>
      </c>
      <c r="L1132" t="s">
        <v>18346</v>
      </c>
    </row>
    <row r="1133" spans="1:12">
      <c r="A1133" t="s">
        <v>18348</v>
      </c>
      <c r="B1133" s="1" t="s">
        <v>18349</v>
      </c>
      <c r="F1133">
        <v>1</v>
      </c>
      <c r="G1133" t="str">
        <f>HYPERLINK("http://babel.hathitrust.org/cgi/pt?id=mdp.39015008487459")</f>
        <v>http://babel.hathitrust.org/cgi/pt?id=mdp.39015008487459</v>
      </c>
      <c r="H1133" t="str">
        <f>HYPERLINK("http://catalog.hathitrust.org/Record/001187847")</f>
        <v>http://catalog.hathitrust.org/Record/001187847</v>
      </c>
      <c r="J1133" s="1">
        <v>1962</v>
      </c>
      <c r="K1133" t="s">
        <v>18350</v>
      </c>
      <c r="L1133" t="s">
        <v>18351</v>
      </c>
    </row>
    <row r="1134" spans="1:12">
      <c r="A1134" t="s">
        <v>18352</v>
      </c>
      <c r="B1134" s="1" t="s">
        <v>18349</v>
      </c>
      <c r="F1134">
        <v>1</v>
      </c>
      <c r="G1134" t="str">
        <f>HYPERLINK("http://babel.hathitrust.org/cgi/pt?id=mdp.39015030717741")</f>
        <v>http://babel.hathitrust.org/cgi/pt?id=mdp.39015030717741</v>
      </c>
      <c r="H1134" t="str">
        <f>HYPERLINK("http://catalog.hathitrust.org/Record/001187847")</f>
        <v>http://catalog.hathitrust.org/Record/001187847</v>
      </c>
      <c r="J1134" s="1">
        <v>1962</v>
      </c>
      <c r="K1134" t="s">
        <v>18350</v>
      </c>
      <c r="L1134" t="s">
        <v>18351</v>
      </c>
    </row>
    <row r="1135" spans="1:12">
      <c r="A1135" t="s">
        <v>18353</v>
      </c>
      <c r="B1135" s="1" t="s">
        <v>18349</v>
      </c>
      <c r="F1135">
        <v>1</v>
      </c>
      <c r="G1135" t="str">
        <f>HYPERLINK("http://babel.hathitrust.org/cgi/pt?id=uc1.b3567482")</f>
        <v>http://babel.hathitrust.org/cgi/pt?id=uc1.b3567482</v>
      </c>
      <c r="H1135" t="str">
        <f>HYPERLINK("http://catalog.hathitrust.org/Record/001187847")</f>
        <v>http://catalog.hathitrust.org/Record/001187847</v>
      </c>
      <c r="J1135" s="1">
        <v>1962</v>
      </c>
      <c r="K1135" t="s">
        <v>18350</v>
      </c>
      <c r="L1135" t="s">
        <v>18351</v>
      </c>
    </row>
    <row r="1136" spans="1:12">
      <c r="A1136" t="s">
        <v>18354</v>
      </c>
      <c r="B1136" s="1" t="s">
        <v>18349</v>
      </c>
      <c r="F1136">
        <v>1</v>
      </c>
      <c r="G1136" t="str">
        <f>HYPERLINK("http://babel.hathitrust.org/cgi/pt?id=uc1.b4929569")</f>
        <v>http://babel.hathitrust.org/cgi/pt?id=uc1.b4929569</v>
      </c>
      <c r="H1136" t="str">
        <f>HYPERLINK("http://catalog.hathitrust.org/Record/001187847")</f>
        <v>http://catalog.hathitrust.org/Record/001187847</v>
      </c>
      <c r="J1136" s="1">
        <v>1962</v>
      </c>
      <c r="K1136" t="s">
        <v>18350</v>
      </c>
      <c r="L1136" t="s">
        <v>18351</v>
      </c>
    </row>
    <row r="1137" spans="1:12">
      <c r="A1137" t="s">
        <v>18355</v>
      </c>
      <c r="B1137" s="1" t="s">
        <v>18356</v>
      </c>
      <c r="E1137">
        <v>1</v>
      </c>
      <c r="G1137" t="str">
        <f>HYPERLINK("http://babel.hathitrust.org/cgi/pt?id=mdp.39015030717980")</f>
        <v>http://babel.hathitrust.org/cgi/pt?id=mdp.39015030717980</v>
      </c>
      <c r="H1137" t="str">
        <f>HYPERLINK("http://catalog.hathitrust.org/Record/001188402")</f>
        <v>http://catalog.hathitrust.org/Record/001188402</v>
      </c>
      <c r="J1137" s="1">
        <v>1909</v>
      </c>
      <c r="K1137" t="s">
        <v>18357</v>
      </c>
      <c r="L1137" t="s">
        <v>18982</v>
      </c>
    </row>
    <row r="1138" spans="1:12">
      <c r="A1138" t="s">
        <v>18358</v>
      </c>
      <c r="B1138" s="1" t="s">
        <v>18359</v>
      </c>
      <c r="F1138">
        <v>1</v>
      </c>
      <c r="G1138" t="str">
        <f>HYPERLINK("http://babel.hathitrust.org/cgi/pt?id=mdp.39015030042447")</f>
        <v>http://babel.hathitrust.org/cgi/pt?id=mdp.39015030042447</v>
      </c>
      <c r="H1138" t="str">
        <f>HYPERLINK("http://catalog.hathitrust.org/Record/001188577")</f>
        <v>http://catalog.hathitrust.org/Record/001188577</v>
      </c>
      <c r="J1138" s="1">
        <v>1922</v>
      </c>
      <c r="K1138" t="s">
        <v>18360</v>
      </c>
      <c r="L1138" t="s">
        <v>18361</v>
      </c>
    </row>
    <row r="1139" spans="1:12">
      <c r="A1139" t="s">
        <v>18362</v>
      </c>
      <c r="B1139" s="1" t="s">
        <v>18359</v>
      </c>
      <c r="F1139">
        <v>1</v>
      </c>
      <c r="G1139" t="str">
        <f>HYPERLINK("http://babel.hathitrust.org/cgi/pt?id=uc2.ark:/13960/t8x924q1s")</f>
        <v>http://babel.hathitrust.org/cgi/pt?id=uc2.ark:/13960/t8x924q1s</v>
      </c>
      <c r="H1139" t="str">
        <f>HYPERLINK("http://catalog.hathitrust.org/Record/001188577")</f>
        <v>http://catalog.hathitrust.org/Record/001188577</v>
      </c>
      <c r="J1139" s="1">
        <v>1922</v>
      </c>
      <c r="K1139" t="s">
        <v>18360</v>
      </c>
      <c r="L1139" t="s">
        <v>18361</v>
      </c>
    </row>
    <row r="1140" spans="1:12">
      <c r="A1140" t="s">
        <v>18363</v>
      </c>
      <c r="B1140" s="1" t="s">
        <v>18364</v>
      </c>
      <c r="F1140">
        <v>1</v>
      </c>
      <c r="G1140" t="str">
        <f>HYPERLINK("http://babel.hathitrust.org/cgi/pt?id=mdp.39015010349713")</f>
        <v>http://babel.hathitrust.org/cgi/pt?id=mdp.39015010349713</v>
      </c>
      <c r="H1140" t="str">
        <f>HYPERLINK("http://catalog.hathitrust.org/Record/001188942")</f>
        <v>http://catalog.hathitrust.org/Record/001188942</v>
      </c>
      <c r="J1140" s="1">
        <v>1922</v>
      </c>
      <c r="K1140" t="s">
        <v>18365</v>
      </c>
      <c r="L1140" t="s">
        <v>18366</v>
      </c>
    </row>
    <row r="1141" spans="1:12">
      <c r="A1141" t="s">
        <v>18367</v>
      </c>
      <c r="B1141" s="1" t="s">
        <v>18368</v>
      </c>
      <c r="F1141">
        <v>1</v>
      </c>
      <c r="G1141" t="str">
        <f>HYPERLINK("http://babel.hathitrust.org/cgi/pt?id=mdp.39015005324457")</f>
        <v>http://babel.hathitrust.org/cgi/pt?id=mdp.39015005324457</v>
      </c>
      <c r="H1141" t="str">
        <f>HYPERLINK("http://catalog.hathitrust.org/Record/001189128")</f>
        <v>http://catalog.hathitrust.org/Record/001189128</v>
      </c>
      <c r="J1141" s="1">
        <v>1903</v>
      </c>
      <c r="K1141" t="s">
        <v>18369</v>
      </c>
      <c r="L1141" t="s">
        <v>18370</v>
      </c>
    </row>
    <row r="1142" spans="1:12">
      <c r="A1142" t="s">
        <v>18371</v>
      </c>
      <c r="B1142" s="1" t="s">
        <v>18368</v>
      </c>
      <c r="F1142">
        <v>1</v>
      </c>
      <c r="G1142" t="str">
        <f>HYPERLINK("http://babel.hathitrust.org/cgi/pt?id=uc1.b4107789")</f>
        <v>http://babel.hathitrust.org/cgi/pt?id=uc1.b4107789</v>
      </c>
      <c r="H1142" t="str">
        <f>HYPERLINK("http://catalog.hathitrust.org/Record/001189128")</f>
        <v>http://catalog.hathitrust.org/Record/001189128</v>
      </c>
      <c r="J1142" s="1">
        <v>1903</v>
      </c>
      <c r="K1142" t="s">
        <v>18369</v>
      </c>
      <c r="L1142" t="s">
        <v>18370</v>
      </c>
    </row>
    <row r="1143" spans="1:12">
      <c r="A1143" t="s">
        <v>18372</v>
      </c>
      <c r="B1143" s="1" t="s">
        <v>18368</v>
      </c>
      <c r="F1143">
        <v>1</v>
      </c>
      <c r="G1143" t="str">
        <f>HYPERLINK("http://babel.hathitrust.org/cgi/pt?id=uc2.ark:/13960/t6k07824h")</f>
        <v>http://babel.hathitrust.org/cgi/pt?id=uc2.ark:/13960/t6k07824h</v>
      </c>
      <c r="H1143" t="str">
        <f>HYPERLINK("http://catalog.hathitrust.org/Record/001189128")</f>
        <v>http://catalog.hathitrust.org/Record/001189128</v>
      </c>
      <c r="J1143" s="1">
        <v>1903</v>
      </c>
      <c r="K1143" t="s">
        <v>18369</v>
      </c>
      <c r="L1143" t="s">
        <v>18370</v>
      </c>
    </row>
    <row r="1144" spans="1:12">
      <c r="A1144" t="s">
        <v>18373</v>
      </c>
      <c r="B1144" s="1" t="s">
        <v>18374</v>
      </c>
      <c r="F1144">
        <v>1</v>
      </c>
      <c r="G1144" t="str">
        <f>HYPERLINK("http://babel.hathitrust.org/cgi/pt?id=mdp.39015002669391")</f>
        <v>http://babel.hathitrust.org/cgi/pt?id=mdp.39015002669391</v>
      </c>
      <c r="H1144" t="str">
        <f>HYPERLINK("http://catalog.hathitrust.org/Record/001189376")</f>
        <v>http://catalog.hathitrust.org/Record/001189376</v>
      </c>
      <c r="J1144" s="1">
        <v>1916</v>
      </c>
      <c r="K1144" t="s">
        <v>18375</v>
      </c>
      <c r="L1144" t="s">
        <v>18376</v>
      </c>
    </row>
    <row r="1145" spans="1:12">
      <c r="A1145" t="s">
        <v>18377</v>
      </c>
      <c r="B1145" s="1" t="s">
        <v>18374</v>
      </c>
      <c r="F1145">
        <v>1</v>
      </c>
      <c r="G1145" t="str">
        <f>HYPERLINK("http://babel.hathitrust.org/cgi/pt?id=nyp.33433075922678")</f>
        <v>http://babel.hathitrust.org/cgi/pt?id=nyp.33433075922678</v>
      </c>
      <c r="H1145" t="str">
        <f>HYPERLINK("http://catalog.hathitrust.org/Record/001189376")</f>
        <v>http://catalog.hathitrust.org/Record/001189376</v>
      </c>
      <c r="J1145" s="1">
        <v>1916</v>
      </c>
      <c r="K1145" t="s">
        <v>18375</v>
      </c>
      <c r="L1145" t="s">
        <v>18376</v>
      </c>
    </row>
    <row r="1146" spans="1:12">
      <c r="A1146" t="s">
        <v>18378</v>
      </c>
      <c r="B1146" s="1" t="s">
        <v>18379</v>
      </c>
      <c r="F1146">
        <v>1</v>
      </c>
      <c r="G1146" t="str">
        <f>HYPERLINK("http://babel.hathitrust.org/cgi/pt?id=mdp.39015019082190")</f>
        <v>http://babel.hathitrust.org/cgi/pt?id=mdp.39015019082190</v>
      </c>
      <c r="H1146" t="str">
        <f>HYPERLINK("http://catalog.hathitrust.org/Record/001189589")</f>
        <v>http://catalog.hathitrust.org/Record/001189589</v>
      </c>
      <c r="J1146" s="1">
        <v>1913</v>
      </c>
      <c r="K1146" t="s">
        <v>18380</v>
      </c>
      <c r="L1146" t="s">
        <v>18381</v>
      </c>
    </row>
    <row r="1147" spans="1:12">
      <c r="A1147" t="s">
        <v>18382</v>
      </c>
      <c r="B1147" s="1" t="s">
        <v>18383</v>
      </c>
      <c r="F1147">
        <v>1</v>
      </c>
      <c r="G1147" t="str">
        <f>HYPERLINK("http://babel.hathitrust.org/cgi/pt?id=mdp.39015005147858")</f>
        <v>http://babel.hathitrust.org/cgi/pt?id=mdp.39015005147858</v>
      </c>
      <c r="H1147" t="str">
        <f>HYPERLINK("http://catalog.hathitrust.org/Record/001193575")</f>
        <v>http://catalog.hathitrust.org/Record/001193575</v>
      </c>
      <c r="J1147" s="1">
        <v>1913</v>
      </c>
      <c r="K1147" t="s">
        <v>18384</v>
      </c>
      <c r="L1147" t="s">
        <v>18385</v>
      </c>
    </row>
    <row r="1148" spans="1:12">
      <c r="A1148" t="s">
        <v>18386</v>
      </c>
      <c r="B1148" s="1" t="s">
        <v>18383</v>
      </c>
      <c r="F1148">
        <v>1</v>
      </c>
      <c r="G1148" t="str">
        <f>HYPERLINK("http://babel.hathitrust.org/cgi/pt?id=nyp.33433069256331")</f>
        <v>http://babel.hathitrust.org/cgi/pt?id=nyp.33433069256331</v>
      </c>
      <c r="H1148" t="str">
        <f>HYPERLINK("http://catalog.hathitrust.org/Record/001193575")</f>
        <v>http://catalog.hathitrust.org/Record/001193575</v>
      </c>
      <c r="J1148" s="1">
        <v>1913</v>
      </c>
      <c r="K1148" t="s">
        <v>18384</v>
      </c>
      <c r="L1148" t="s">
        <v>18385</v>
      </c>
    </row>
    <row r="1149" spans="1:12">
      <c r="A1149" t="s">
        <v>18387</v>
      </c>
      <c r="B1149" s="1" t="s">
        <v>18383</v>
      </c>
      <c r="F1149">
        <v>1</v>
      </c>
      <c r="G1149" t="str">
        <f>HYPERLINK("http://babel.hathitrust.org/cgi/pt?id=uc1.32106001572517")</f>
        <v>http://babel.hathitrust.org/cgi/pt?id=uc1.32106001572517</v>
      </c>
      <c r="H1149" t="str">
        <f>HYPERLINK("http://catalog.hathitrust.org/Record/001193575")</f>
        <v>http://catalog.hathitrust.org/Record/001193575</v>
      </c>
      <c r="J1149" s="1">
        <v>1913</v>
      </c>
      <c r="K1149" t="s">
        <v>18384</v>
      </c>
      <c r="L1149" t="s">
        <v>18385</v>
      </c>
    </row>
    <row r="1150" spans="1:12">
      <c r="A1150" t="s">
        <v>18388</v>
      </c>
      <c r="B1150" s="1" t="s">
        <v>18389</v>
      </c>
      <c r="F1150">
        <v>1</v>
      </c>
      <c r="G1150" t="str">
        <f>HYPERLINK("http://babel.hathitrust.org/cgi/pt?id=mdp.39015003888735")</f>
        <v>http://babel.hathitrust.org/cgi/pt?id=mdp.39015003888735</v>
      </c>
      <c r="H1150" t="str">
        <f>HYPERLINK("http://catalog.hathitrust.org/Record/001193576")</f>
        <v>http://catalog.hathitrust.org/Record/001193576</v>
      </c>
      <c r="J1150" s="1">
        <v>1932</v>
      </c>
      <c r="K1150" t="s">
        <v>18390</v>
      </c>
      <c r="L1150" t="s">
        <v>18391</v>
      </c>
    </row>
    <row r="1151" spans="1:12">
      <c r="A1151" t="s">
        <v>18392</v>
      </c>
      <c r="B1151" s="1" t="s">
        <v>18389</v>
      </c>
      <c r="F1151">
        <v>1</v>
      </c>
      <c r="G1151" t="str">
        <f>HYPERLINK("http://babel.hathitrust.org/cgi/pt?id=mdp.39015010300955")</f>
        <v>http://babel.hathitrust.org/cgi/pt?id=mdp.39015010300955</v>
      </c>
      <c r="H1151" t="str">
        <f>HYPERLINK("http://catalog.hathitrust.org/Record/001193576")</f>
        <v>http://catalog.hathitrust.org/Record/001193576</v>
      </c>
      <c r="J1151" s="1">
        <v>1932</v>
      </c>
      <c r="K1151" t="s">
        <v>18390</v>
      </c>
      <c r="L1151" t="s">
        <v>18391</v>
      </c>
    </row>
    <row r="1152" spans="1:12">
      <c r="A1152" t="s">
        <v>18393</v>
      </c>
      <c r="B1152" s="1" t="s">
        <v>18389</v>
      </c>
      <c r="F1152">
        <v>1</v>
      </c>
      <c r="G1152" t="str">
        <f>HYPERLINK("http://babel.hathitrust.org/cgi/pt?id=uc1.$b627046")</f>
        <v>http://babel.hathitrust.org/cgi/pt?id=uc1.$b627046</v>
      </c>
      <c r="H1152" t="str">
        <f>HYPERLINK("http://catalog.hathitrust.org/Record/001193576")</f>
        <v>http://catalog.hathitrust.org/Record/001193576</v>
      </c>
      <c r="J1152" s="1">
        <v>1932</v>
      </c>
      <c r="K1152" t="s">
        <v>18390</v>
      </c>
      <c r="L1152" t="s">
        <v>18391</v>
      </c>
    </row>
    <row r="1153" spans="1:12">
      <c r="A1153" t="s">
        <v>18394</v>
      </c>
      <c r="B1153" s="1" t="s">
        <v>18395</v>
      </c>
      <c r="F1153">
        <v>1</v>
      </c>
      <c r="G1153" t="str">
        <f>HYPERLINK("http://babel.hathitrust.org/cgi/pt?id=mdp.39015014603669")</f>
        <v>http://babel.hathitrust.org/cgi/pt?id=mdp.39015014603669</v>
      </c>
      <c r="H1153" t="str">
        <f>HYPERLINK("http://catalog.hathitrust.org/Record/001193586")</f>
        <v>http://catalog.hathitrust.org/Record/001193586</v>
      </c>
      <c r="J1153" s="1">
        <v>1961</v>
      </c>
      <c r="K1153" t="s">
        <v>18396</v>
      </c>
      <c r="L1153" t="s">
        <v>18397</v>
      </c>
    </row>
    <row r="1154" spans="1:12">
      <c r="A1154" t="s">
        <v>18398</v>
      </c>
      <c r="B1154" s="1" t="s">
        <v>18399</v>
      </c>
      <c r="F1154">
        <v>1</v>
      </c>
      <c r="G1154" t="str">
        <f>HYPERLINK("http://babel.hathitrust.org/cgi/pt?id=uc1.32106001573507")</f>
        <v>http://babel.hathitrust.org/cgi/pt?id=uc1.32106001573507</v>
      </c>
      <c r="H1154" t="str">
        <f>HYPERLINK("http://catalog.hathitrust.org/Record/001193589")</f>
        <v>http://catalog.hathitrust.org/Record/001193589</v>
      </c>
      <c r="J1154" s="1">
        <v>1957</v>
      </c>
      <c r="K1154" t="s">
        <v>18261</v>
      </c>
      <c r="L1154" t="s">
        <v>18262</v>
      </c>
    </row>
    <row r="1155" spans="1:12">
      <c r="A1155" t="s">
        <v>18263</v>
      </c>
      <c r="B1155" s="1" t="s">
        <v>18264</v>
      </c>
      <c r="F1155">
        <v>1</v>
      </c>
      <c r="G1155" t="str">
        <f>HYPERLINK("http://babel.hathitrust.org/cgi/pt?id=mdp.39015026957137")</f>
        <v>http://babel.hathitrust.org/cgi/pt?id=mdp.39015026957137</v>
      </c>
      <c r="H1155" t="str">
        <f t="shared" ref="H1155:H1160" si="24">HYPERLINK("http://catalog.hathitrust.org/Record/001193590")</f>
        <v>http://catalog.hathitrust.org/Record/001193590</v>
      </c>
      <c r="J1155" s="1">
        <v>1904</v>
      </c>
      <c r="K1155" t="s">
        <v>18265</v>
      </c>
      <c r="L1155" t="s">
        <v>18266</v>
      </c>
    </row>
    <row r="1156" spans="1:12">
      <c r="A1156" t="s">
        <v>18267</v>
      </c>
      <c r="B1156" s="1" t="s">
        <v>18264</v>
      </c>
      <c r="F1156">
        <v>1</v>
      </c>
      <c r="G1156" t="str">
        <f>HYPERLINK("http://babel.hathitrust.org/cgi/pt?id=mdp.39015030759438")</f>
        <v>http://babel.hathitrust.org/cgi/pt?id=mdp.39015030759438</v>
      </c>
      <c r="H1156" t="str">
        <f t="shared" si="24"/>
        <v>http://catalog.hathitrust.org/Record/001193590</v>
      </c>
      <c r="J1156" s="1">
        <v>1904</v>
      </c>
      <c r="K1156" t="s">
        <v>18265</v>
      </c>
      <c r="L1156" t="s">
        <v>18266</v>
      </c>
    </row>
    <row r="1157" spans="1:12">
      <c r="A1157" t="s">
        <v>18268</v>
      </c>
      <c r="B1157" s="1" t="s">
        <v>18264</v>
      </c>
      <c r="F1157">
        <v>1</v>
      </c>
      <c r="G1157" t="str">
        <f>HYPERLINK("http://babel.hathitrust.org/cgi/pt?id=nyp.33433069257073")</f>
        <v>http://babel.hathitrust.org/cgi/pt?id=nyp.33433069257073</v>
      </c>
      <c r="H1157" t="str">
        <f t="shared" si="24"/>
        <v>http://catalog.hathitrust.org/Record/001193590</v>
      </c>
      <c r="J1157" s="1">
        <v>1904</v>
      </c>
      <c r="K1157" t="s">
        <v>18265</v>
      </c>
      <c r="L1157" t="s">
        <v>18266</v>
      </c>
    </row>
    <row r="1158" spans="1:12">
      <c r="A1158" t="s">
        <v>18269</v>
      </c>
      <c r="B1158" s="1" t="s">
        <v>18264</v>
      </c>
      <c r="F1158">
        <v>1</v>
      </c>
      <c r="G1158" t="str">
        <f>HYPERLINK("http://babel.hathitrust.org/cgi/pt?id=uc1.b258150")</f>
        <v>http://babel.hathitrust.org/cgi/pt?id=uc1.b258150</v>
      </c>
      <c r="H1158" t="str">
        <f t="shared" si="24"/>
        <v>http://catalog.hathitrust.org/Record/001193590</v>
      </c>
      <c r="J1158" s="1">
        <v>1904</v>
      </c>
      <c r="K1158" t="s">
        <v>18265</v>
      </c>
      <c r="L1158" t="s">
        <v>18266</v>
      </c>
    </row>
    <row r="1159" spans="1:12">
      <c r="A1159" t="s">
        <v>18270</v>
      </c>
      <c r="B1159" s="1" t="s">
        <v>18264</v>
      </c>
      <c r="F1159">
        <v>1</v>
      </c>
      <c r="G1159" t="str">
        <f>HYPERLINK("http://babel.hathitrust.org/cgi/pt?id=uc2.ark:/13960/t0pr7zv5f")</f>
        <v>http://babel.hathitrust.org/cgi/pt?id=uc2.ark:/13960/t0pr7zv5f</v>
      </c>
      <c r="H1159" t="str">
        <f t="shared" si="24"/>
        <v>http://catalog.hathitrust.org/Record/001193590</v>
      </c>
      <c r="J1159" s="1">
        <v>1904</v>
      </c>
      <c r="K1159" t="s">
        <v>18265</v>
      </c>
      <c r="L1159" t="s">
        <v>18266</v>
      </c>
    </row>
    <row r="1160" spans="1:12">
      <c r="A1160" t="s">
        <v>18271</v>
      </c>
      <c r="B1160" s="1" t="s">
        <v>18264</v>
      </c>
      <c r="F1160">
        <v>1</v>
      </c>
      <c r="G1160" t="str">
        <f>HYPERLINK("http://babel.hathitrust.org/cgi/pt?id=uc2.ark:/13960/t6c24tk4j")</f>
        <v>http://babel.hathitrust.org/cgi/pt?id=uc2.ark:/13960/t6c24tk4j</v>
      </c>
      <c r="H1160" t="str">
        <f t="shared" si="24"/>
        <v>http://catalog.hathitrust.org/Record/001193590</v>
      </c>
      <c r="J1160" s="1">
        <v>1904</v>
      </c>
      <c r="K1160" t="s">
        <v>18265</v>
      </c>
      <c r="L1160" t="s">
        <v>18266</v>
      </c>
    </row>
    <row r="1161" spans="1:12">
      <c r="A1161" t="s">
        <v>18272</v>
      </c>
      <c r="B1161" s="1" t="s">
        <v>18273</v>
      </c>
      <c r="F1161">
        <v>1</v>
      </c>
      <c r="G1161" t="str">
        <f>HYPERLINK("http://babel.hathitrust.org/cgi/pt?id=mdp.39015026844616")</f>
        <v>http://babel.hathitrust.org/cgi/pt?id=mdp.39015026844616</v>
      </c>
      <c r="H1161" t="str">
        <f>HYPERLINK("http://catalog.hathitrust.org/Record/001193594")</f>
        <v>http://catalog.hathitrust.org/Record/001193594</v>
      </c>
      <c r="J1161" s="1">
        <v>1932</v>
      </c>
      <c r="K1161" t="s">
        <v>18274</v>
      </c>
      <c r="L1161" t="s">
        <v>18275</v>
      </c>
    </row>
    <row r="1162" spans="1:12">
      <c r="A1162" t="s">
        <v>18276</v>
      </c>
      <c r="B1162" s="1" t="s">
        <v>18273</v>
      </c>
      <c r="F1162">
        <v>1</v>
      </c>
      <c r="G1162" t="str">
        <f>HYPERLINK("http://babel.hathitrust.org/cgi/pt?id=uc1.b3140688")</f>
        <v>http://babel.hathitrust.org/cgi/pt?id=uc1.b3140688</v>
      </c>
      <c r="H1162" t="str">
        <f>HYPERLINK("http://catalog.hathitrust.org/Record/001193594")</f>
        <v>http://catalog.hathitrust.org/Record/001193594</v>
      </c>
      <c r="J1162" s="1">
        <v>1932</v>
      </c>
      <c r="K1162" t="s">
        <v>18274</v>
      </c>
      <c r="L1162" t="s">
        <v>18275</v>
      </c>
    </row>
    <row r="1163" spans="1:12">
      <c r="A1163" t="s">
        <v>18277</v>
      </c>
      <c r="B1163" s="1" t="s">
        <v>18278</v>
      </c>
      <c r="F1163">
        <v>1</v>
      </c>
      <c r="G1163" t="str">
        <f>HYPERLINK("http://babel.hathitrust.org/cgi/pt?id=mdp.39015019108300")</f>
        <v>http://babel.hathitrust.org/cgi/pt?id=mdp.39015019108300</v>
      </c>
      <c r="H1163" t="str">
        <f>HYPERLINK("http://catalog.hathitrust.org/Record/001193606")</f>
        <v>http://catalog.hathitrust.org/Record/001193606</v>
      </c>
      <c r="J1163" s="1">
        <v>1932</v>
      </c>
      <c r="K1163" t="s">
        <v>18279</v>
      </c>
      <c r="L1163" t="s">
        <v>18280</v>
      </c>
    </row>
    <row r="1164" spans="1:12">
      <c r="A1164" t="s">
        <v>18281</v>
      </c>
      <c r="B1164" s="1" t="s">
        <v>18278</v>
      </c>
      <c r="F1164">
        <v>1</v>
      </c>
      <c r="G1164" t="str">
        <f>HYPERLINK("http://babel.hathitrust.org/cgi/pt?id=mdp.39015065158308")</f>
        <v>http://babel.hathitrust.org/cgi/pt?id=mdp.39015065158308</v>
      </c>
      <c r="H1164" t="str">
        <f>HYPERLINK("http://catalog.hathitrust.org/Record/001193606")</f>
        <v>http://catalog.hathitrust.org/Record/001193606</v>
      </c>
      <c r="J1164" s="1">
        <v>1932</v>
      </c>
      <c r="K1164" t="s">
        <v>18279</v>
      </c>
      <c r="L1164" t="s">
        <v>18280</v>
      </c>
    </row>
    <row r="1165" spans="1:12">
      <c r="A1165" t="s">
        <v>18282</v>
      </c>
      <c r="B1165" s="1" t="s">
        <v>18283</v>
      </c>
      <c r="E1165">
        <v>1</v>
      </c>
      <c r="F1165">
        <v>1</v>
      </c>
      <c r="G1165" t="str">
        <f>HYPERLINK("http://babel.hathitrust.org/cgi/pt?id=mdp.39015005179513")</f>
        <v>http://babel.hathitrust.org/cgi/pt?id=mdp.39015005179513</v>
      </c>
      <c r="H1165" t="str">
        <f>HYPERLINK("http://catalog.hathitrust.org/Record/001193609")</f>
        <v>http://catalog.hathitrust.org/Record/001193609</v>
      </c>
      <c r="J1165" s="1">
        <v>1910</v>
      </c>
      <c r="K1165" t="s">
        <v>18284</v>
      </c>
      <c r="L1165" t="s">
        <v>18285</v>
      </c>
    </row>
    <row r="1166" spans="1:12">
      <c r="A1166" t="s">
        <v>18286</v>
      </c>
      <c r="B1166" s="1" t="s">
        <v>18287</v>
      </c>
      <c r="F1166">
        <v>1</v>
      </c>
      <c r="G1166" t="str">
        <f>HYPERLINK("http://babel.hathitrust.org/cgi/pt?id=mdp.39015051372293")</f>
        <v>http://babel.hathitrust.org/cgi/pt?id=mdp.39015051372293</v>
      </c>
      <c r="H1166" t="str">
        <f>HYPERLINK("http://catalog.hathitrust.org/Record/001193610")</f>
        <v>http://catalog.hathitrust.org/Record/001193610</v>
      </c>
      <c r="J1166" s="1">
        <v>1895</v>
      </c>
      <c r="K1166" t="s">
        <v>18288</v>
      </c>
      <c r="L1166" t="s">
        <v>18289</v>
      </c>
    </row>
    <row r="1167" spans="1:12">
      <c r="A1167" t="s">
        <v>18290</v>
      </c>
      <c r="B1167" s="1" t="s">
        <v>18291</v>
      </c>
      <c r="F1167">
        <v>1</v>
      </c>
      <c r="G1167" t="str">
        <f>HYPERLINK("http://babel.hathitrust.org/cgi/pt?id=mdp.39015067253230")</f>
        <v>http://babel.hathitrust.org/cgi/pt?id=mdp.39015067253230</v>
      </c>
      <c r="H1167" t="str">
        <f>HYPERLINK("http://catalog.hathitrust.org/Record/001193611")</f>
        <v>http://catalog.hathitrust.org/Record/001193611</v>
      </c>
      <c r="J1167" s="1">
        <v>1936</v>
      </c>
      <c r="K1167" t="s">
        <v>18292</v>
      </c>
      <c r="L1167" t="s">
        <v>18293</v>
      </c>
    </row>
    <row r="1168" spans="1:12">
      <c r="A1168" t="s">
        <v>18294</v>
      </c>
      <c r="B1168" s="1" t="s">
        <v>18291</v>
      </c>
      <c r="F1168">
        <v>1</v>
      </c>
      <c r="G1168" t="str">
        <f>HYPERLINK("http://babel.hathitrust.org/cgi/pt?id=uc1.32106007512731")</f>
        <v>http://babel.hathitrust.org/cgi/pt?id=uc1.32106007512731</v>
      </c>
      <c r="H1168" t="str">
        <f>HYPERLINK("http://catalog.hathitrust.org/Record/001193611")</f>
        <v>http://catalog.hathitrust.org/Record/001193611</v>
      </c>
      <c r="J1168" s="1">
        <v>1936</v>
      </c>
      <c r="K1168" t="s">
        <v>18292</v>
      </c>
      <c r="L1168" t="s">
        <v>18293</v>
      </c>
    </row>
    <row r="1169" spans="1:12">
      <c r="A1169" t="s">
        <v>18295</v>
      </c>
      <c r="B1169" s="1" t="s">
        <v>18296</v>
      </c>
      <c r="F1169">
        <v>1</v>
      </c>
      <c r="G1169" t="str">
        <f>HYPERLINK("http://babel.hathitrust.org/cgi/pt?id=mdp.39015031030623")</f>
        <v>http://babel.hathitrust.org/cgi/pt?id=mdp.39015031030623</v>
      </c>
      <c r="H1169" t="str">
        <f>HYPERLINK("http://catalog.hathitrust.org/Record/001193612")</f>
        <v>http://catalog.hathitrust.org/Record/001193612</v>
      </c>
      <c r="J1169" s="1">
        <v>1882</v>
      </c>
      <c r="K1169" t="s">
        <v>18297</v>
      </c>
      <c r="L1169" t="s">
        <v>20518</v>
      </c>
    </row>
    <row r="1170" spans="1:12">
      <c r="A1170" t="s">
        <v>18298</v>
      </c>
      <c r="B1170" s="1" t="s">
        <v>18296</v>
      </c>
      <c r="F1170">
        <v>1</v>
      </c>
      <c r="G1170" t="str">
        <f>HYPERLINK("http://babel.hathitrust.org/cgi/pt?id=nyp.33433081968442")</f>
        <v>http://babel.hathitrust.org/cgi/pt?id=nyp.33433081968442</v>
      </c>
      <c r="H1170" t="str">
        <f>HYPERLINK("http://catalog.hathitrust.org/Record/001193612")</f>
        <v>http://catalog.hathitrust.org/Record/001193612</v>
      </c>
      <c r="J1170" s="1">
        <v>1882</v>
      </c>
      <c r="K1170" t="s">
        <v>18297</v>
      </c>
      <c r="L1170" t="s">
        <v>20518</v>
      </c>
    </row>
    <row r="1171" spans="1:12">
      <c r="A1171" t="s">
        <v>18299</v>
      </c>
      <c r="B1171" s="1" t="s">
        <v>18296</v>
      </c>
      <c r="F1171">
        <v>1</v>
      </c>
      <c r="G1171" t="str">
        <f>HYPERLINK("http://babel.hathitrust.org/cgi/pt?id=uc1.b4093329")</f>
        <v>http://babel.hathitrust.org/cgi/pt?id=uc1.b4093329</v>
      </c>
      <c r="H1171" t="str">
        <f>HYPERLINK("http://catalog.hathitrust.org/Record/001193612")</f>
        <v>http://catalog.hathitrust.org/Record/001193612</v>
      </c>
      <c r="J1171" s="1">
        <v>1882</v>
      </c>
      <c r="K1171" t="s">
        <v>18297</v>
      </c>
      <c r="L1171" t="s">
        <v>20518</v>
      </c>
    </row>
    <row r="1172" spans="1:12">
      <c r="A1172" t="s">
        <v>18300</v>
      </c>
      <c r="B1172" s="1" t="s">
        <v>18296</v>
      </c>
      <c r="F1172">
        <v>1</v>
      </c>
      <c r="G1172" t="str">
        <f>HYPERLINK("http://babel.hathitrust.org/cgi/pt?id=uc2.ark:/13960/t74t6h092")</f>
        <v>http://babel.hathitrust.org/cgi/pt?id=uc2.ark:/13960/t74t6h092</v>
      </c>
      <c r="H1172" t="str">
        <f>HYPERLINK("http://catalog.hathitrust.org/Record/001193612")</f>
        <v>http://catalog.hathitrust.org/Record/001193612</v>
      </c>
      <c r="J1172" s="1">
        <v>1882</v>
      </c>
      <c r="K1172" t="s">
        <v>18297</v>
      </c>
      <c r="L1172" t="s">
        <v>20518</v>
      </c>
    </row>
    <row r="1173" spans="1:12">
      <c r="A1173" t="s">
        <v>18301</v>
      </c>
      <c r="B1173" s="1" t="s">
        <v>18302</v>
      </c>
      <c r="F1173">
        <v>1</v>
      </c>
      <c r="G1173" t="str">
        <f>HYPERLINK("http://babel.hathitrust.org/cgi/pt?id=mdp.39015058560452")</f>
        <v>http://babel.hathitrust.org/cgi/pt?id=mdp.39015058560452</v>
      </c>
      <c r="H1173" t="str">
        <f>HYPERLINK("http://catalog.hathitrust.org/Record/001193690")</f>
        <v>http://catalog.hathitrust.org/Record/001193690</v>
      </c>
      <c r="J1173" s="1">
        <v>1897</v>
      </c>
      <c r="K1173" t="s">
        <v>18303</v>
      </c>
      <c r="L1173" t="s">
        <v>18304</v>
      </c>
    </row>
    <row r="1174" spans="1:12">
      <c r="A1174" t="s">
        <v>18305</v>
      </c>
      <c r="B1174" s="1" t="s">
        <v>18306</v>
      </c>
      <c r="F1174">
        <v>1</v>
      </c>
      <c r="G1174" t="str">
        <f>HYPERLINK("http://babel.hathitrust.org/cgi/pt?id=mdp.39015077909227")</f>
        <v>http://babel.hathitrust.org/cgi/pt?id=mdp.39015077909227</v>
      </c>
      <c r="H1174" t="str">
        <f>HYPERLINK("http://catalog.hathitrust.org/Record/001198254")</f>
        <v>http://catalog.hathitrust.org/Record/001198254</v>
      </c>
      <c r="J1174" s="1">
        <v>1922</v>
      </c>
      <c r="K1174" t="s">
        <v>18307</v>
      </c>
      <c r="L1174" t="s">
        <v>18308</v>
      </c>
    </row>
    <row r="1175" spans="1:12">
      <c r="A1175" t="s">
        <v>18309</v>
      </c>
      <c r="B1175" s="1" t="s">
        <v>18306</v>
      </c>
      <c r="F1175">
        <v>1</v>
      </c>
      <c r="G1175" t="str">
        <f>HYPERLINK("http://babel.hathitrust.org/cgi/pt?id=njp.32101073050625")</f>
        <v>http://babel.hathitrust.org/cgi/pt?id=njp.32101073050625</v>
      </c>
      <c r="H1175" t="str">
        <f>HYPERLINK("http://catalog.hathitrust.org/Record/001198254")</f>
        <v>http://catalog.hathitrust.org/Record/001198254</v>
      </c>
      <c r="J1175" s="1">
        <v>1922</v>
      </c>
      <c r="K1175" t="s">
        <v>18307</v>
      </c>
      <c r="L1175" t="s">
        <v>18308</v>
      </c>
    </row>
    <row r="1176" spans="1:12">
      <c r="A1176" t="s">
        <v>18310</v>
      </c>
      <c r="B1176" s="1" t="s">
        <v>18306</v>
      </c>
      <c r="F1176">
        <v>1</v>
      </c>
      <c r="G1176" t="str">
        <f>HYPERLINK("http://babel.hathitrust.org/cgi/pt?id=uc1.b4089130")</f>
        <v>http://babel.hathitrust.org/cgi/pt?id=uc1.b4089130</v>
      </c>
      <c r="H1176" t="str">
        <f>HYPERLINK("http://catalog.hathitrust.org/Record/001198254")</f>
        <v>http://catalog.hathitrust.org/Record/001198254</v>
      </c>
      <c r="J1176" s="1">
        <v>1922</v>
      </c>
      <c r="K1176" t="s">
        <v>18307</v>
      </c>
      <c r="L1176" t="s">
        <v>18308</v>
      </c>
    </row>
    <row r="1177" spans="1:12">
      <c r="A1177" t="s">
        <v>18311</v>
      </c>
      <c r="B1177" s="1" t="s">
        <v>18306</v>
      </c>
      <c r="F1177">
        <v>1</v>
      </c>
      <c r="G1177" t="str">
        <f>HYPERLINK("http://babel.hathitrust.org/cgi/pt?id=uc2.ark:/13960/t8jd51m5w")</f>
        <v>http://babel.hathitrust.org/cgi/pt?id=uc2.ark:/13960/t8jd51m5w</v>
      </c>
      <c r="H1177" t="str">
        <f>HYPERLINK("http://catalog.hathitrust.org/Record/001198254")</f>
        <v>http://catalog.hathitrust.org/Record/001198254</v>
      </c>
      <c r="J1177" s="1">
        <v>1922</v>
      </c>
      <c r="K1177" t="s">
        <v>18307</v>
      </c>
      <c r="L1177" t="s">
        <v>18308</v>
      </c>
    </row>
    <row r="1178" spans="1:12">
      <c r="A1178" t="s">
        <v>18312</v>
      </c>
      <c r="B1178" s="1" t="s">
        <v>18313</v>
      </c>
      <c r="F1178">
        <v>1</v>
      </c>
      <c r="G1178" t="str">
        <f>HYPERLINK("http://babel.hathitrust.org/cgi/pt?id=mdp.39015030045861")</f>
        <v>http://babel.hathitrust.org/cgi/pt?id=mdp.39015030045861</v>
      </c>
      <c r="H1178" t="str">
        <f>HYPERLINK("http://catalog.hathitrust.org/Record/001198530")</f>
        <v>http://catalog.hathitrust.org/Record/001198530</v>
      </c>
      <c r="J1178" s="1">
        <v>1918</v>
      </c>
      <c r="K1178" t="s">
        <v>18314</v>
      </c>
      <c r="L1178" t="s">
        <v>18315</v>
      </c>
    </row>
    <row r="1179" spans="1:12">
      <c r="A1179" t="s">
        <v>18316</v>
      </c>
      <c r="B1179" s="1" t="s">
        <v>18317</v>
      </c>
      <c r="F1179">
        <v>1</v>
      </c>
      <c r="G1179" t="str">
        <f>HYPERLINK("http://babel.hathitrust.org/cgi/pt?id=mdp.39015030045853")</f>
        <v>http://babel.hathitrust.org/cgi/pt?id=mdp.39015030045853</v>
      </c>
      <c r="H1179" t="str">
        <f>HYPERLINK("http://catalog.hathitrust.org/Record/001198531")</f>
        <v>http://catalog.hathitrust.org/Record/001198531</v>
      </c>
      <c r="J1179" s="1">
        <v>1918</v>
      </c>
      <c r="K1179" t="s">
        <v>18318</v>
      </c>
      <c r="L1179" t="s">
        <v>18315</v>
      </c>
    </row>
    <row r="1180" spans="1:12">
      <c r="A1180" t="s">
        <v>18319</v>
      </c>
      <c r="B1180" s="1" t="s">
        <v>18320</v>
      </c>
      <c r="F1180">
        <v>1</v>
      </c>
      <c r="G1180" t="str">
        <f>HYPERLINK("http://babel.hathitrust.org/cgi/pt?id=mdp.39015030061975")</f>
        <v>http://babel.hathitrust.org/cgi/pt?id=mdp.39015030061975</v>
      </c>
      <c r="H1180" t="str">
        <f>HYPERLINK("http://catalog.hathitrust.org/Record/001199671")</f>
        <v>http://catalog.hathitrust.org/Record/001199671</v>
      </c>
      <c r="J1180" s="1">
        <v>1897</v>
      </c>
      <c r="K1180" t="s">
        <v>18321</v>
      </c>
      <c r="L1180" t="s">
        <v>18322</v>
      </c>
    </row>
    <row r="1181" spans="1:12">
      <c r="A1181" t="s">
        <v>18323</v>
      </c>
      <c r="B1181" s="1" t="s">
        <v>18320</v>
      </c>
      <c r="F1181">
        <v>1</v>
      </c>
      <c r="G1181" t="str">
        <f>HYPERLINK("http://babel.hathitrust.org/cgi/pt?id=uc1.b4156511")</f>
        <v>http://babel.hathitrust.org/cgi/pt?id=uc1.b4156511</v>
      </c>
      <c r="H1181" t="str">
        <f>HYPERLINK("http://catalog.hathitrust.org/Record/001199671")</f>
        <v>http://catalog.hathitrust.org/Record/001199671</v>
      </c>
      <c r="J1181" s="1">
        <v>1897</v>
      </c>
      <c r="K1181" t="s">
        <v>18321</v>
      </c>
      <c r="L1181" t="s">
        <v>18322</v>
      </c>
    </row>
    <row r="1182" spans="1:12">
      <c r="A1182" t="s">
        <v>18324</v>
      </c>
      <c r="B1182" s="1" t="s">
        <v>18320</v>
      </c>
      <c r="F1182">
        <v>1</v>
      </c>
      <c r="G1182" t="str">
        <f>HYPERLINK("http://babel.hathitrust.org/cgi/pt?id=uc2.ark:/13960/t59c7451s")</f>
        <v>http://babel.hathitrust.org/cgi/pt?id=uc2.ark:/13960/t59c7451s</v>
      </c>
      <c r="H1182" t="str">
        <f>HYPERLINK("http://catalog.hathitrust.org/Record/001199671")</f>
        <v>http://catalog.hathitrust.org/Record/001199671</v>
      </c>
      <c r="J1182" s="1">
        <v>1897</v>
      </c>
      <c r="K1182" t="s">
        <v>18321</v>
      </c>
      <c r="L1182" t="s">
        <v>18322</v>
      </c>
    </row>
    <row r="1183" spans="1:12">
      <c r="A1183" t="s">
        <v>18325</v>
      </c>
      <c r="B1183" s="1" t="s">
        <v>18326</v>
      </c>
      <c r="F1183">
        <v>1</v>
      </c>
      <c r="G1183" t="str">
        <f>HYPERLINK("http://babel.hathitrust.org/cgi/pt?id=mdp.39015065544838")</f>
        <v>http://babel.hathitrust.org/cgi/pt?id=mdp.39015065544838</v>
      </c>
      <c r="H1183" t="str">
        <f>HYPERLINK("http://catalog.hathitrust.org/Record/001201182")</f>
        <v>http://catalog.hathitrust.org/Record/001201182</v>
      </c>
      <c r="J1183" s="1">
        <v>1912</v>
      </c>
      <c r="K1183" t="s">
        <v>18327</v>
      </c>
      <c r="L1183" t="s">
        <v>18328</v>
      </c>
    </row>
    <row r="1184" spans="1:12">
      <c r="A1184" t="s">
        <v>18329</v>
      </c>
      <c r="B1184" s="1" t="s">
        <v>18326</v>
      </c>
      <c r="F1184">
        <v>1</v>
      </c>
      <c r="G1184" t="str">
        <f>HYPERLINK("http://babel.hathitrust.org/cgi/pt?id=uc1.b309342")</f>
        <v>http://babel.hathitrust.org/cgi/pt?id=uc1.b309342</v>
      </c>
      <c r="H1184" t="str">
        <f>HYPERLINK("http://catalog.hathitrust.org/Record/001201182")</f>
        <v>http://catalog.hathitrust.org/Record/001201182</v>
      </c>
      <c r="J1184" s="1">
        <v>1912</v>
      </c>
      <c r="K1184" t="s">
        <v>18327</v>
      </c>
      <c r="L1184" t="s">
        <v>18328</v>
      </c>
    </row>
    <row r="1185" spans="1:12">
      <c r="A1185" t="s">
        <v>18330</v>
      </c>
      <c r="B1185" s="1" t="s">
        <v>18326</v>
      </c>
      <c r="F1185">
        <v>1</v>
      </c>
      <c r="G1185" t="str">
        <f>HYPERLINK("http://babel.hathitrust.org/cgi/pt?id=uc2.ark:/13960/t1fj2f51g")</f>
        <v>http://babel.hathitrust.org/cgi/pt?id=uc2.ark:/13960/t1fj2f51g</v>
      </c>
      <c r="H1185" t="str">
        <f>HYPERLINK("http://catalog.hathitrust.org/Record/001201182")</f>
        <v>http://catalog.hathitrust.org/Record/001201182</v>
      </c>
      <c r="J1185" s="1">
        <v>1912</v>
      </c>
      <c r="K1185" t="s">
        <v>18327</v>
      </c>
      <c r="L1185" t="s">
        <v>18328</v>
      </c>
    </row>
    <row r="1186" spans="1:12">
      <c r="A1186" t="s">
        <v>18331</v>
      </c>
      <c r="B1186" s="1" t="s">
        <v>18332</v>
      </c>
      <c r="F1186">
        <v>1</v>
      </c>
      <c r="G1186" t="str">
        <f>HYPERLINK("http://babel.hathitrust.org/cgi/pt?id=nyp.33433075910426")</f>
        <v>http://babel.hathitrust.org/cgi/pt?id=nyp.33433075910426</v>
      </c>
      <c r="H1186" t="str">
        <f>HYPERLINK("http://catalog.hathitrust.org/Record/001201266")</f>
        <v>http://catalog.hathitrust.org/Record/001201266</v>
      </c>
      <c r="J1186" s="1">
        <v>1913</v>
      </c>
      <c r="K1186" t="s">
        <v>18333</v>
      </c>
      <c r="L1186" t="s">
        <v>18334</v>
      </c>
    </row>
    <row r="1187" spans="1:12">
      <c r="A1187" t="s">
        <v>18194</v>
      </c>
      <c r="B1187" s="1" t="s">
        <v>18332</v>
      </c>
      <c r="F1187">
        <v>1</v>
      </c>
      <c r="G1187" t="str">
        <f>HYPERLINK("http://babel.hathitrust.org/cgi/pt?id=uc1.b256919")</f>
        <v>http://babel.hathitrust.org/cgi/pt?id=uc1.b256919</v>
      </c>
      <c r="H1187" t="str">
        <f>HYPERLINK("http://catalog.hathitrust.org/Record/001201266")</f>
        <v>http://catalog.hathitrust.org/Record/001201266</v>
      </c>
      <c r="J1187" s="1">
        <v>1913</v>
      </c>
      <c r="K1187" t="s">
        <v>18333</v>
      </c>
      <c r="L1187" t="s">
        <v>18334</v>
      </c>
    </row>
    <row r="1188" spans="1:12">
      <c r="A1188" t="s">
        <v>18195</v>
      </c>
      <c r="B1188" s="1" t="s">
        <v>18332</v>
      </c>
      <c r="F1188">
        <v>1</v>
      </c>
      <c r="G1188" t="str">
        <f>HYPERLINK("http://babel.hathitrust.org/cgi/pt?id=uc2.ark:/13960/t5p849q56")</f>
        <v>http://babel.hathitrust.org/cgi/pt?id=uc2.ark:/13960/t5p849q56</v>
      </c>
      <c r="H1188" t="str">
        <f>HYPERLINK("http://catalog.hathitrust.org/Record/001201266")</f>
        <v>http://catalog.hathitrust.org/Record/001201266</v>
      </c>
      <c r="J1188" s="1">
        <v>1913</v>
      </c>
      <c r="K1188" t="s">
        <v>18333</v>
      </c>
      <c r="L1188" t="s">
        <v>18334</v>
      </c>
    </row>
    <row r="1189" spans="1:12">
      <c r="A1189" t="s">
        <v>18196</v>
      </c>
      <c r="B1189" s="1" t="s">
        <v>18197</v>
      </c>
      <c r="F1189">
        <v>1</v>
      </c>
      <c r="G1189" t="str">
        <f>HYPERLINK("http://babel.hathitrust.org/cgi/pt?id=uc1.b257526")</f>
        <v>http://babel.hathitrust.org/cgi/pt?id=uc1.b257526</v>
      </c>
      <c r="H1189" t="str">
        <f>HYPERLINK("http://catalog.hathitrust.org/Record/001201316")</f>
        <v>http://catalog.hathitrust.org/Record/001201316</v>
      </c>
      <c r="J1189" s="1">
        <v>1921</v>
      </c>
      <c r="K1189" t="s">
        <v>18198</v>
      </c>
      <c r="L1189" t="s">
        <v>18199</v>
      </c>
    </row>
    <row r="1190" spans="1:12">
      <c r="A1190" t="s">
        <v>18200</v>
      </c>
      <c r="B1190" s="1" t="s">
        <v>18197</v>
      </c>
      <c r="F1190">
        <v>1</v>
      </c>
      <c r="G1190" t="str">
        <f>HYPERLINK("http://babel.hathitrust.org/cgi/pt?id=uc2.ark:/13960/t9377904x")</f>
        <v>http://babel.hathitrust.org/cgi/pt?id=uc2.ark:/13960/t9377904x</v>
      </c>
      <c r="H1190" t="str">
        <f>HYPERLINK("http://catalog.hathitrust.org/Record/001201316")</f>
        <v>http://catalog.hathitrust.org/Record/001201316</v>
      </c>
      <c r="J1190" s="1">
        <v>1921</v>
      </c>
      <c r="K1190" t="s">
        <v>18198</v>
      </c>
      <c r="L1190" t="s">
        <v>18199</v>
      </c>
    </row>
    <row r="1191" spans="1:12">
      <c r="A1191" t="s">
        <v>18201</v>
      </c>
      <c r="B1191" s="1" t="s">
        <v>18202</v>
      </c>
      <c r="F1191">
        <v>1</v>
      </c>
      <c r="G1191" t="str">
        <f>HYPERLINK("http://babel.hathitrust.org/cgi/pt?id=hvd.32044102851128")</f>
        <v>http://babel.hathitrust.org/cgi/pt?id=hvd.32044102851128</v>
      </c>
      <c r="H1191" t="str">
        <f>HYPERLINK("http://catalog.hathitrust.org/Record/001201383")</f>
        <v>http://catalog.hathitrust.org/Record/001201383</v>
      </c>
      <c r="J1191" s="1">
        <v>1821</v>
      </c>
      <c r="K1191" t="s">
        <v>18203</v>
      </c>
      <c r="L1191" t="s">
        <v>18204</v>
      </c>
    </row>
    <row r="1192" spans="1:12">
      <c r="A1192" t="s">
        <v>18205</v>
      </c>
      <c r="B1192" s="1" t="s">
        <v>18202</v>
      </c>
      <c r="F1192">
        <v>1</v>
      </c>
      <c r="G1192" t="str">
        <f>HYPERLINK("http://babel.hathitrust.org/cgi/pt?id=mdp.39015065422621")</f>
        <v>http://babel.hathitrust.org/cgi/pt?id=mdp.39015065422621</v>
      </c>
      <c r="H1192" t="str">
        <f>HYPERLINK("http://catalog.hathitrust.org/Record/001201383")</f>
        <v>http://catalog.hathitrust.org/Record/001201383</v>
      </c>
      <c r="J1192" s="1">
        <v>1821</v>
      </c>
      <c r="K1192" t="s">
        <v>18203</v>
      </c>
      <c r="L1192" t="s">
        <v>18204</v>
      </c>
    </row>
    <row r="1193" spans="1:12">
      <c r="A1193" t="s">
        <v>18206</v>
      </c>
      <c r="B1193" s="1" t="s">
        <v>18207</v>
      </c>
      <c r="F1193">
        <v>1</v>
      </c>
      <c r="G1193" t="str">
        <f>HYPERLINK("http://babel.hathitrust.org/cgi/pt?id=nyp.33433070242155")</f>
        <v>http://babel.hathitrust.org/cgi/pt?id=nyp.33433070242155</v>
      </c>
      <c r="H1193" t="str">
        <f>HYPERLINK("http://catalog.hathitrust.org/Record/001201389")</f>
        <v>http://catalog.hathitrust.org/Record/001201389</v>
      </c>
      <c r="J1193" s="1">
        <v>1918</v>
      </c>
      <c r="K1193" t="s">
        <v>18208</v>
      </c>
      <c r="L1193" t="s">
        <v>18209</v>
      </c>
    </row>
    <row r="1194" spans="1:12">
      <c r="A1194" t="s">
        <v>18210</v>
      </c>
      <c r="B1194" s="1" t="s">
        <v>18207</v>
      </c>
      <c r="F1194">
        <v>1</v>
      </c>
      <c r="G1194" t="str">
        <f>HYPERLINK("http://babel.hathitrust.org/cgi/pt?id=uc1.b309341")</f>
        <v>http://babel.hathitrust.org/cgi/pt?id=uc1.b309341</v>
      </c>
      <c r="H1194" t="str">
        <f>HYPERLINK("http://catalog.hathitrust.org/Record/001201389")</f>
        <v>http://catalog.hathitrust.org/Record/001201389</v>
      </c>
      <c r="J1194" s="1">
        <v>1918</v>
      </c>
      <c r="K1194" t="s">
        <v>18208</v>
      </c>
      <c r="L1194" t="s">
        <v>18209</v>
      </c>
    </row>
    <row r="1195" spans="1:12">
      <c r="A1195" t="s">
        <v>18211</v>
      </c>
      <c r="B1195" s="1" t="s">
        <v>18212</v>
      </c>
      <c r="F1195">
        <v>1</v>
      </c>
      <c r="G1195" t="str">
        <f>HYPERLINK("http://babel.hathitrust.org/cgi/pt?id=mdp.39015024853577")</f>
        <v>http://babel.hathitrust.org/cgi/pt?id=mdp.39015024853577</v>
      </c>
      <c r="H1195" t="str">
        <f>HYPERLINK("http://catalog.hathitrust.org/Record/001201405")</f>
        <v>http://catalog.hathitrust.org/Record/001201405</v>
      </c>
      <c r="J1195" s="1">
        <v>1922</v>
      </c>
      <c r="K1195" t="s">
        <v>18213</v>
      </c>
      <c r="L1195" t="s">
        <v>18214</v>
      </c>
    </row>
    <row r="1196" spans="1:12">
      <c r="A1196" t="s">
        <v>18215</v>
      </c>
      <c r="B1196" s="1" t="s">
        <v>18216</v>
      </c>
      <c r="F1196">
        <v>1</v>
      </c>
      <c r="G1196" t="str">
        <f>HYPERLINK("http://babel.hathitrust.org/cgi/pt?id=mdp.39015028699455")</f>
        <v>http://babel.hathitrust.org/cgi/pt?id=mdp.39015028699455</v>
      </c>
      <c r="H1196" t="str">
        <f>HYPERLINK("http://catalog.hathitrust.org/Record/001201422")</f>
        <v>http://catalog.hathitrust.org/Record/001201422</v>
      </c>
      <c r="J1196" s="1">
        <v>1916</v>
      </c>
      <c r="K1196" t="s">
        <v>18217</v>
      </c>
      <c r="L1196" t="s">
        <v>18218</v>
      </c>
    </row>
    <row r="1197" spans="1:12">
      <c r="A1197" t="s">
        <v>18219</v>
      </c>
      <c r="B1197" s="1" t="s">
        <v>18220</v>
      </c>
      <c r="F1197">
        <v>1</v>
      </c>
      <c r="G1197" t="str">
        <f>HYPERLINK("http://babel.hathitrust.org/cgi/pt?id=miun.afc6228.0001.001")</f>
        <v>http://babel.hathitrust.org/cgi/pt?id=miun.afc6228.0001.001</v>
      </c>
      <c r="H1197" t="str">
        <f>HYPERLINK("http://catalog.hathitrust.org/Record/001201441")</f>
        <v>http://catalog.hathitrust.org/Record/001201441</v>
      </c>
      <c r="J1197" s="1">
        <v>1870</v>
      </c>
      <c r="K1197" t="s">
        <v>18221</v>
      </c>
      <c r="L1197" t="s">
        <v>18222</v>
      </c>
    </row>
    <row r="1198" spans="1:12">
      <c r="A1198" t="s">
        <v>18223</v>
      </c>
      <c r="B1198" s="1" t="s">
        <v>18224</v>
      </c>
      <c r="F1198">
        <v>1</v>
      </c>
      <c r="G1198" t="str">
        <f>HYPERLINK("http://babel.hathitrust.org/cgi/pt?id=mdp.39015006561594")</f>
        <v>http://babel.hathitrust.org/cgi/pt?id=mdp.39015006561594</v>
      </c>
      <c r="H1198" t="str">
        <f>HYPERLINK("http://catalog.hathitrust.org/Record/001202605")</f>
        <v>http://catalog.hathitrust.org/Record/001202605</v>
      </c>
      <c r="I1198" s="1" t="s">
        <v>18226</v>
      </c>
      <c r="J1198" s="1">
        <v>1935</v>
      </c>
      <c r="K1198" t="s">
        <v>18225</v>
      </c>
      <c r="L1198" t="s">
        <v>18227</v>
      </c>
    </row>
    <row r="1199" spans="1:12">
      <c r="A1199" t="s">
        <v>18228</v>
      </c>
      <c r="B1199" s="1" t="s">
        <v>18224</v>
      </c>
      <c r="F1199">
        <v>1</v>
      </c>
      <c r="G1199" t="str">
        <f>HYPERLINK("http://babel.hathitrust.org/cgi/pt?id=mdp.39015006562006")</f>
        <v>http://babel.hathitrust.org/cgi/pt?id=mdp.39015006562006</v>
      </c>
      <c r="H1199" t="str">
        <f>HYPERLINK("http://catalog.hathitrust.org/Record/001202605")</f>
        <v>http://catalog.hathitrust.org/Record/001202605</v>
      </c>
      <c r="I1199" s="1" t="s">
        <v>18229</v>
      </c>
      <c r="J1199" s="1">
        <v>1935</v>
      </c>
      <c r="K1199" t="s">
        <v>18225</v>
      </c>
      <c r="L1199" t="s">
        <v>18227</v>
      </c>
    </row>
    <row r="1200" spans="1:12">
      <c r="A1200" t="s">
        <v>18230</v>
      </c>
      <c r="B1200" s="1" t="s">
        <v>18231</v>
      </c>
      <c r="F1200">
        <v>1</v>
      </c>
      <c r="G1200" t="str">
        <f>HYPERLINK("http://babel.hathitrust.org/cgi/pt?id=mdp.39015033174676")</f>
        <v>http://babel.hathitrust.org/cgi/pt?id=mdp.39015033174676</v>
      </c>
      <c r="H1200" t="str">
        <f>HYPERLINK("http://catalog.hathitrust.org/Record/001205305")</f>
        <v>http://catalog.hathitrust.org/Record/001205305</v>
      </c>
      <c r="J1200" s="1">
        <v>1921</v>
      </c>
      <c r="K1200" t="s">
        <v>18232</v>
      </c>
      <c r="L1200" t="s">
        <v>18233</v>
      </c>
    </row>
    <row r="1201" spans="1:12">
      <c r="A1201" t="s">
        <v>18234</v>
      </c>
      <c r="B1201" s="1" t="s">
        <v>18231</v>
      </c>
      <c r="F1201">
        <v>1</v>
      </c>
      <c r="G1201" t="str">
        <f>HYPERLINK("http://babel.hathitrust.org/cgi/pt?id=uc1.$b617396")</f>
        <v>http://babel.hathitrust.org/cgi/pt?id=uc1.$b617396</v>
      </c>
      <c r="H1201" t="str">
        <f>HYPERLINK("http://catalog.hathitrust.org/Record/001205305")</f>
        <v>http://catalog.hathitrust.org/Record/001205305</v>
      </c>
      <c r="J1201" s="1">
        <v>1921</v>
      </c>
      <c r="K1201" t="s">
        <v>18232</v>
      </c>
      <c r="L1201" t="s">
        <v>18233</v>
      </c>
    </row>
    <row r="1202" spans="1:12">
      <c r="A1202" t="s">
        <v>18235</v>
      </c>
      <c r="B1202" s="1" t="s">
        <v>18231</v>
      </c>
      <c r="F1202">
        <v>1</v>
      </c>
      <c r="G1202" t="str">
        <f>HYPERLINK("http://babel.hathitrust.org/cgi/pt?id=uc2.ark:/13960/t0wp9xp47")</f>
        <v>http://babel.hathitrust.org/cgi/pt?id=uc2.ark:/13960/t0wp9xp47</v>
      </c>
      <c r="H1202" t="str">
        <f>HYPERLINK("http://catalog.hathitrust.org/Record/001205305")</f>
        <v>http://catalog.hathitrust.org/Record/001205305</v>
      </c>
      <c r="J1202" s="1">
        <v>1921</v>
      </c>
      <c r="K1202" t="s">
        <v>18232</v>
      </c>
      <c r="L1202" t="s">
        <v>18233</v>
      </c>
    </row>
    <row r="1203" spans="1:12">
      <c r="A1203" t="s">
        <v>18236</v>
      </c>
      <c r="B1203" s="1" t="s">
        <v>18237</v>
      </c>
      <c r="F1203">
        <v>1</v>
      </c>
      <c r="G1203" t="str">
        <f>HYPERLINK("http://babel.hathitrust.org/cgi/pt?id=mdp.39015008708508")</f>
        <v>http://babel.hathitrust.org/cgi/pt?id=mdp.39015008708508</v>
      </c>
      <c r="H1203" t="str">
        <f>HYPERLINK("http://catalog.hathitrust.org/Record/001210794")</f>
        <v>http://catalog.hathitrust.org/Record/001210794</v>
      </c>
      <c r="J1203" s="1">
        <v>1962</v>
      </c>
      <c r="K1203" t="s">
        <v>18238</v>
      </c>
      <c r="L1203" t="s">
        <v>18239</v>
      </c>
    </row>
    <row r="1204" spans="1:12">
      <c r="A1204" t="s">
        <v>18240</v>
      </c>
      <c r="B1204" s="1" t="s">
        <v>18241</v>
      </c>
      <c r="F1204">
        <v>1</v>
      </c>
      <c r="G1204" t="str">
        <f>HYPERLINK("http://babel.hathitrust.org/cgi/pt?id=mdp.39015010751967")</f>
        <v>http://babel.hathitrust.org/cgi/pt?id=mdp.39015010751967</v>
      </c>
      <c r="H1204" t="str">
        <f>HYPERLINK("http://catalog.hathitrust.org/Record/001220508")</f>
        <v>http://catalog.hathitrust.org/Record/001220508</v>
      </c>
      <c r="J1204" s="1">
        <v>1905</v>
      </c>
      <c r="K1204" t="s">
        <v>18242</v>
      </c>
      <c r="L1204" t="s">
        <v>18243</v>
      </c>
    </row>
    <row r="1205" spans="1:12">
      <c r="A1205" t="s">
        <v>18244</v>
      </c>
      <c r="B1205" s="1" t="s">
        <v>18245</v>
      </c>
      <c r="F1205">
        <v>1</v>
      </c>
      <c r="G1205" t="str">
        <f>HYPERLINK("http://babel.hathitrust.org/cgi/pt?id=mdp.39015005273373")</f>
        <v>http://babel.hathitrust.org/cgi/pt?id=mdp.39015005273373</v>
      </c>
      <c r="H1205" t="str">
        <f>HYPERLINK("http://catalog.hathitrust.org/Record/001220813")</f>
        <v>http://catalog.hathitrust.org/Record/001220813</v>
      </c>
      <c r="J1205" s="1">
        <v>1939</v>
      </c>
      <c r="K1205" t="s">
        <v>18246</v>
      </c>
      <c r="L1205" t="s">
        <v>18247</v>
      </c>
    </row>
    <row r="1206" spans="1:12">
      <c r="A1206" t="s">
        <v>18248</v>
      </c>
      <c r="B1206" s="1" t="s">
        <v>18249</v>
      </c>
      <c r="F1206">
        <v>1</v>
      </c>
      <c r="G1206" t="str">
        <f>HYPERLINK("http://babel.hathitrust.org/cgi/pt?id=mdp.39015004198597")</f>
        <v>http://babel.hathitrust.org/cgi/pt?id=mdp.39015004198597</v>
      </c>
      <c r="H1206" t="str">
        <f>HYPERLINK("http://catalog.hathitrust.org/Record/001221382")</f>
        <v>http://catalog.hathitrust.org/Record/001221382</v>
      </c>
      <c r="J1206" s="1">
        <v>1953</v>
      </c>
      <c r="K1206" t="s">
        <v>18250</v>
      </c>
      <c r="L1206" t="s">
        <v>18251</v>
      </c>
    </row>
    <row r="1207" spans="1:12">
      <c r="A1207" t="s">
        <v>18252</v>
      </c>
      <c r="B1207" s="1" t="s">
        <v>18253</v>
      </c>
      <c r="F1207">
        <v>1</v>
      </c>
      <c r="G1207" t="str">
        <f>HYPERLINK("http://babel.hathitrust.org/cgi/pt?id=mdp.39015002157132")</f>
        <v>http://babel.hathitrust.org/cgi/pt?id=mdp.39015002157132</v>
      </c>
      <c r="H1207" t="str">
        <f>HYPERLINK("http://catalog.hathitrust.org/Record/001221455")</f>
        <v>http://catalog.hathitrust.org/Record/001221455</v>
      </c>
      <c r="J1207" s="1">
        <v>1906</v>
      </c>
      <c r="K1207" t="s">
        <v>18254</v>
      </c>
      <c r="L1207" t="s">
        <v>18255</v>
      </c>
    </row>
    <row r="1208" spans="1:12">
      <c r="A1208" t="s">
        <v>18256</v>
      </c>
      <c r="B1208" s="1" t="s">
        <v>18253</v>
      </c>
      <c r="F1208">
        <v>1</v>
      </c>
      <c r="G1208" t="str">
        <f>HYPERLINK("http://babel.hathitrust.org/cgi/pt?id=nyp.33433081616686")</f>
        <v>http://babel.hathitrust.org/cgi/pt?id=nyp.33433081616686</v>
      </c>
      <c r="H1208" t="str">
        <f>HYPERLINK("http://catalog.hathitrust.org/Record/001221455")</f>
        <v>http://catalog.hathitrust.org/Record/001221455</v>
      </c>
      <c r="J1208" s="1">
        <v>1906</v>
      </c>
      <c r="K1208" t="s">
        <v>18254</v>
      </c>
      <c r="L1208" t="s">
        <v>18255</v>
      </c>
    </row>
    <row r="1209" spans="1:12">
      <c r="A1209" t="s">
        <v>18257</v>
      </c>
      <c r="B1209" s="1" t="s">
        <v>18258</v>
      </c>
      <c r="F1209">
        <v>1</v>
      </c>
      <c r="G1209" t="str">
        <f>HYPERLINK("http://babel.hathitrust.org/cgi/pt?id=loc.ark:/13960/t4cn7p19k")</f>
        <v>http://babel.hathitrust.org/cgi/pt?id=loc.ark:/13960/t4cn7p19k</v>
      </c>
      <c r="H1209" t="str">
        <f>HYPERLINK("http://catalog.hathitrust.org/Record/001221667")</f>
        <v>http://catalog.hathitrust.org/Record/001221667</v>
      </c>
      <c r="J1209" s="1">
        <v>1919</v>
      </c>
      <c r="K1209" t="s">
        <v>18259</v>
      </c>
      <c r="L1209" t="s">
        <v>18260</v>
      </c>
    </row>
    <row r="1210" spans="1:12">
      <c r="A1210" t="s">
        <v>18122</v>
      </c>
      <c r="B1210" s="1" t="s">
        <v>18258</v>
      </c>
      <c r="F1210">
        <v>1</v>
      </c>
      <c r="G1210" t="str">
        <f>HYPERLINK("http://babel.hathitrust.org/cgi/pt?id=mdp.39015005179653")</f>
        <v>http://babel.hathitrust.org/cgi/pt?id=mdp.39015005179653</v>
      </c>
      <c r="H1210" t="str">
        <f>HYPERLINK("http://catalog.hathitrust.org/Record/001221667")</f>
        <v>http://catalog.hathitrust.org/Record/001221667</v>
      </c>
      <c r="J1210" s="1">
        <v>1919</v>
      </c>
      <c r="K1210" t="s">
        <v>18259</v>
      </c>
      <c r="L1210" t="s">
        <v>18260</v>
      </c>
    </row>
    <row r="1211" spans="1:12">
      <c r="A1211" t="s">
        <v>18123</v>
      </c>
      <c r="B1211" s="1" t="s">
        <v>18258</v>
      </c>
      <c r="F1211">
        <v>1</v>
      </c>
      <c r="G1211" t="str">
        <f>HYPERLINK("http://babel.hathitrust.org/cgi/pt?id=mdp.39015014619046")</f>
        <v>http://babel.hathitrust.org/cgi/pt?id=mdp.39015014619046</v>
      </c>
      <c r="H1211" t="str">
        <f>HYPERLINK("http://catalog.hathitrust.org/Record/001221667")</f>
        <v>http://catalog.hathitrust.org/Record/001221667</v>
      </c>
      <c r="J1211" s="1">
        <v>1919</v>
      </c>
      <c r="K1211" t="s">
        <v>18259</v>
      </c>
      <c r="L1211" t="s">
        <v>18260</v>
      </c>
    </row>
    <row r="1212" spans="1:12">
      <c r="A1212" t="s">
        <v>18124</v>
      </c>
      <c r="B1212" s="1" t="s">
        <v>18258</v>
      </c>
      <c r="F1212">
        <v>1</v>
      </c>
      <c r="G1212" t="str">
        <f>HYPERLINK("http://babel.hathitrust.org/cgi/pt?id=uc2.ark:/13960/t71v5p17n")</f>
        <v>http://babel.hathitrust.org/cgi/pt?id=uc2.ark:/13960/t71v5p17n</v>
      </c>
      <c r="H1212" t="str">
        <f>HYPERLINK("http://catalog.hathitrust.org/Record/001221667")</f>
        <v>http://catalog.hathitrust.org/Record/001221667</v>
      </c>
      <c r="J1212" s="1">
        <v>1919</v>
      </c>
      <c r="K1212" t="s">
        <v>18259</v>
      </c>
      <c r="L1212" t="s">
        <v>18260</v>
      </c>
    </row>
    <row r="1213" spans="1:12">
      <c r="A1213" t="s">
        <v>18125</v>
      </c>
      <c r="B1213" s="1" t="s">
        <v>18126</v>
      </c>
      <c r="F1213">
        <v>1</v>
      </c>
      <c r="G1213" t="str">
        <f>HYPERLINK("http://babel.hathitrust.org/cgi/pt?id=mdp.39015022646890")</f>
        <v>http://babel.hathitrust.org/cgi/pt?id=mdp.39015022646890</v>
      </c>
      <c r="H1213" t="str">
        <f>HYPERLINK("http://catalog.hathitrust.org/Record/001221907")</f>
        <v>http://catalog.hathitrust.org/Record/001221907</v>
      </c>
      <c r="J1213" s="1">
        <v>1876</v>
      </c>
      <c r="K1213" t="s">
        <v>18127</v>
      </c>
      <c r="L1213" t="s">
        <v>20553</v>
      </c>
    </row>
    <row r="1214" spans="1:12">
      <c r="A1214" t="s">
        <v>18128</v>
      </c>
      <c r="B1214" s="1" t="s">
        <v>18126</v>
      </c>
      <c r="F1214">
        <v>1</v>
      </c>
      <c r="G1214" t="str">
        <f>HYPERLINK("http://babel.hathitrust.org/cgi/pt?id=uc1.b255183")</f>
        <v>http://babel.hathitrust.org/cgi/pt?id=uc1.b255183</v>
      </c>
      <c r="H1214" t="str">
        <f>HYPERLINK("http://catalog.hathitrust.org/Record/001221907")</f>
        <v>http://catalog.hathitrust.org/Record/001221907</v>
      </c>
      <c r="J1214" s="1">
        <v>1876</v>
      </c>
      <c r="K1214" t="s">
        <v>18127</v>
      </c>
      <c r="L1214" t="s">
        <v>20553</v>
      </c>
    </row>
    <row r="1215" spans="1:12">
      <c r="A1215" t="s">
        <v>18129</v>
      </c>
      <c r="B1215" s="1" t="s">
        <v>18126</v>
      </c>
      <c r="F1215">
        <v>1</v>
      </c>
      <c r="G1215" t="str">
        <f>HYPERLINK("http://babel.hathitrust.org/cgi/pt?id=uc2.ark:/13960/t78s4nn3g")</f>
        <v>http://babel.hathitrust.org/cgi/pt?id=uc2.ark:/13960/t78s4nn3g</v>
      </c>
      <c r="H1215" t="str">
        <f>HYPERLINK("http://catalog.hathitrust.org/Record/001221907")</f>
        <v>http://catalog.hathitrust.org/Record/001221907</v>
      </c>
      <c r="J1215" s="1">
        <v>1876</v>
      </c>
      <c r="K1215" t="s">
        <v>18127</v>
      </c>
      <c r="L1215" t="s">
        <v>20553</v>
      </c>
    </row>
    <row r="1216" spans="1:12">
      <c r="A1216" t="s">
        <v>18130</v>
      </c>
      <c r="B1216" s="1" t="s">
        <v>18131</v>
      </c>
      <c r="F1216">
        <v>1</v>
      </c>
      <c r="G1216" t="str">
        <f>HYPERLINK("http://babel.hathitrust.org/cgi/pt?id=mdp.39015051096132")</f>
        <v>http://babel.hathitrust.org/cgi/pt?id=mdp.39015051096132</v>
      </c>
      <c r="H1216" t="str">
        <f>HYPERLINK("http://catalog.hathitrust.org/Record/001221934")</f>
        <v>http://catalog.hathitrust.org/Record/001221934</v>
      </c>
      <c r="J1216" s="1">
        <v>1888</v>
      </c>
      <c r="K1216" t="s">
        <v>18132</v>
      </c>
      <c r="L1216" t="s">
        <v>18133</v>
      </c>
    </row>
    <row r="1217" spans="1:12">
      <c r="A1217" t="s">
        <v>18134</v>
      </c>
      <c r="B1217" s="1" t="s">
        <v>18131</v>
      </c>
      <c r="F1217">
        <v>1</v>
      </c>
      <c r="G1217" t="str">
        <f>HYPERLINK("http://babel.hathitrust.org/cgi/pt?id=nyp.33433082186390")</f>
        <v>http://babel.hathitrust.org/cgi/pt?id=nyp.33433082186390</v>
      </c>
      <c r="H1217" t="str">
        <f>HYPERLINK("http://catalog.hathitrust.org/Record/001221934")</f>
        <v>http://catalog.hathitrust.org/Record/001221934</v>
      </c>
      <c r="J1217" s="1">
        <v>1888</v>
      </c>
      <c r="K1217" t="s">
        <v>18132</v>
      </c>
      <c r="L1217" t="s">
        <v>18133</v>
      </c>
    </row>
    <row r="1218" spans="1:12">
      <c r="A1218" t="s">
        <v>18135</v>
      </c>
      <c r="B1218" s="1" t="s">
        <v>18136</v>
      </c>
      <c r="F1218">
        <v>1</v>
      </c>
      <c r="G1218" t="str">
        <f>HYPERLINK("http://babel.hathitrust.org/cgi/pt?id=miun.afe7024.0001.001")</f>
        <v>http://babel.hathitrust.org/cgi/pt?id=miun.afe7024.0001.001</v>
      </c>
      <c r="H1218" t="str">
        <f>HYPERLINK("http://catalog.hathitrust.org/Record/001222144")</f>
        <v>http://catalog.hathitrust.org/Record/001222144</v>
      </c>
      <c r="J1218" s="1">
        <v>1910</v>
      </c>
      <c r="K1218" t="s">
        <v>18137</v>
      </c>
      <c r="L1218" t="s">
        <v>19945</v>
      </c>
    </row>
    <row r="1219" spans="1:12">
      <c r="A1219" t="s">
        <v>18138</v>
      </c>
      <c r="B1219" s="1" t="s">
        <v>18136</v>
      </c>
      <c r="F1219">
        <v>1</v>
      </c>
      <c r="G1219" t="str">
        <f>HYPERLINK("http://babel.hathitrust.org/cgi/pt?id=uc1.b158059")</f>
        <v>http://babel.hathitrust.org/cgi/pt?id=uc1.b158059</v>
      </c>
      <c r="H1219" t="str">
        <f>HYPERLINK("http://catalog.hathitrust.org/Record/001222144")</f>
        <v>http://catalog.hathitrust.org/Record/001222144</v>
      </c>
      <c r="J1219" s="1">
        <v>1910</v>
      </c>
      <c r="K1219" t="s">
        <v>18137</v>
      </c>
      <c r="L1219" t="s">
        <v>19945</v>
      </c>
    </row>
    <row r="1220" spans="1:12">
      <c r="A1220" t="s">
        <v>18139</v>
      </c>
      <c r="B1220" s="1" t="s">
        <v>18136</v>
      </c>
      <c r="F1220">
        <v>1</v>
      </c>
      <c r="G1220" t="str">
        <f>HYPERLINK("http://babel.hathitrust.org/cgi/pt?id=uc2.ark:/13960/t2p55gf37")</f>
        <v>http://babel.hathitrust.org/cgi/pt?id=uc2.ark:/13960/t2p55gf37</v>
      </c>
      <c r="H1220" t="str">
        <f>HYPERLINK("http://catalog.hathitrust.org/Record/001222144")</f>
        <v>http://catalog.hathitrust.org/Record/001222144</v>
      </c>
      <c r="J1220" s="1">
        <v>1910</v>
      </c>
      <c r="K1220" t="s">
        <v>18137</v>
      </c>
      <c r="L1220" t="s">
        <v>19945</v>
      </c>
    </row>
    <row r="1221" spans="1:12">
      <c r="A1221" t="s">
        <v>18140</v>
      </c>
      <c r="B1221" s="1" t="s">
        <v>18141</v>
      </c>
      <c r="F1221">
        <v>1</v>
      </c>
      <c r="G1221" t="str">
        <f>HYPERLINK("http://babel.hathitrust.org/cgi/pt?id=mdp.39015027648743")</f>
        <v>http://babel.hathitrust.org/cgi/pt?id=mdp.39015027648743</v>
      </c>
      <c r="H1221" t="str">
        <f>HYPERLINK("http://catalog.hathitrust.org/Record/001222405")</f>
        <v>http://catalog.hathitrust.org/Record/001222405</v>
      </c>
      <c r="J1221" s="1">
        <v>1914</v>
      </c>
      <c r="K1221" t="s">
        <v>18142</v>
      </c>
      <c r="L1221" t="s">
        <v>18143</v>
      </c>
    </row>
    <row r="1222" spans="1:12">
      <c r="A1222" t="s">
        <v>18144</v>
      </c>
      <c r="B1222" s="1" t="s">
        <v>18141</v>
      </c>
      <c r="F1222">
        <v>1</v>
      </c>
      <c r="G1222" t="str">
        <f>HYPERLINK("http://babel.hathitrust.org/cgi/pt?id=uc1.b14701")</f>
        <v>http://babel.hathitrust.org/cgi/pt?id=uc1.b14701</v>
      </c>
      <c r="H1222" t="str">
        <f>HYPERLINK("http://catalog.hathitrust.org/Record/001222405")</f>
        <v>http://catalog.hathitrust.org/Record/001222405</v>
      </c>
      <c r="J1222" s="1">
        <v>1914</v>
      </c>
      <c r="K1222" t="s">
        <v>18142</v>
      </c>
      <c r="L1222" t="s">
        <v>18143</v>
      </c>
    </row>
    <row r="1223" spans="1:12">
      <c r="A1223" t="s">
        <v>18145</v>
      </c>
      <c r="B1223" s="1" t="s">
        <v>18141</v>
      </c>
      <c r="F1223">
        <v>1</v>
      </c>
      <c r="G1223" t="str">
        <f>HYPERLINK("http://babel.hathitrust.org/cgi/pt?id=uc2.ark:/13960/t2q52h537")</f>
        <v>http://babel.hathitrust.org/cgi/pt?id=uc2.ark:/13960/t2q52h537</v>
      </c>
      <c r="H1223" t="str">
        <f>HYPERLINK("http://catalog.hathitrust.org/Record/001222405")</f>
        <v>http://catalog.hathitrust.org/Record/001222405</v>
      </c>
      <c r="J1223" s="1">
        <v>1914</v>
      </c>
      <c r="K1223" t="s">
        <v>18142</v>
      </c>
      <c r="L1223" t="s">
        <v>18143</v>
      </c>
    </row>
    <row r="1224" spans="1:12">
      <c r="A1224" t="s">
        <v>18146</v>
      </c>
      <c r="B1224" s="1" t="s">
        <v>18147</v>
      </c>
      <c r="F1224">
        <v>1</v>
      </c>
      <c r="G1224" t="str">
        <f>HYPERLINK("http://babel.hathitrust.org/cgi/pt?id=mdp.39015004947233")</f>
        <v>http://babel.hathitrust.org/cgi/pt?id=mdp.39015004947233</v>
      </c>
      <c r="H1224" t="str">
        <f t="shared" ref="H1224:H1231" si="25">HYPERLINK("http://catalog.hathitrust.org/Record/001222610")</f>
        <v>http://catalog.hathitrust.org/Record/001222610</v>
      </c>
      <c r="I1224" s="1" t="s">
        <v>20755</v>
      </c>
      <c r="J1224" s="1">
        <v>1877</v>
      </c>
      <c r="K1224" t="s">
        <v>18148</v>
      </c>
      <c r="L1224" t="s">
        <v>19375</v>
      </c>
    </row>
    <row r="1225" spans="1:12">
      <c r="A1225" t="s">
        <v>18149</v>
      </c>
      <c r="B1225" s="1" t="s">
        <v>18147</v>
      </c>
      <c r="F1225">
        <v>1</v>
      </c>
      <c r="G1225" t="str">
        <f>HYPERLINK("http://babel.hathitrust.org/cgi/pt?id=mdp.39015005000263")</f>
        <v>http://babel.hathitrust.org/cgi/pt?id=mdp.39015005000263</v>
      </c>
      <c r="H1225" t="str">
        <f t="shared" si="25"/>
        <v>http://catalog.hathitrust.org/Record/001222610</v>
      </c>
      <c r="I1225" s="1" t="s">
        <v>20916</v>
      </c>
      <c r="J1225" s="1">
        <v>1877</v>
      </c>
      <c r="K1225" t="s">
        <v>18148</v>
      </c>
      <c r="L1225" t="s">
        <v>19375</v>
      </c>
    </row>
    <row r="1226" spans="1:12">
      <c r="A1226" t="s">
        <v>18150</v>
      </c>
      <c r="B1226" s="1" t="s">
        <v>18147</v>
      </c>
      <c r="F1226">
        <v>1</v>
      </c>
      <c r="G1226" t="str">
        <f>HYPERLINK("http://babel.hathitrust.org/cgi/pt?id=mdp.39015005004216")</f>
        <v>http://babel.hathitrust.org/cgi/pt?id=mdp.39015005004216</v>
      </c>
      <c r="H1226" t="str">
        <f t="shared" si="25"/>
        <v>http://catalog.hathitrust.org/Record/001222610</v>
      </c>
      <c r="I1226" s="1" t="s">
        <v>20920</v>
      </c>
      <c r="J1226" s="1">
        <v>1877</v>
      </c>
      <c r="K1226" t="s">
        <v>18148</v>
      </c>
      <c r="L1226" t="s">
        <v>19375</v>
      </c>
    </row>
    <row r="1227" spans="1:12">
      <c r="A1227" t="s">
        <v>18151</v>
      </c>
      <c r="B1227" s="1" t="s">
        <v>18147</v>
      </c>
      <c r="F1227">
        <v>1</v>
      </c>
      <c r="G1227" t="str">
        <f>HYPERLINK("http://babel.hathitrust.org/cgi/pt?id=mdp.39015005325314")</f>
        <v>http://babel.hathitrust.org/cgi/pt?id=mdp.39015005325314</v>
      </c>
      <c r="H1227" t="str">
        <f t="shared" si="25"/>
        <v>http://catalog.hathitrust.org/Record/001222610</v>
      </c>
      <c r="I1227" s="1" t="s">
        <v>20755</v>
      </c>
      <c r="J1227" s="1">
        <v>1877</v>
      </c>
      <c r="K1227" t="s">
        <v>18148</v>
      </c>
      <c r="L1227" t="s">
        <v>19375</v>
      </c>
    </row>
    <row r="1228" spans="1:12">
      <c r="A1228" t="s">
        <v>18152</v>
      </c>
      <c r="B1228" s="1" t="s">
        <v>18147</v>
      </c>
      <c r="F1228">
        <v>1</v>
      </c>
      <c r="G1228" t="str">
        <f>HYPERLINK("http://babel.hathitrust.org/cgi/pt?id=mdp.39015013395630")</f>
        <v>http://babel.hathitrust.org/cgi/pt?id=mdp.39015013395630</v>
      </c>
      <c r="H1228" t="str">
        <f t="shared" si="25"/>
        <v>http://catalog.hathitrust.org/Record/001222610</v>
      </c>
      <c r="I1228" s="1" t="s">
        <v>20920</v>
      </c>
      <c r="J1228" s="1">
        <v>1877</v>
      </c>
      <c r="K1228" t="s">
        <v>18148</v>
      </c>
      <c r="L1228" t="s">
        <v>19375</v>
      </c>
    </row>
    <row r="1229" spans="1:12">
      <c r="A1229" t="s">
        <v>18153</v>
      </c>
      <c r="B1229" s="1" t="s">
        <v>18147</v>
      </c>
      <c r="F1229">
        <v>1</v>
      </c>
      <c r="G1229" t="str">
        <f>HYPERLINK("http://babel.hathitrust.org/cgi/pt?id=mdp.39015013425254")</f>
        <v>http://babel.hathitrust.org/cgi/pt?id=mdp.39015013425254</v>
      </c>
      <c r="H1229" t="str">
        <f t="shared" si="25"/>
        <v>http://catalog.hathitrust.org/Record/001222610</v>
      </c>
      <c r="I1229" s="1" t="s">
        <v>20916</v>
      </c>
      <c r="J1229" s="1">
        <v>1877</v>
      </c>
      <c r="K1229" t="s">
        <v>18148</v>
      </c>
      <c r="L1229" t="s">
        <v>19375</v>
      </c>
    </row>
    <row r="1230" spans="1:12">
      <c r="A1230" t="s">
        <v>18154</v>
      </c>
      <c r="B1230" s="1" t="s">
        <v>18147</v>
      </c>
      <c r="F1230">
        <v>1</v>
      </c>
      <c r="G1230" t="str">
        <f>HYPERLINK("http://babel.hathitrust.org/cgi/pt?id=mdp.39015015356457")</f>
        <v>http://babel.hathitrust.org/cgi/pt?id=mdp.39015015356457</v>
      </c>
      <c r="H1230" t="str">
        <f t="shared" si="25"/>
        <v>http://catalog.hathitrust.org/Record/001222610</v>
      </c>
      <c r="I1230" s="1" t="s">
        <v>20920</v>
      </c>
      <c r="J1230" s="1">
        <v>1877</v>
      </c>
      <c r="K1230" t="s">
        <v>18148</v>
      </c>
      <c r="L1230" t="s">
        <v>19375</v>
      </c>
    </row>
    <row r="1231" spans="1:12">
      <c r="A1231" t="s">
        <v>18155</v>
      </c>
      <c r="B1231" s="1" t="s">
        <v>18147</v>
      </c>
      <c r="F1231">
        <v>1</v>
      </c>
      <c r="G1231" t="str">
        <f>HYPERLINK("http://babel.hathitrust.org/cgi/pt?id=nyp.33433022673234")</f>
        <v>http://babel.hathitrust.org/cgi/pt?id=nyp.33433022673234</v>
      </c>
      <c r="H1231" t="str">
        <f t="shared" si="25"/>
        <v>http://catalog.hathitrust.org/Record/001222610</v>
      </c>
      <c r="I1231" s="1" t="s">
        <v>18156</v>
      </c>
      <c r="J1231" s="1">
        <v>1877</v>
      </c>
      <c r="K1231" t="s">
        <v>18148</v>
      </c>
      <c r="L1231" t="s">
        <v>19375</v>
      </c>
    </row>
    <row r="1232" spans="1:12">
      <c r="A1232" t="s">
        <v>18157</v>
      </c>
      <c r="B1232" s="1" t="s">
        <v>18158</v>
      </c>
      <c r="D1232">
        <v>1</v>
      </c>
      <c r="G1232" t="str">
        <f>HYPERLINK("http://babel.hathitrust.org/cgi/pt?id=mdp.39015004800457")</f>
        <v>http://babel.hathitrust.org/cgi/pt?id=mdp.39015004800457</v>
      </c>
      <c r="H1232" t="str">
        <f>HYPERLINK("http://catalog.hathitrust.org/Record/001222922")</f>
        <v>http://catalog.hathitrust.org/Record/001222922</v>
      </c>
      <c r="J1232" s="1">
        <v>1922</v>
      </c>
      <c r="K1232" t="s">
        <v>18159</v>
      </c>
      <c r="L1232" t="s">
        <v>18160</v>
      </c>
    </row>
    <row r="1233" spans="1:12">
      <c r="A1233" t="s">
        <v>18161</v>
      </c>
      <c r="B1233" s="1" t="s">
        <v>18158</v>
      </c>
      <c r="F1233">
        <v>1</v>
      </c>
      <c r="G1233" t="str">
        <f>HYPERLINK("http://babel.hathitrust.org/cgi/pt?id=uc2.ark:/13960/t1wd3t92b")</f>
        <v>http://babel.hathitrust.org/cgi/pt?id=uc2.ark:/13960/t1wd3t92b</v>
      </c>
      <c r="H1233" t="str">
        <f>HYPERLINK("http://catalog.hathitrust.org/Record/001222922")</f>
        <v>http://catalog.hathitrust.org/Record/001222922</v>
      </c>
      <c r="J1233" s="1">
        <v>1922</v>
      </c>
      <c r="K1233" t="s">
        <v>18159</v>
      </c>
      <c r="L1233" t="s">
        <v>18160</v>
      </c>
    </row>
    <row r="1234" spans="1:12">
      <c r="A1234" t="s">
        <v>18162</v>
      </c>
      <c r="B1234" s="1" t="s">
        <v>18163</v>
      </c>
      <c r="F1234">
        <v>1</v>
      </c>
      <c r="G1234" t="str">
        <f>HYPERLINK("http://babel.hathitrust.org/cgi/pt?id=mdp.39015073736905")</f>
        <v>http://babel.hathitrust.org/cgi/pt?id=mdp.39015073736905</v>
      </c>
      <c r="H1234" t="str">
        <f>HYPERLINK("http://catalog.hathitrust.org/Record/001226653")</f>
        <v>http://catalog.hathitrust.org/Record/001226653</v>
      </c>
      <c r="J1234" s="1">
        <v>1900</v>
      </c>
      <c r="K1234" t="s">
        <v>18164</v>
      </c>
      <c r="L1234" t="s">
        <v>18165</v>
      </c>
    </row>
    <row r="1235" spans="1:12">
      <c r="A1235" t="s">
        <v>18166</v>
      </c>
      <c r="B1235" s="1" t="s">
        <v>18163</v>
      </c>
      <c r="F1235">
        <v>1</v>
      </c>
      <c r="G1235" t="str">
        <f>HYPERLINK("http://babel.hathitrust.org/cgi/pt?id=uc2.ark:/13960/t2d79d077")</f>
        <v>http://babel.hathitrust.org/cgi/pt?id=uc2.ark:/13960/t2d79d077</v>
      </c>
      <c r="H1235" t="str">
        <f>HYPERLINK("http://catalog.hathitrust.org/Record/001226653")</f>
        <v>http://catalog.hathitrust.org/Record/001226653</v>
      </c>
      <c r="J1235" s="1">
        <v>1900</v>
      </c>
      <c r="K1235" t="s">
        <v>18164</v>
      </c>
      <c r="L1235" t="s">
        <v>18165</v>
      </c>
    </row>
    <row r="1236" spans="1:12">
      <c r="A1236" t="s">
        <v>18167</v>
      </c>
      <c r="B1236" s="1" t="s">
        <v>18168</v>
      </c>
      <c r="F1236">
        <v>1</v>
      </c>
      <c r="G1236" t="str">
        <f>HYPERLINK("http://babel.hathitrust.org/cgi/pt?id=mdp.39015013290013")</f>
        <v>http://babel.hathitrust.org/cgi/pt?id=mdp.39015013290013</v>
      </c>
      <c r="H1236" t="str">
        <f>HYPERLINK("http://catalog.hathitrust.org/Record/001227301")</f>
        <v>http://catalog.hathitrust.org/Record/001227301</v>
      </c>
      <c r="J1236" s="1">
        <v>1912</v>
      </c>
      <c r="K1236" t="s">
        <v>18169</v>
      </c>
      <c r="L1236" t="s">
        <v>18170</v>
      </c>
    </row>
    <row r="1237" spans="1:12">
      <c r="A1237" t="s">
        <v>18171</v>
      </c>
      <c r="B1237" s="1" t="s">
        <v>18168</v>
      </c>
      <c r="F1237">
        <v>1</v>
      </c>
      <c r="G1237" t="str">
        <f>HYPERLINK("http://babel.hathitrust.org/cgi/pt?id=uc2.ark:/13960/t9q242p56")</f>
        <v>http://babel.hathitrust.org/cgi/pt?id=uc2.ark:/13960/t9q242p56</v>
      </c>
      <c r="H1237" t="str">
        <f>HYPERLINK("http://catalog.hathitrust.org/Record/001227301")</f>
        <v>http://catalog.hathitrust.org/Record/001227301</v>
      </c>
      <c r="J1237" s="1">
        <v>1912</v>
      </c>
      <c r="K1237" t="s">
        <v>18169</v>
      </c>
      <c r="L1237" t="s">
        <v>18170</v>
      </c>
    </row>
    <row r="1238" spans="1:12">
      <c r="A1238" t="s">
        <v>18172</v>
      </c>
      <c r="B1238" s="1" t="s">
        <v>18173</v>
      </c>
      <c r="F1238">
        <v>1</v>
      </c>
      <c r="G1238" t="str">
        <f>HYPERLINK("http://babel.hathitrust.org/cgi/pt?id=mdp.39015030577319")</f>
        <v>http://babel.hathitrust.org/cgi/pt?id=mdp.39015030577319</v>
      </c>
      <c r="H1238" t="str">
        <f>HYPERLINK("http://catalog.hathitrust.org/Record/001231746")</f>
        <v>http://catalog.hathitrust.org/Record/001231746</v>
      </c>
      <c r="J1238" s="1">
        <v>1916</v>
      </c>
      <c r="K1238" t="s">
        <v>18174</v>
      </c>
      <c r="L1238" t="s">
        <v>18175</v>
      </c>
    </row>
    <row r="1239" spans="1:12">
      <c r="A1239" t="s">
        <v>18176</v>
      </c>
      <c r="B1239" s="1" t="s">
        <v>18173</v>
      </c>
      <c r="F1239">
        <v>1</v>
      </c>
      <c r="G1239" t="str">
        <f>HYPERLINK("http://babel.hathitrust.org/cgi/pt?id=uc1.b31622")</f>
        <v>http://babel.hathitrust.org/cgi/pt?id=uc1.b31622</v>
      </c>
      <c r="H1239" t="str">
        <f>HYPERLINK("http://catalog.hathitrust.org/Record/001231746")</f>
        <v>http://catalog.hathitrust.org/Record/001231746</v>
      </c>
      <c r="J1239" s="1">
        <v>1916</v>
      </c>
      <c r="K1239" t="s">
        <v>18174</v>
      </c>
      <c r="L1239" t="s">
        <v>18175</v>
      </c>
    </row>
    <row r="1240" spans="1:12">
      <c r="A1240" t="s">
        <v>18177</v>
      </c>
      <c r="B1240" s="1" t="s">
        <v>18173</v>
      </c>
      <c r="F1240">
        <v>1</v>
      </c>
      <c r="G1240" t="str">
        <f>HYPERLINK("http://babel.hathitrust.org/cgi/pt?id=uc2.ark:/13960/t5bc3w19r")</f>
        <v>http://babel.hathitrust.org/cgi/pt?id=uc2.ark:/13960/t5bc3w19r</v>
      </c>
      <c r="H1240" t="str">
        <f>HYPERLINK("http://catalog.hathitrust.org/Record/001231746")</f>
        <v>http://catalog.hathitrust.org/Record/001231746</v>
      </c>
      <c r="J1240" s="1">
        <v>1916</v>
      </c>
      <c r="K1240" t="s">
        <v>18174</v>
      </c>
      <c r="L1240" t="s">
        <v>18175</v>
      </c>
    </row>
    <row r="1241" spans="1:12">
      <c r="A1241" t="s">
        <v>18178</v>
      </c>
      <c r="B1241" s="1" t="s">
        <v>18179</v>
      </c>
      <c r="F1241">
        <v>1</v>
      </c>
      <c r="G1241" t="str">
        <f>HYPERLINK("http://babel.hathitrust.org/cgi/pt?id=mdp.39015050602534")</f>
        <v>http://babel.hathitrust.org/cgi/pt?id=mdp.39015050602534</v>
      </c>
      <c r="H1241" t="str">
        <f>HYPERLINK("http://catalog.hathitrust.org/Record/001232157")</f>
        <v>http://catalog.hathitrust.org/Record/001232157</v>
      </c>
      <c r="J1241" s="1">
        <v>1913</v>
      </c>
      <c r="K1241" t="s">
        <v>18180</v>
      </c>
      <c r="L1241" t="s">
        <v>18181</v>
      </c>
    </row>
    <row r="1242" spans="1:12">
      <c r="A1242" t="s">
        <v>18182</v>
      </c>
      <c r="B1242" s="1" t="s">
        <v>18179</v>
      </c>
      <c r="F1242">
        <v>1</v>
      </c>
      <c r="G1242" t="str">
        <f>HYPERLINK("http://babel.hathitrust.org/cgi/pt?id=miun.aff7168.0001.001")</f>
        <v>http://babel.hathitrust.org/cgi/pt?id=miun.aff7168.0001.001</v>
      </c>
      <c r="H1242" t="str">
        <f>HYPERLINK("http://catalog.hathitrust.org/Record/001232157")</f>
        <v>http://catalog.hathitrust.org/Record/001232157</v>
      </c>
      <c r="J1242" s="1">
        <v>1913</v>
      </c>
      <c r="K1242" t="s">
        <v>18180</v>
      </c>
      <c r="L1242" t="s">
        <v>18181</v>
      </c>
    </row>
    <row r="1243" spans="1:12">
      <c r="A1243" t="s">
        <v>18183</v>
      </c>
      <c r="B1243" s="1" t="s">
        <v>18179</v>
      </c>
      <c r="F1243">
        <v>1</v>
      </c>
      <c r="G1243" t="str">
        <f>HYPERLINK("http://babel.hathitrust.org/cgi/pt?id=nyp.33433010500811")</f>
        <v>http://babel.hathitrust.org/cgi/pt?id=nyp.33433010500811</v>
      </c>
      <c r="H1243" t="str">
        <f>HYPERLINK("http://catalog.hathitrust.org/Record/001232157")</f>
        <v>http://catalog.hathitrust.org/Record/001232157</v>
      </c>
      <c r="J1243" s="1">
        <v>1913</v>
      </c>
      <c r="K1243" t="s">
        <v>18180</v>
      </c>
      <c r="L1243" t="s">
        <v>18181</v>
      </c>
    </row>
    <row r="1244" spans="1:12">
      <c r="A1244" t="s">
        <v>18184</v>
      </c>
      <c r="B1244" s="1" t="s">
        <v>18179</v>
      </c>
      <c r="F1244">
        <v>1</v>
      </c>
      <c r="G1244" t="str">
        <f>HYPERLINK("http://babel.hathitrust.org/cgi/pt?id=uc2.ark:/13960/t5j96590m")</f>
        <v>http://babel.hathitrust.org/cgi/pt?id=uc2.ark:/13960/t5j96590m</v>
      </c>
      <c r="H1244" t="str">
        <f>HYPERLINK("http://catalog.hathitrust.org/Record/001232157")</f>
        <v>http://catalog.hathitrust.org/Record/001232157</v>
      </c>
      <c r="J1244" s="1">
        <v>1913</v>
      </c>
      <c r="K1244" t="s">
        <v>18180</v>
      </c>
      <c r="L1244" t="s">
        <v>18181</v>
      </c>
    </row>
    <row r="1245" spans="1:12">
      <c r="A1245" t="s">
        <v>18185</v>
      </c>
      <c r="B1245" s="1" t="s">
        <v>18186</v>
      </c>
      <c r="F1245">
        <v>1</v>
      </c>
      <c r="G1245" t="str">
        <f>HYPERLINK("http://babel.hathitrust.org/cgi/pt?id=mdp.39015008975446")</f>
        <v>http://babel.hathitrust.org/cgi/pt?id=mdp.39015008975446</v>
      </c>
      <c r="H1245" t="str">
        <f>HYPERLINK("http://catalog.hathitrust.org/Record/001245149")</f>
        <v>http://catalog.hathitrust.org/Record/001245149</v>
      </c>
      <c r="J1245" s="1">
        <v>1895</v>
      </c>
      <c r="K1245" t="s">
        <v>18187</v>
      </c>
      <c r="L1245" t="s">
        <v>18188</v>
      </c>
    </row>
    <row r="1246" spans="1:12">
      <c r="A1246" t="s">
        <v>18189</v>
      </c>
      <c r="B1246" s="1" t="s">
        <v>18190</v>
      </c>
      <c r="F1246">
        <v>1</v>
      </c>
      <c r="G1246" t="str">
        <f>HYPERLINK("http://babel.hathitrust.org/cgi/pt?id=mdp.39015062756427")</f>
        <v>http://babel.hathitrust.org/cgi/pt?id=mdp.39015062756427</v>
      </c>
      <c r="H1246" t="str">
        <f>HYPERLINK("http://catalog.hathitrust.org/Record/001280280")</f>
        <v>http://catalog.hathitrust.org/Record/001280280</v>
      </c>
      <c r="J1246" s="1">
        <v>1930</v>
      </c>
      <c r="K1246" t="s">
        <v>18191</v>
      </c>
      <c r="L1246" t="s">
        <v>18192</v>
      </c>
    </row>
    <row r="1247" spans="1:12">
      <c r="A1247" t="s">
        <v>18193</v>
      </c>
      <c r="B1247" s="1" t="s">
        <v>18190</v>
      </c>
      <c r="F1247">
        <v>1</v>
      </c>
      <c r="G1247" t="str">
        <f>HYPERLINK("http://babel.hathitrust.org/cgi/pt?id=uc1.b262662")</f>
        <v>http://babel.hathitrust.org/cgi/pt?id=uc1.b262662</v>
      </c>
      <c r="H1247" t="str">
        <f>HYPERLINK("http://catalog.hathitrust.org/Record/001280280")</f>
        <v>http://catalog.hathitrust.org/Record/001280280</v>
      </c>
      <c r="J1247" s="1">
        <v>1930</v>
      </c>
      <c r="K1247" t="s">
        <v>18191</v>
      </c>
      <c r="L1247" t="s">
        <v>18192</v>
      </c>
    </row>
    <row r="1248" spans="1:12">
      <c r="A1248" t="s">
        <v>18058</v>
      </c>
      <c r="B1248" s="1" t="s">
        <v>18059</v>
      </c>
      <c r="E1248">
        <v>1</v>
      </c>
      <c r="G1248" t="str">
        <f>HYPERLINK("http://babel.hathitrust.org/cgi/pt?id=mdp.39015038703222")</f>
        <v>http://babel.hathitrust.org/cgi/pt?id=mdp.39015038703222</v>
      </c>
      <c r="H1248" t="str">
        <f>HYPERLINK("http://catalog.hathitrust.org/Record/001280451")</f>
        <v>http://catalog.hathitrust.org/Record/001280451</v>
      </c>
      <c r="J1248" s="1">
        <v>1904</v>
      </c>
      <c r="K1248" t="s">
        <v>18060</v>
      </c>
      <c r="L1248" t="s">
        <v>18061</v>
      </c>
    </row>
    <row r="1249" spans="1:12">
      <c r="A1249" t="s">
        <v>18062</v>
      </c>
      <c r="B1249" s="1" t="s">
        <v>18063</v>
      </c>
      <c r="F1249">
        <v>1</v>
      </c>
      <c r="G1249" t="str">
        <f>HYPERLINK("http://babel.hathitrust.org/cgi/pt?id=mdp.39015062755536")</f>
        <v>http://babel.hathitrust.org/cgi/pt?id=mdp.39015062755536</v>
      </c>
      <c r="H1249" t="str">
        <f>HYPERLINK("http://catalog.hathitrust.org/Record/001281414")</f>
        <v>http://catalog.hathitrust.org/Record/001281414</v>
      </c>
      <c r="J1249" s="1">
        <v>1913</v>
      </c>
      <c r="K1249" t="s">
        <v>18064</v>
      </c>
      <c r="L1249" t="s">
        <v>18065</v>
      </c>
    </row>
    <row r="1250" spans="1:12">
      <c r="A1250" t="s">
        <v>18066</v>
      </c>
      <c r="B1250" s="1" t="s">
        <v>18063</v>
      </c>
      <c r="F1250">
        <v>1</v>
      </c>
      <c r="G1250" t="str">
        <f>HYPERLINK("http://babel.hathitrust.org/cgi/pt?id=uc1.b3130491")</f>
        <v>http://babel.hathitrust.org/cgi/pt?id=uc1.b3130491</v>
      </c>
      <c r="H1250" t="str">
        <f>HYPERLINK("http://catalog.hathitrust.org/Record/001281414")</f>
        <v>http://catalog.hathitrust.org/Record/001281414</v>
      </c>
      <c r="J1250" s="1">
        <v>1913</v>
      </c>
      <c r="K1250" t="s">
        <v>18064</v>
      </c>
      <c r="L1250" t="s">
        <v>18065</v>
      </c>
    </row>
    <row r="1251" spans="1:12">
      <c r="A1251" t="s">
        <v>18067</v>
      </c>
      <c r="B1251" s="1" t="s">
        <v>18063</v>
      </c>
      <c r="F1251">
        <v>1</v>
      </c>
      <c r="G1251" t="str">
        <f>HYPERLINK("http://babel.hathitrust.org/cgi/pt?id=uc2.ark:/13960/t6g162g2g")</f>
        <v>http://babel.hathitrust.org/cgi/pt?id=uc2.ark:/13960/t6g162g2g</v>
      </c>
      <c r="H1251" t="str">
        <f>HYPERLINK("http://catalog.hathitrust.org/Record/001281414")</f>
        <v>http://catalog.hathitrust.org/Record/001281414</v>
      </c>
      <c r="J1251" s="1">
        <v>1913</v>
      </c>
      <c r="K1251" t="s">
        <v>18064</v>
      </c>
      <c r="L1251" t="s">
        <v>18065</v>
      </c>
    </row>
    <row r="1252" spans="1:12">
      <c r="A1252" t="s">
        <v>18068</v>
      </c>
      <c r="B1252" s="1" t="s">
        <v>18069</v>
      </c>
      <c r="F1252">
        <v>1</v>
      </c>
      <c r="G1252" t="str">
        <f>HYPERLINK("http://babel.hathitrust.org/cgi/pt?id=mdp.39015076598708")</f>
        <v>http://babel.hathitrust.org/cgi/pt?id=mdp.39015076598708</v>
      </c>
      <c r="H1252" t="str">
        <f>HYPERLINK("http://catalog.hathitrust.org/Record/001281583")</f>
        <v>http://catalog.hathitrust.org/Record/001281583</v>
      </c>
      <c r="I1252" s="1">
        <v>1933</v>
      </c>
      <c r="J1252" s="1">
        <v>1933</v>
      </c>
      <c r="K1252" t="s">
        <v>18070</v>
      </c>
    </row>
    <row r="1253" spans="1:12">
      <c r="A1253" t="s">
        <v>18071</v>
      </c>
      <c r="B1253" s="1" t="s">
        <v>18072</v>
      </c>
      <c r="F1253">
        <v>1</v>
      </c>
      <c r="G1253" t="str">
        <f>HYPERLINK("http://babel.hathitrust.org/cgi/pt?id=mdp.39015062812634")</f>
        <v>http://babel.hathitrust.org/cgi/pt?id=mdp.39015062812634</v>
      </c>
      <c r="H1253" t="str">
        <f>HYPERLINK("http://catalog.hathitrust.org/Record/001281865")</f>
        <v>http://catalog.hathitrust.org/Record/001281865</v>
      </c>
      <c r="J1253" s="1">
        <v>1923</v>
      </c>
      <c r="K1253" t="s">
        <v>18073</v>
      </c>
      <c r="L1253" t="s">
        <v>18074</v>
      </c>
    </row>
    <row r="1254" spans="1:12">
      <c r="A1254" t="s">
        <v>18075</v>
      </c>
      <c r="B1254" s="1" t="s">
        <v>18072</v>
      </c>
      <c r="F1254">
        <v>1</v>
      </c>
      <c r="G1254" t="str">
        <f>HYPERLINK("http://babel.hathitrust.org/cgi/pt?id=uc1.b239378")</f>
        <v>http://babel.hathitrust.org/cgi/pt?id=uc1.b239378</v>
      </c>
      <c r="H1254" t="str">
        <f>HYPERLINK("http://catalog.hathitrust.org/Record/001281865")</f>
        <v>http://catalog.hathitrust.org/Record/001281865</v>
      </c>
      <c r="J1254" s="1">
        <v>1923</v>
      </c>
      <c r="K1254" t="s">
        <v>18073</v>
      </c>
      <c r="L1254" t="s">
        <v>18074</v>
      </c>
    </row>
    <row r="1255" spans="1:12">
      <c r="A1255" t="s">
        <v>18076</v>
      </c>
      <c r="B1255" s="1" t="s">
        <v>18077</v>
      </c>
      <c r="E1255">
        <v>1</v>
      </c>
      <c r="G1255" t="str">
        <f>HYPERLINK("http://babel.hathitrust.org/cgi/pt?id=nyp.33433069253601")</f>
        <v>http://babel.hathitrust.org/cgi/pt?id=nyp.33433069253601</v>
      </c>
      <c r="H1255" t="str">
        <f>HYPERLINK("http://catalog.hathitrust.org/Record/001281904")</f>
        <v>http://catalog.hathitrust.org/Record/001281904</v>
      </c>
      <c r="J1255" s="1">
        <v>1908</v>
      </c>
      <c r="K1255" t="s">
        <v>18078</v>
      </c>
      <c r="L1255" t="s">
        <v>18079</v>
      </c>
    </row>
    <row r="1256" spans="1:12">
      <c r="A1256" t="s">
        <v>18080</v>
      </c>
      <c r="B1256" s="1" t="s">
        <v>18081</v>
      </c>
      <c r="F1256">
        <v>1</v>
      </c>
      <c r="G1256" t="str">
        <f>HYPERLINK("http://babel.hathitrust.org/cgi/pt?id=mdp.39015062701332")</f>
        <v>http://babel.hathitrust.org/cgi/pt?id=mdp.39015062701332</v>
      </c>
      <c r="H1256" t="str">
        <f>HYPERLINK("http://catalog.hathitrust.org/Record/001281974")</f>
        <v>http://catalog.hathitrust.org/Record/001281974</v>
      </c>
      <c r="J1256" s="1">
        <v>1930</v>
      </c>
      <c r="K1256" t="s">
        <v>18082</v>
      </c>
      <c r="L1256" t="s">
        <v>18083</v>
      </c>
    </row>
    <row r="1257" spans="1:12">
      <c r="A1257" t="s">
        <v>18084</v>
      </c>
      <c r="B1257" s="1" t="s">
        <v>18085</v>
      </c>
      <c r="F1257">
        <v>1</v>
      </c>
      <c r="G1257" t="str">
        <f>HYPERLINK("http://babel.hathitrust.org/cgi/pt?id=mdp.39015003989152")</f>
        <v>http://babel.hathitrust.org/cgi/pt?id=mdp.39015003989152</v>
      </c>
      <c r="H1257" t="str">
        <f>HYPERLINK("http://catalog.hathitrust.org/Record/001281977")</f>
        <v>http://catalog.hathitrust.org/Record/001281977</v>
      </c>
      <c r="J1257" s="1">
        <v>1914</v>
      </c>
      <c r="K1257" t="s">
        <v>18086</v>
      </c>
      <c r="L1257" t="s">
        <v>18087</v>
      </c>
    </row>
    <row r="1258" spans="1:12">
      <c r="A1258" t="s">
        <v>18088</v>
      </c>
      <c r="B1258" s="1" t="s">
        <v>18085</v>
      </c>
      <c r="F1258">
        <v>1</v>
      </c>
      <c r="G1258" t="str">
        <f>HYPERLINK("http://babel.hathitrust.org/cgi/pt?id=uc1.b239392")</f>
        <v>http://babel.hathitrust.org/cgi/pt?id=uc1.b239392</v>
      </c>
      <c r="H1258" t="str">
        <f>HYPERLINK("http://catalog.hathitrust.org/Record/001281977")</f>
        <v>http://catalog.hathitrust.org/Record/001281977</v>
      </c>
      <c r="J1258" s="1">
        <v>1914</v>
      </c>
      <c r="K1258" t="s">
        <v>18086</v>
      </c>
      <c r="L1258" t="s">
        <v>18087</v>
      </c>
    </row>
    <row r="1259" spans="1:12">
      <c r="A1259" t="s">
        <v>18089</v>
      </c>
      <c r="B1259" s="1" t="s">
        <v>18085</v>
      </c>
      <c r="F1259">
        <v>1</v>
      </c>
      <c r="G1259" t="str">
        <f>HYPERLINK("http://babel.hathitrust.org/cgi/pt?id=uc1.b305388")</f>
        <v>http://babel.hathitrust.org/cgi/pt?id=uc1.b305388</v>
      </c>
      <c r="H1259" t="str">
        <f>HYPERLINK("http://catalog.hathitrust.org/Record/001281977")</f>
        <v>http://catalog.hathitrust.org/Record/001281977</v>
      </c>
      <c r="J1259" s="1">
        <v>1914</v>
      </c>
      <c r="K1259" t="s">
        <v>18086</v>
      </c>
      <c r="L1259" t="s">
        <v>18087</v>
      </c>
    </row>
    <row r="1260" spans="1:12">
      <c r="A1260" t="s">
        <v>18090</v>
      </c>
      <c r="B1260" s="1" t="s">
        <v>18085</v>
      </c>
      <c r="F1260">
        <v>1</v>
      </c>
      <c r="G1260" t="str">
        <f>HYPERLINK("http://babel.hathitrust.org/cgi/pt?id=uc2.ark:/13960/t17m06h90")</f>
        <v>http://babel.hathitrust.org/cgi/pt?id=uc2.ark:/13960/t17m06h90</v>
      </c>
      <c r="H1260" t="str">
        <f>HYPERLINK("http://catalog.hathitrust.org/Record/001281977")</f>
        <v>http://catalog.hathitrust.org/Record/001281977</v>
      </c>
      <c r="J1260" s="1">
        <v>1914</v>
      </c>
      <c r="K1260" t="s">
        <v>18086</v>
      </c>
      <c r="L1260" t="s">
        <v>18087</v>
      </c>
    </row>
    <row r="1261" spans="1:12">
      <c r="A1261" t="s">
        <v>18091</v>
      </c>
      <c r="B1261" s="1" t="s">
        <v>18085</v>
      </c>
      <c r="F1261">
        <v>1</v>
      </c>
      <c r="G1261" t="str">
        <f>HYPERLINK("http://babel.hathitrust.org/cgi/pt?id=wu.89011049434")</f>
        <v>http://babel.hathitrust.org/cgi/pt?id=wu.89011049434</v>
      </c>
      <c r="H1261" t="str">
        <f>HYPERLINK("http://catalog.hathitrust.org/Record/001281977")</f>
        <v>http://catalog.hathitrust.org/Record/001281977</v>
      </c>
      <c r="J1261" s="1">
        <v>1914</v>
      </c>
      <c r="K1261" t="s">
        <v>18086</v>
      </c>
      <c r="L1261" t="s">
        <v>18087</v>
      </c>
    </row>
    <row r="1262" spans="1:12">
      <c r="A1262" t="s">
        <v>18092</v>
      </c>
      <c r="B1262" s="1" t="s">
        <v>18093</v>
      </c>
      <c r="F1262">
        <v>1</v>
      </c>
      <c r="G1262" t="str">
        <f>HYPERLINK("http://babel.hathitrust.org/cgi/pt?id=mdp.39015031678660")</f>
        <v>http://babel.hathitrust.org/cgi/pt?id=mdp.39015031678660</v>
      </c>
      <c r="H1262" t="str">
        <f>HYPERLINK("http://catalog.hathitrust.org/Record/001281980")</f>
        <v>http://catalog.hathitrust.org/Record/001281980</v>
      </c>
      <c r="J1262" s="1">
        <v>1934</v>
      </c>
      <c r="K1262" t="s">
        <v>18094</v>
      </c>
      <c r="L1262" t="s">
        <v>18095</v>
      </c>
    </row>
    <row r="1263" spans="1:12">
      <c r="A1263" t="s">
        <v>18096</v>
      </c>
      <c r="B1263" s="1" t="s">
        <v>18093</v>
      </c>
      <c r="F1263">
        <v>1</v>
      </c>
      <c r="G1263" t="str">
        <f>HYPERLINK("http://babel.hathitrust.org/cgi/pt?id=uc1.b4238426")</f>
        <v>http://babel.hathitrust.org/cgi/pt?id=uc1.b4238426</v>
      </c>
      <c r="H1263" t="str">
        <f>HYPERLINK("http://catalog.hathitrust.org/Record/001281980")</f>
        <v>http://catalog.hathitrust.org/Record/001281980</v>
      </c>
      <c r="J1263" s="1">
        <v>1934</v>
      </c>
      <c r="K1263" t="s">
        <v>18094</v>
      </c>
      <c r="L1263" t="s">
        <v>18095</v>
      </c>
    </row>
    <row r="1264" spans="1:12">
      <c r="A1264" t="s">
        <v>18097</v>
      </c>
      <c r="B1264" s="1" t="s">
        <v>18098</v>
      </c>
      <c r="F1264">
        <v>1</v>
      </c>
      <c r="G1264" t="str">
        <f>HYPERLINK("http://babel.hathitrust.org/cgi/pt?id=mdp.39015025339857")</f>
        <v>http://babel.hathitrust.org/cgi/pt?id=mdp.39015025339857</v>
      </c>
      <c r="H1264" t="str">
        <f>HYPERLINK("http://catalog.hathitrust.org/Record/001281981")</f>
        <v>http://catalog.hathitrust.org/Record/001281981</v>
      </c>
      <c r="J1264" s="1">
        <v>1937</v>
      </c>
      <c r="K1264" t="s">
        <v>18099</v>
      </c>
      <c r="L1264" t="s">
        <v>20323</v>
      </c>
    </row>
    <row r="1265" spans="1:12">
      <c r="A1265" t="s">
        <v>18100</v>
      </c>
      <c r="B1265" s="1" t="s">
        <v>18101</v>
      </c>
      <c r="F1265">
        <v>1</v>
      </c>
      <c r="G1265" t="str">
        <f>HYPERLINK("http://babel.hathitrust.org/cgi/pt?id=mdp.39015031678678")</f>
        <v>http://babel.hathitrust.org/cgi/pt?id=mdp.39015031678678</v>
      </c>
      <c r="H1265" t="str">
        <f>HYPERLINK("http://catalog.hathitrust.org/Record/001281982")</f>
        <v>http://catalog.hathitrust.org/Record/001281982</v>
      </c>
      <c r="J1265" s="1">
        <v>1935</v>
      </c>
      <c r="K1265" t="s">
        <v>18102</v>
      </c>
      <c r="L1265" t="s">
        <v>20323</v>
      </c>
    </row>
    <row r="1266" spans="1:12">
      <c r="A1266" t="s">
        <v>18103</v>
      </c>
      <c r="B1266" s="1" t="s">
        <v>18101</v>
      </c>
      <c r="F1266">
        <v>1</v>
      </c>
      <c r="G1266" t="str">
        <f>HYPERLINK("http://babel.hathitrust.org/cgi/pt?id=uc1.b4091310")</f>
        <v>http://babel.hathitrust.org/cgi/pt?id=uc1.b4091310</v>
      </c>
      <c r="H1266" t="str">
        <f>HYPERLINK("http://catalog.hathitrust.org/Record/001281982")</f>
        <v>http://catalog.hathitrust.org/Record/001281982</v>
      </c>
      <c r="J1266" s="1">
        <v>1935</v>
      </c>
      <c r="K1266" t="s">
        <v>18102</v>
      </c>
      <c r="L1266" t="s">
        <v>20323</v>
      </c>
    </row>
    <row r="1267" spans="1:12">
      <c r="A1267" t="s">
        <v>18104</v>
      </c>
      <c r="B1267" s="1" t="s">
        <v>18105</v>
      </c>
      <c r="F1267">
        <v>1</v>
      </c>
      <c r="G1267" t="str">
        <f>HYPERLINK("http://babel.hathitrust.org/cgi/pt?id=mdp.39015070542322")</f>
        <v>http://babel.hathitrust.org/cgi/pt?id=mdp.39015070542322</v>
      </c>
      <c r="H1267" t="str">
        <f>HYPERLINK("http://catalog.hathitrust.org/Record/001281988")</f>
        <v>http://catalog.hathitrust.org/Record/001281988</v>
      </c>
      <c r="J1267" s="1">
        <v>1963</v>
      </c>
      <c r="K1267" t="s">
        <v>18106</v>
      </c>
      <c r="L1267" t="s">
        <v>18107</v>
      </c>
    </row>
    <row r="1268" spans="1:12">
      <c r="A1268" t="s">
        <v>18108</v>
      </c>
      <c r="B1268" s="1" t="s">
        <v>18109</v>
      </c>
      <c r="F1268">
        <v>1</v>
      </c>
      <c r="G1268" t="str">
        <f>HYPERLINK("http://babel.hathitrust.org/cgi/pt?id=mdp.39015074170617")</f>
        <v>http://babel.hathitrust.org/cgi/pt?id=mdp.39015074170617</v>
      </c>
      <c r="H1268" t="str">
        <f>HYPERLINK("http://catalog.hathitrust.org/Record/001281989")</f>
        <v>http://catalog.hathitrust.org/Record/001281989</v>
      </c>
      <c r="J1268" s="1">
        <v>1931</v>
      </c>
      <c r="K1268" t="s">
        <v>18110</v>
      </c>
      <c r="L1268" t="s">
        <v>18111</v>
      </c>
    </row>
    <row r="1269" spans="1:12">
      <c r="A1269" t="s">
        <v>18112</v>
      </c>
      <c r="B1269" s="1" t="s">
        <v>18109</v>
      </c>
      <c r="F1269">
        <v>1</v>
      </c>
      <c r="G1269" t="str">
        <f>HYPERLINK("http://babel.hathitrust.org/cgi/pt?id=uc1.b73036")</f>
        <v>http://babel.hathitrust.org/cgi/pt?id=uc1.b73036</v>
      </c>
      <c r="H1269" t="str">
        <f>HYPERLINK("http://catalog.hathitrust.org/Record/001281989")</f>
        <v>http://catalog.hathitrust.org/Record/001281989</v>
      </c>
      <c r="J1269" s="1">
        <v>1931</v>
      </c>
      <c r="K1269" t="s">
        <v>18110</v>
      </c>
      <c r="L1269" t="s">
        <v>18111</v>
      </c>
    </row>
    <row r="1270" spans="1:12">
      <c r="A1270" t="s">
        <v>18113</v>
      </c>
      <c r="B1270" s="1" t="s">
        <v>18114</v>
      </c>
      <c r="F1270">
        <v>1</v>
      </c>
      <c r="G1270" t="str">
        <f>HYPERLINK("http://babel.hathitrust.org/cgi/pt?id=loc.ark:/13960/t8pc3gx01")</f>
        <v>http://babel.hathitrust.org/cgi/pt?id=loc.ark:/13960/t8pc3gx01</v>
      </c>
      <c r="H1270" t="str">
        <f>HYPERLINK("http://catalog.hathitrust.org/Record/001281992")</f>
        <v>http://catalog.hathitrust.org/Record/001281992</v>
      </c>
      <c r="J1270" s="1">
        <v>1921</v>
      </c>
      <c r="K1270" t="s">
        <v>18115</v>
      </c>
      <c r="L1270" t="s">
        <v>18116</v>
      </c>
    </row>
    <row r="1271" spans="1:12">
      <c r="A1271" t="s">
        <v>18117</v>
      </c>
      <c r="B1271" s="1" t="s">
        <v>18114</v>
      </c>
      <c r="F1271">
        <v>1</v>
      </c>
      <c r="G1271" t="str">
        <f>HYPERLINK("http://babel.hathitrust.org/cgi/pt?id=mdp.39015062803369")</f>
        <v>http://babel.hathitrust.org/cgi/pt?id=mdp.39015062803369</v>
      </c>
      <c r="H1271" t="str">
        <f>HYPERLINK("http://catalog.hathitrust.org/Record/001281992")</f>
        <v>http://catalog.hathitrust.org/Record/001281992</v>
      </c>
      <c r="J1271" s="1">
        <v>1921</v>
      </c>
      <c r="K1271" t="s">
        <v>18115</v>
      </c>
      <c r="L1271" t="s">
        <v>18116</v>
      </c>
    </row>
    <row r="1272" spans="1:12">
      <c r="A1272" t="s">
        <v>18118</v>
      </c>
      <c r="B1272" s="1" t="s">
        <v>18114</v>
      </c>
      <c r="F1272">
        <v>1</v>
      </c>
      <c r="G1272" t="str">
        <f>HYPERLINK("http://babel.hathitrust.org/cgi/pt?id=uc1.b308903")</f>
        <v>http://babel.hathitrust.org/cgi/pt?id=uc1.b308903</v>
      </c>
      <c r="H1272" t="str">
        <f>HYPERLINK("http://catalog.hathitrust.org/Record/001281992")</f>
        <v>http://catalog.hathitrust.org/Record/001281992</v>
      </c>
      <c r="J1272" s="1">
        <v>1921</v>
      </c>
      <c r="K1272" t="s">
        <v>18115</v>
      </c>
      <c r="L1272" t="s">
        <v>18116</v>
      </c>
    </row>
    <row r="1273" spans="1:12">
      <c r="A1273" t="s">
        <v>18119</v>
      </c>
      <c r="B1273" s="1" t="s">
        <v>18114</v>
      </c>
      <c r="F1273">
        <v>1</v>
      </c>
      <c r="G1273" t="str">
        <f>HYPERLINK("http://babel.hathitrust.org/cgi/pt?id=uc2.ark:/13960/t0qr4sd5q")</f>
        <v>http://babel.hathitrust.org/cgi/pt?id=uc2.ark:/13960/t0qr4sd5q</v>
      </c>
      <c r="H1273" t="str">
        <f>HYPERLINK("http://catalog.hathitrust.org/Record/001281992")</f>
        <v>http://catalog.hathitrust.org/Record/001281992</v>
      </c>
      <c r="J1273" s="1">
        <v>1921</v>
      </c>
      <c r="K1273" t="s">
        <v>18115</v>
      </c>
      <c r="L1273" t="s">
        <v>18116</v>
      </c>
    </row>
    <row r="1274" spans="1:12">
      <c r="A1274" t="s">
        <v>18120</v>
      </c>
      <c r="B1274" s="1" t="s">
        <v>18121</v>
      </c>
      <c r="F1274">
        <v>1</v>
      </c>
      <c r="G1274" t="str">
        <f>HYPERLINK("http://babel.hathitrust.org/cgi/pt?id=loc.ark:/13960/t4km04654")</f>
        <v>http://babel.hathitrust.org/cgi/pt?id=loc.ark:/13960/t4km04654</v>
      </c>
      <c r="H1274" t="str">
        <f>HYPERLINK("http://catalog.hathitrust.org/Record/001281994")</f>
        <v>http://catalog.hathitrust.org/Record/001281994</v>
      </c>
      <c r="J1274" s="1">
        <v>1913</v>
      </c>
      <c r="K1274" t="s">
        <v>18004</v>
      </c>
      <c r="L1274" t="s">
        <v>18005</v>
      </c>
    </row>
    <row r="1275" spans="1:12">
      <c r="A1275" t="s">
        <v>18006</v>
      </c>
      <c r="B1275" s="1" t="s">
        <v>18121</v>
      </c>
      <c r="F1275">
        <v>1</v>
      </c>
      <c r="G1275" t="str">
        <f>HYPERLINK("http://babel.hathitrust.org/cgi/pt?id=mdp.39015023663928")</f>
        <v>http://babel.hathitrust.org/cgi/pt?id=mdp.39015023663928</v>
      </c>
      <c r="H1275" t="str">
        <f>HYPERLINK("http://catalog.hathitrust.org/Record/001281994")</f>
        <v>http://catalog.hathitrust.org/Record/001281994</v>
      </c>
      <c r="J1275" s="1">
        <v>1913</v>
      </c>
      <c r="K1275" t="s">
        <v>18004</v>
      </c>
      <c r="L1275" t="s">
        <v>18005</v>
      </c>
    </row>
    <row r="1276" spans="1:12">
      <c r="A1276" t="s">
        <v>18007</v>
      </c>
      <c r="B1276" s="1" t="s">
        <v>18121</v>
      </c>
      <c r="F1276">
        <v>1</v>
      </c>
      <c r="G1276" t="str">
        <f>HYPERLINK("http://babel.hathitrust.org/cgi/pt?id=uc1.b305389")</f>
        <v>http://babel.hathitrust.org/cgi/pt?id=uc1.b305389</v>
      </c>
      <c r="H1276" t="str">
        <f>HYPERLINK("http://catalog.hathitrust.org/Record/001281994")</f>
        <v>http://catalog.hathitrust.org/Record/001281994</v>
      </c>
      <c r="J1276" s="1">
        <v>1913</v>
      </c>
      <c r="K1276" t="s">
        <v>18004</v>
      </c>
      <c r="L1276" t="s">
        <v>18005</v>
      </c>
    </row>
    <row r="1277" spans="1:12">
      <c r="A1277" t="s">
        <v>18008</v>
      </c>
      <c r="B1277" s="1" t="s">
        <v>18121</v>
      </c>
      <c r="F1277">
        <v>1</v>
      </c>
      <c r="G1277" t="str">
        <f>HYPERLINK("http://babel.hathitrust.org/cgi/pt?id=uc1.b308904")</f>
        <v>http://babel.hathitrust.org/cgi/pt?id=uc1.b308904</v>
      </c>
      <c r="H1277" t="str">
        <f>HYPERLINK("http://catalog.hathitrust.org/Record/001281994")</f>
        <v>http://catalog.hathitrust.org/Record/001281994</v>
      </c>
      <c r="J1277" s="1">
        <v>1913</v>
      </c>
      <c r="K1277" t="s">
        <v>18004</v>
      </c>
      <c r="L1277" t="s">
        <v>18005</v>
      </c>
    </row>
    <row r="1278" spans="1:12">
      <c r="A1278" t="s">
        <v>18009</v>
      </c>
      <c r="B1278" s="1" t="s">
        <v>18121</v>
      </c>
      <c r="F1278">
        <v>1</v>
      </c>
      <c r="G1278" t="str">
        <f>HYPERLINK("http://babel.hathitrust.org/cgi/pt?id=uc2.ark:/13960/t0zp40n88")</f>
        <v>http://babel.hathitrust.org/cgi/pt?id=uc2.ark:/13960/t0zp40n88</v>
      </c>
      <c r="H1278" t="str">
        <f>HYPERLINK("http://catalog.hathitrust.org/Record/001281994")</f>
        <v>http://catalog.hathitrust.org/Record/001281994</v>
      </c>
      <c r="J1278" s="1">
        <v>1913</v>
      </c>
      <c r="K1278" t="s">
        <v>18004</v>
      </c>
      <c r="L1278" t="s">
        <v>18005</v>
      </c>
    </row>
    <row r="1279" spans="1:12">
      <c r="A1279" t="s">
        <v>18010</v>
      </c>
      <c r="B1279" s="1" t="s">
        <v>18011</v>
      </c>
      <c r="F1279">
        <v>1</v>
      </c>
      <c r="G1279" t="str">
        <f>HYPERLINK("http://babel.hathitrust.org/cgi/pt?id=uc2.ark:/13960/t0gt5h38q")</f>
        <v>http://babel.hathitrust.org/cgi/pt?id=uc2.ark:/13960/t0gt5h38q</v>
      </c>
      <c r="H1279" t="str">
        <f>HYPERLINK("http://catalog.hathitrust.org/Record/001281997")</f>
        <v>http://catalog.hathitrust.org/Record/001281997</v>
      </c>
      <c r="J1279" s="1">
        <v>1912</v>
      </c>
      <c r="K1279" t="s">
        <v>18012</v>
      </c>
      <c r="L1279" t="s">
        <v>18013</v>
      </c>
    </row>
    <row r="1280" spans="1:12">
      <c r="A1280" t="s">
        <v>18014</v>
      </c>
      <c r="B1280" s="1" t="s">
        <v>18015</v>
      </c>
      <c r="F1280">
        <v>1</v>
      </c>
      <c r="G1280" t="str">
        <f>HYPERLINK("http://babel.hathitrust.org/cgi/pt?id=loc.ark:/13960/t7tm7pf61")</f>
        <v>http://babel.hathitrust.org/cgi/pt?id=loc.ark:/13960/t7tm7pf61</v>
      </c>
      <c r="H1280" t="str">
        <f>HYPERLINK("http://catalog.hathitrust.org/Record/001281998")</f>
        <v>http://catalog.hathitrust.org/Record/001281998</v>
      </c>
      <c r="J1280" s="1">
        <v>1911</v>
      </c>
      <c r="K1280" t="s">
        <v>18016</v>
      </c>
      <c r="L1280" t="s">
        <v>18017</v>
      </c>
    </row>
    <row r="1281" spans="1:12">
      <c r="A1281" t="s">
        <v>18018</v>
      </c>
      <c r="B1281" s="1" t="s">
        <v>18015</v>
      </c>
      <c r="F1281">
        <v>1</v>
      </c>
      <c r="G1281" t="str">
        <f>HYPERLINK("http://babel.hathitrust.org/cgi/pt?id=mdp.39015062701373")</f>
        <v>http://babel.hathitrust.org/cgi/pt?id=mdp.39015062701373</v>
      </c>
      <c r="H1281" t="str">
        <f>HYPERLINK("http://catalog.hathitrust.org/Record/001281998")</f>
        <v>http://catalog.hathitrust.org/Record/001281998</v>
      </c>
      <c r="J1281" s="1">
        <v>1911</v>
      </c>
      <c r="K1281" t="s">
        <v>18016</v>
      </c>
      <c r="L1281" t="s">
        <v>18017</v>
      </c>
    </row>
    <row r="1282" spans="1:12">
      <c r="A1282" t="s">
        <v>18019</v>
      </c>
      <c r="B1282" s="1" t="s">
        <v>18015</v>
      </c>
      <c r="F1282">
        <v>1</v>
      </c>
      <c r="G1282" t="str">
        <f>HYPERLINK("http://babel.hathitrust.org/cgi/pt?id=uc2.ark:/13960/t15m6d960")</f>
        <v>http://babel.hathitrust.org/cgi/pt?id=uc2.ark:/13960/t15m6d960</v>
      </c>
      <c r="H1282" t="str">
        <f>HYPERLINK("http://catalog.hathitrust.org/Record/001281998")</f>
        <v>http://catalog.hathitrust.org/Record/001281998</v>
      </c>
      <c r="J1282" s="1">
        <v>1911</v>
      </c>
      <c r="K1282" t="s">
        <v>18016</v>
      </c>
      <c r="L1282" t="s">
        <v>18017</v>
      </c>
    </row>
    <row r="1283" spans="1:12">
      <c r="A1283" t="s">
        <v>18020</v>
      </c>
      <c r="B1283" s="1" t="s">
        <v>18021</v>
      </c>
      <c r="E1283">
        <v>1</v>
      </c>
      <c r="G1283" t="str">
        <f>HYPERLINK("http://babel.hathitrust.org/cgi/pt?id=mdp.39015050939563")</f>
        <v>http://babel.hathitrust.org/cgi/pt?id=mdp.39015050939563</v>
      </c>
      <c r="H1283" t="str">
        <f>HYPERLINK("http://catalog.hathitrust.org/Record/001282011")</f>
        <v>http://catalog.hathitrust.org/Record/001282011</v>
      </c>
      <c r="J1283" s="1">
        <v>1922</v>
      </c>
      <c r="K1283" t="s">
        <v>18022</v>
      </c>
      <c r="L1283" t="s">
        <v>18391</v>
      </c>
    </row>
    <row r="1284" spans="1:12">
      <c r="A1284" t="s">
        <v>18023</v>
      </c>
      <c r="B1284" s="1" t="s">
        <v>18024</v>
      </c>
      <c r="F1284">
        <v>1</v>
      </c>
      <c r="G1284" t="str">
        <f>HYPERLINK("http://babel.hathitrust.org/cgi/pt?id=mdp.39015062746808")</f>
        <v>http://babel.hathitrust.org/cgi/pt?id=mdp.39015062746808</v>
      </c>
      <c r="H1284" t="str">
        <f>HYPERLINK("http://catalog.hathitrust.org/Record/001282107")</f>
        <v>http://catalog.hathitrust.org/Record/001282107</v>
      </c>
      <c r="J1284" s="1">
        <v>1934</v>
      </c>
      <c r="K1284" t="s">
        <v>18025</v>
      </c>
      <c r="L1284" t="s">
        <v>18026</v>
      </c>
    </row>
    <row r="1285" spans="1:12">
      <c r="A1285" t="s">
        <v>18027</v>
      </c>
      <c r="B1285" s="1" t="s">
        <v>18024</v>
      </c>
      <c r="F1285">
        <v>1</v>
      </c>
      <c r="G1285" t="str">
        <f>HYPERLINK("http://babel.hathitrust.org/cgi/pt?id=uc1.b59701")</f>
        <v>http://babel.hathitrust.org/cgi/pt?id=uc1.b59701</v>
      </c>
      <c r="H1285" t="str">
        <f>HYPERLINK("http://catalog.hathitrust.org/Record/001282107")</f>
        <v>http://catalog.hathitrust.org/Record/001282107</v>
      </c>
      <c r="J1285" s="1">
        <v>1934</v>
      </c>
      <c r="K1285" t="s">
        <v>18025</v>
      </c>
      <c r="L1285" t="s">
        <v>18026</v>
      </c>
    </row>
    <row r="1286" spans="1:12">
      <c r="A1286" t="s">
        <v>18028</v>
      </c>
      <c r="B1286" s="1" t="s">
        <v>18029</v>
      </c>
      <c r="F1286">
        <v>1</v>
      </c>
      <c r="G1286" t="str">
        <f>HYPERLINK("http://babel.hathitrust.org/cgi/pt?id=mdp.39015009312466")</f>
        <v>http://babel.hathitrust.org/cgi/pt?id=mdp.39015009312466</v>
      </c>
      <c r="H1286" t="str">
        <f>HYPERLINK("http://catalog.hathitrust.org/Record/001282121")</f>
        <v>http://catalog.hathitrust.org/Record/001282121</v>
      </c>
      <c r="J1286" s="1">
        <v>1924</v>
      </c>
      <c r="K1286" t="s">
        <v>18030</v>
      </c>
      <c r="L1286" t="s">
        <v>18031</v>
      </c>
    </row>
    <row r="1287" spans="1:12">
      <c r="A1287" t="s">
        <v>18032</v>
      </c>
      <c r="B1287" s="1" t="s">
        <v>18033</v>
      </c>
      <c r="F1287">
        <v>1</v>
      </c>
      <c r="G1287" t="str">
        <f>HYPERLINK("http://babel.hathitrust.org/cgi/pt?id=mdp.39015035880155")</f>
        <v>http://babel.hathitrust.org/cgi/pt?id=mdp.39015035880155</v>
      </c>
      <c r="H1287" t="str">
        <f>HYPERLINK("http://catalog.hathitrust.org/Record/001282976")</f>
        <v>http://catalog.hathitrust.org/Record/001282976</v>
      </c>
      <c r="J1287" s="1">
        <v>1951</v>
      </c>
      <c r="K1287" t="s">
        <v>18034</v>
      </c>
      <c r="L1287" t="s">
        <v>18035</v>
      </c>
    </row>
    <row r="1288" spans="1:12">
      <c r="A1288" t="s">
        <v>18036</v>
      </c>
      <c r="B1288" s="1" t="s">
        <v>18037</v>
      </c>
      <c r="F1288">
        <v>1</v>
      </c>
      <c r="G1288" t="str">
        <f>HYPERLINK("http://babel.hathitrust.org/cgi/pt?id=mdp.39015048455409")</f>
        <v>http://babel.hathitrust.org/cgi/pt?id=mdp.39015048455409</v>
      </c>
      <c r="H1288" t="str">
        <f>HYPERLINK("http://catalog.hathitrust.org/Record/001283011")</f>
        <v>http://catalog.hathitrust.org/Record/001283011</v>
      </c>
      <c r="J1288" s="1">
        <v>1963</v>
      </c>
      <c r="K1288" t="s">
        <v>18038</v>
      </c>
      <c r="L1288" t="s">
        <v>18039</v>
      </c>
    </row>
    <row r="1289" spans="1:12">
      <c r="A1289" t="s">
        <v>18040</v>
      </c>
      <c r="B1289" s="1" t="s">
        <v>18037</v>
      </c>
      <c r="F1289">
        <v>1</v>
      </c>
      <c r="G1289" t="str">
        <f>HYPERLINK("http://babel.hathitrust.org/cgi/pt?id=uc1.b4305473")</f>
        <v>http://babel.hathitrust.org/cgi/pt?id=uc1.b4305473</v>
      </c>
      <c r="H1289" t="str">
        <f>HYPERLINK("http://catalog.hathitrust.org/Record/001283011")</f>
        <v>http://catalog.hathitrust.org/Record/001283011</v>
      </c>
      <c r="J1289" s="1">
        <v>1963</v>
      </c>
      <c r="K1289" t="s">
        <v>18038</v>
      </c>
      <c r="L1289" t="s">
        <v>18039</v>
      </c>
    </row>
    <row r="1290" spans="1:12">
      <c r="A1290" t="s">
        <v>18041</v>
      </c>
      <c r="B1290" s="1" t="s">
        <v>18042</v>
      </c>
      <c r="F1290">
        <v>1</v>
      </c>
      <c r="G1290" t="str">
        <f>HYPERLINK("http://babel.hathitrust.org/cgi/pt?id=mdp.39015062731750")</f>
        <v>http://babel.hathitrust.org/cgi/pt?id=mdp.39015062731750</v>
      </c>
      <c r="H1290" t="str">
        <f>HYPERLINK("http://catalog.hathitrust.org/Record/001283012")</f>
        <v>http://catalog.hathitrust.org/Record/001283012</v>
      </c>
      <c r="J1290" s="1">
        <v>1921</v>
      </c>
      <c r="K1290" t="s">
        <v>18043</v>
      </c>
      <c r="L1290" t="s">
        <v>18044</v>
      </c>
    </row>
    <row r="1291" spans="1:12">
      <c r="A1291" t="s">
        <v>18045</v>
      </c>
      <c r="B1291" s="1" t="s">
        <v>18042</v>
      </c>
      <c r="F1291">
        <v>1</v>
      </c>
      <c r="G1291" t="str">
        <f>HYPERLINK("http://babel.hathitrust.org/cgi/pt?id=nyp.33433069253643")</f>
        <v>http://babel.hathitrust.org/cgi/pt?id=nyp.33433069253643</v>
      </c>
      <c r="H1291" t="str">
        <f>HYPERLINK("http://catalog.hathitrust.org/Record/001283012")</f>
        <v>http://catalog.hathitrust.org/Record/001283012</v>
      </c>
      <c r="J1291" s="1">
        <v>1921</v>
      </c>
      <c r="K1291" t="s">
        <v>18043</v>
      </c>
      <c r="L1291" t="s">
        <v>18044</v>
      </c>
    </row>
    <row r="1292" spans="1:12">
      <c r="A1292" t="s">
        <v>18046</v>
      </c>
      <c r="B1292" s="1" t="s">
        <v>18042</v>
      </c>
      <c r="F1292">
        <v>1</v>
      </c>
      <c r="G1292" t="str">
        <f>HYPERLINK("http://babel.hathitrust.org/cgi/pt?id=uc1.b301259")</f>
        <v>http://babel.hathitrust.org/cgi/pt?id=uc1.b301259</v>
      </c>
      <c r="H1292" t="str">
        <f>HYPERLINK("http://catalog.hathitrust.org/Record/001283012")</f>
        <v>http://catalog.hathitrust.org/Record/001283012</v>
      </c>
      <c r="J1292" s="1">
        <v>1921</v>
      </c>
      <c r="K1292" t="s">
        <v>18043</v>
      </c>
      <c r="L1292" t="s">
        <v>18044</v>
      </c>
    </row>
    <row r="1293" spans="1:12">
      <c r="A1293" t="s">
        <v>18047</v>
      </c>
      <c r="B1293" s="1" t="s">
        <v>18042</v>
      </c>
      <c r="F1293">
        <v>1</v>
      </c>
      <c r="G1293" t="str">
        <f>HYPERLINK("http://babel.hathitrust.org/cgi/pt?id=uc1.b305850")</f>
        <v>http://babel.hathitrust.org/cgi/pt?id=uc1.b305850</v>
      </c>
      <c r="H1293" t="str">
        <f>HYPERLINK("http://catalog.hathitrust.org/Record/001283012")</f>
        <v>http://catalog.hathitrust.org/Record/001283012</v>
      </c>
      <c r="J1293" s="1">
        <v>1921</v>
      </c>
      <c r="K1293" t="s">
        <v>18043</v>
      </c>
      <c r="L1293" t="s">
        <v>18044</v>
      </c>
    </row>
    <row r="1294" spans="1:12">
      <c r="A1294" t="s">
        <v>18048</v>
      </c>
      <c r="B1294" s="1" t="s">
        <v>18042</v>
      </c>
      <c r="F1294">
        <v>1</v>
      </c>
      <c r="G1294" t="str">
        <f>HYPERLINK("http://babel.hathitrust.org/cgi/pt?id=uc2.ark:/13960/t45q5592n")</f>
        <v>http://babel.hathitrust.org/cgi/pt?id=uc2.ark:/13960/t45q5592n</v>
      </c>
      <c r="H1294" t="str">
        <f>HYPERLINK("http://catalog.hathitrust.org/Record/001283012")</f>
        <v>http://catalog.hathitrust.org/Record/001283012</v>
      </c>
      <c r="J1294" s="1">
        <v>1921</v>
      </c>
      <c r="K1294" t="s">
        <v>18043</v>
      </c>
      <c r="L1294" t="s">
        <v>18044</v>
      </c>
    </row>
    <row r="1295" spans="1:12">
      <c r="A1295" t="s">
        <v>18049</v>
      </c>
      <c r="B1295" s="1" t="s">
        <v>18050</v>
      </c>
      <c r="F1295">
        <v>1</v>
      </c>
      <c r="G1295" t="str">
        <f>HYPERLINK("http://babel.hathitrust.org/cgi/pt?id=mdp.39015062349298")</f>
        <v>http://babel.hathitrust.org/cgi/pt?id=mdp.39015062349298</v>
      </c>
      <c r="H1295" t="str">
        <f>HYPERLINK("http://catalog.hathitrust.org/Record/001283022")</f>
        <v>http://catalog.hathitrust.org/Record/001283022</v>
      </c>
      <c r="I1295" s="1" t="s">
        <v>18051</v>
      </c>
      <c r="J1295" s="1">
        <v>1933</v>
      </c>
      <c r="K1295" t="s">
        <v>18070</v>
      </c>
    </row>
    <row r="1296" spans="1:12">
      <c r="A1296" t="s">
        <v>18052</v>
      </c>
      <c r="B1296" s="1" t="s">
        <v>18053</v>
      </c>
      <c r="F1296">
        <v>1</v>
      </c>
      <c r="G1296" t="str">
        <f>HYPERLINK("http://babel.hathitrust.org/cgi/pt?id=mdp.39015062731578")</f>
        <v>http://babel.hathitrust.org/cgi/pt?id=mdp.39015062731578</v>
      </c>
      <c r="H1296" t="str">
        <f>HYPERLINK("http://catalog.hathitrust.org/Record/001283033")</f>
        <v>http://catalog.hathitrust.org/Record/001283033</v>
      </c>
      <c r="J1296" s="1">
        <v>1941</v>
      </c>
      <c r="K1296" t="s">
        <v>18054</v>
      </c>
      <c r="L1296" t="s">
        <v>18055</v>
      </c>
    </row>
    <row r="1297" spans="1:12">
      <c r="A1297" t="s">
        <v>18056</v>
      </c>
      <c r="B1297" s="1" t="s">
        <v>18057</v>
      </c>
      <c r="F1297">
        <v>1</v>
      </c>
      <c r="G1297" t="str">
        <f>HYPERLINK("http://babel.hathitrust.org/cgi/pt?id=loc.ark:/13960/t4th9bg7q")</f>
        <v>http://babel.hathitrust.org/cgi/pt?id=loc.ark:/13960/t4th9bg7q</v>
      </c>
      <c r="H1297" t="str">
        <f>HYPERLINK("http://catalog.hathitrust.org/Record/001283039")</f>
        <v>http://catalog.hathitrust.org/Record/001283039</v>
      </c>
      <c r="J1297" s="1">
        <v>1917</v>
      </c>
      <c r="K1297" t="s">
        <v>17939</v>
      </c>
      <c r="L1297" t="s">
        <v>17940</v>
      </c>
    </row>
    <row r="1298" spans="1:12">
      <c r="A1298" t="s">
        <v>17941</v>
      </c>
      <c r="B1298" s="1" t="s">
        <v>18057</v>
      </c>
      <c r="F1298">
        <v>1</v>
      </c>
      <c r="G1298" t="str">
        <f>HYPERLINK("http://babel.hathitrust.org/cgi/pt?id=mdp.39015014591302")</f>
        <v>http://babel.hathitrust.org/cgi/pt?id=mdp.39015014591302</v>
      </c>
      <c r="H1298" t="str">
        <f>HYPERLINK("http://catalog.hathitrust.org/Record/001283039")</f>
        <v>http://catalog.hathitrust.org/Record/001283039</v>
      </c>
      <c r="J1298" s="1">
        <v>1917</v>
      </c>
      <c r="K1298" t="s">
        <v>17939</v>
      </c>
      <c r="L1298" t="s">
        <v>17940</v>
      </c>
    </row>
    <row r="1299" spans="1:12">
      <c r="A1299" t="s">
        <v>17942</v>
      </c>
      <c r="B1299" s="1" t="s">
        <v>18057</v>
      </c>
      <c r="F1299">
        <v>1</v>
      </c>
      <c r="G1299" t="str">
        <f>HYPERLINK("http://babel.hathitrust.org/cgi/pt?id=uc1.b301263")</f>
        <v>http://babel.hathitrust.org/cgi/pt?id=uc1.b301263</v>
      </c>
      <c r="H1299" t="str">
        <f>HYPERLINK("http://catalog.hathitrust.org/Record/001283039")</f>
        <v>http://catalog.hathitrust.org/Record/001283039</v>
      </c>
      <c r="J1299" s="1">
        <v>1917</v>
      </c>
      <c r="K1299" t="s">
        <v>17939</v>
      </c>
      <c r="L1299" t="s">
        <v>17940</v>
      </c>
    </row>
    <row r="1300" spans="1:12">
      <c r="A1300" t="s">
        <v>17943</v>
      </c>
      <c r="B1300" s="1" t="s">
        <v>17944</v>
      </c>
      <c r="F1300">
        <v>1</v>
      </c>
      <c r="G1300" t="str">
        <f>HYPERLINK("http://babel.hathitrust.org/cgi/pt?id=mdp.39015038902055")</f>
        <v>http://babel.hathitrust.org/cgi/pt?id=mdp.39015038902055</v>
      </c>
      <c r="H1300" t="str">
        <f>HYPERLINK("http://catalog.hathitrust.org/Record/001283041")</f>
        <v>http://catalog.hathitrust.org/Record/001283041</v>
      </c>
      <c r="J1300" s="1">
        <v>1927</v>
      </c>
      <c r="K1300" t="s">
        <v>17945</v>
      </c>
      <c r="L1300" t="s">
        <v>17946</v>
      </c>
    </row>
    <row r="1301" spans="1:12">
      <c r="A1301" t="s">
        <v>17947</v>
      </c>
      <c r="B1301" s="1" t="s">
        <v>17944</v>
      </c>
      <c r="F1301">
        <v>1</v>
      </c>
      <c r="G1301" t="str">
        <f>HYPERLINK("http://babel.hathitrust.org/cgi/pt?id=uc1.b4488000")</f>
        <v>http://babel.hathitrust.org/cgi/pt?id=uc1.b4488000</v>
      </c>
      <c r="H1301" t="str">
        <f>HYPERLINK("http://catalog.hathitrust.org/Record/001283041")</f>
        <v>http://catalog.hathitrust.org/Record/001283041</v>
      </c>
      <c r="J1301" s="1">
        <v>1927</v>
      </c>
      <c r="K1301" t="s">
        <v>17945</v>
      </c>
      <c r="L1301" t="s">
        <v>17946</v>
      </c>
    </row>
    <row r="1302" spans="1:12">
      <c r="A1302" t="s">
        <v>17948</v>
      </c>
      <c r="B1302" s="1" t="s">
        <v>17949</v>
      </c>
      <c r="F1302">
        <v>1</v>
      </c>
      <c r="G1302" t="str">
        <f>HYPERLINK("http://babel.hathitrust.org/cgi/pt?id=mdp.39015070542314")</f>
        <v>http://babel.hathitrust.org/cgi/pt?id=mdp.39015070542314</v>
      </c>
      <c r="H1302" t="str">
        <f>HYPERLINK("http://catalog.hathitrust.org/Record/001287800")</f>
        <v>http://catalog.hathitrust.org/Record/001287800</v>
      </c>
      <c r="J1302" s="1">
        <v>1963</v>
      </c>
      <c r="K1302" t="s">
        <v>17950</v>
      </c>
      <c r="L1302" t="s">
        <v>17951</v>
      </c>
    </row>
    <row r="1303" spans="1:12">
      <c r="A1303" t="s">
        <v>17952</v>
      </c>
      <c r="B1303" s="1" t="s">
        <v>17953</v>
      </c>
      <c r="F1303">
        <v>1</v>
      </c>
      <c r="G1303" t="str">
        <f>HYPERLINK("http://babel.hathitrust.org/cgi/pt?id=mdp.39015008650197")</f>
        <v>http://babel.hathitrust.org/cgi/pt?id=mdp.39015008650197</v>
      </c>
      <c r="H1303" t="str">
        <f>HYPERLINK("http://catalog.hathitrust.org/Record/001287808")</f>
        <v>http://catalog.hathitrust.org/Record/001287808</v>
      </c>
      <c r="J1303" s="1">
        <v>1961</v>
      </c>
      <c r="K1303" t="s">
        <v>17954</v>
      </c>
      <c r="L1303" t="s">
        <v>17955</v>
      </c>
    </row>
    <row r="1304" spans="1:12">
      <c r="A1304" t="s">
        <v>17956</v>
      </c>
      <c r="B1304" s="1" t="s">
        <v>17957</v>
      </c>
      <c r="F1304">
        <v>1</v>
      </c>
      <c r="G1304" t="str">
        <f>HYPERLINK("http://babel.hathitrust.org/cgi/pt?id=miun.afm4455.0001.001")</f>
        <v>http://babel.hathitrust.org/cgi/pt?id=miun.afm4455.0001.001</v>
      </c>
      <c r="H1304" t="str">
        <f>HYPERLINK("http://catalog.hathitrust.org/Record/001287814")</f>
        <v>http://catalog.hathitrust.org/Record/001287814</v>
      </c>
      <c r="J1304" s="1">
        <v>1870</v>
      </c>
      <c r="K1304" t="s">
        <v>17958</v>
      </c>
      <c r="L1304" t="s">
        <v>17959</v>
      </c>
    </row>
    <row r="1305" spans="1:12">
      <c r="A1305" t="s">
        <v>17960</v>
      </c>
      <c r="B1305" s="1" t="s">
        <v>17961</v>
      </c>
      <c r="E1305">
        <v>1</v>
      </c>
      <c r="G1305" t="str">
        <f>HYPERLINK("http://babel.hathitrust.org/cgi/pt?id=mdp.39015011921064")</f>
        <v>http://babel.hathitrust.org/cgi/pt?id=mdp.39015011921064</v>
      </c>
      <c r="H1305" t="str">
        <f>HYPERLINK("http://catalog.hathitrust.org/Record/001355739")</f>
        <v>http://catalog.hathitrust.org/Record/001355739</v>
      </c>
      <c r="I1305" s="1" t="s">
        <v>20679</v>
      </c>
      <c r="J1305" s="1">
        <v>1905</v>
      </c>
      <c r="K1305" t="s">
        <v>17962</v>
      </c>
      <c r="L1305" t="s">
        <v>17963</v>
      </c>
    </row>
    <row r="1306" spans="1:12">
      <c r="A1306" t="s">
        <v>17964</v>
      </c>
      <c r="B1306" s="1" t="s">
        <v>17961</v>
      </c>
      <c r="E1306">
        <v>1</v>
      </c>
      <c r="G1306" t="str">
        <f>HYPERLINK("http://babel.hathitrust.org/cgi/pt?id=mdp.39015065391990")</f>
        <v>http://babel.hathitrust.org/cgi/pt?id=mdp.39015065391990</v>
      </c>
      <c r="H1306" t="str">
        <f>HYPERLINK("http://catalog.hathitrust.org/Record/001355739")</f>
        <v>http://catalog.hathitrust.org/Record/001355739</v>
      </c>
      <c r="I1306" s="1" t="s">
        <v>20920</v>
      </c>
      <c r="J1306" s="1">
        <v>1905</v>
      </c>
      <c r="K1306" t="s">
        <v>17962</v>
      </c>
      <c r="L1306" t="s">
        <v>17963</v>
      </c>
    </row>
    <row r="1307" spans="1:12">
      <c r="A1307" t="s">
        <v>17965</v>
      </c>
      <c r="B1307" s="1" t="s">
        <v>17961</v>
      </c>
      <c r="E1307">
        <v>1</v>
      </c>
      <c r="G1307" t="str">
        <f>HYPERLINK("http://babel.hathitrust.org/cgi/pt?id=mdp.39015065392154")</f>
        <v>http://babel.hathitrust.org/cgi/pt?id=mdp.39015065392154</v>
      </c>
      <c r="H1307" t="str">
        <f>HYPERLINK("http://catalog.hathitrust.org/Record/001355739")</f>
        <v>http://catalog.hathitrust.org/Record/001355739</v>
      </c>
      <c r="I1307" s="1" t="s">
        <v>20681</v>
      </c>
      <c r="J1307" s="1">
        <v>1905</v>
      </c>
      <c r="K1307" t="s">
        <v>17962</v>
      </c>
      <c r="L1307" t="s">
        <v>17963</v>
      </c>
    </row>
    <row r="1308" spans="1:12">
      <c r="A1308" t="s">
        <v>17966</v>
      </c>
      <c r="B1308" s="1" t="s">
        <v>17961</v>
      </c>
      <c r="E1308">
        <v>1</v>
      </c>
      <c r="G1308" t="str">
        <f>HYPERLINK("http://babel.hathitrust.org/cgi/pt?id=mdp.39015065392329")</f>
        <v>http://babel.hathitrust.org/cgi/pt?id=mdp.39015065392329</v>
      </c>
      <c r="H1308" t="str">
        <f>HYPERLINK("http://catalog.hathitrust.org/Record/001355739")</f>
        <v>http://catalog.hathitrust.org/Record/001355739</v>
      </c>
      <c r="I1308" s="1" t="s">
        <v>20755</v>
      </c>
      <c r="J1308" s="1">
        <v>1905</v>
      </c>
      <c r="K1308" t="s">
        <v>17962</v>
      </c>
      <c r="L1308" t="s">
        <v>17963</v>
      </c>
    </row>
    <row r="1309" spans="1:12">
      <c r="A1309" t="s">
        <v>17967</v>
      </c>
      <c r="B1309" s="1" t="s">
        <v>17968</v>
      </c>
      <c r="F1309">
        <v>1</v>
      </c>
      <c r="G1309" t="str">
        <f>HYPERLINK("http://babel.hathitrust.org/cgi/pt?id=mdp.39015004945625")</f>
        <v>http://babel.hathitrust.org/cgi/pt?id=mdp.39015004945625</v>
      </c>
      <c r="H1309" t="str">
        <f>HYPERLINK("http://catalog.hathitrust.org/Record/001356702")</f>
        <v>http://catalog.hathitrust.org/Record/001356702</v>
      </c>
      <c r="J1309" s="1">
        <v>1959</v>
      </c>
      <c r="K1309" t="s">
        <v>17969</v>
      </c>
      <c r="L1309" t="s">
        <v>20193</v>
      </c>
    </row>
    <row r="1310" spans="1:12">
      <c r="A1310" t="s">
        <v>17970</v>
      </c>
      <c r="B1310" s="1" t="s">
        <v>17968</v>
      </c>
      <c r="F1310">
        <v>1</v>
      </c>
      <c r="G1310" t="str">
        <f>HYPERLINK("http://babel.hathitrust.org/cgi/pt?id=mdp.39015035760415")</f>
        <v>http://babel.hathitrust.org/cgi/pt?id=mdp.39015035760415</v>
      </c>
      <c r="H1310" t="str">
        <f>HYPERLINK("http://catalog.hathitrust.org/Record/001356702")</f>
        <v>http://catalog.hathitrust.org/Record/001356702</v>
      </c>
      <c r="J1310" s="1">
        <v>1959</v>
      </c>
      <c r="K1310" t="s">
        <v>17969</v>
      </c>
      <c r="L1310" t="s">
        <v>20193</v>
      </c>
    </row>
    <row r="1311" spans="1:12">
      <c r="A1311" t="s">
        <v>17971</v>
      </c>
      <c r="B1311" s="1" t="s">
        <v>17972</v>
      </c>
      <c r="F1311">
        <v>1</v>
      </c>
      <c r="G1311" t="str">
        <f>HYPERLINK("http://babel.hathitrust.org/cgi/pt?id=mdp.39015066923411")</f>
        <v>http://babel.hathitrust.org/cgi/pt?id=mdp.39015066923411</v>
      </c>
      <c r="H1311" t="str">
        <f>HYPERLINK("http://catalog.hathitrust.org/Record/001358223")</f>
        <v>http://catalog.hathitrust.org/Record/001358223</v>
      </c>
      <c r="J1311" s="1">
        <v>1872</v>
      </c>
      <c r="K1311" t="s">
        <v>17973</v>
      </c>
      <c r="L1311" t="s">
        <v>17974</v>
      </c>
    </row>
    <row r="1312" spans="1:12">
      <c r="A1312" t="s">
        <v>17975</v>
      </c>
      <c r="B1312" s="1" t="s">
        <v>17976</v>
      </c>
      <c r="F1312">
        <v>1</v>
      </c>
      <c r="G1312" t="str">
        <f>HYPERLINK("http://babel.hathitrust.org/cgi/pt?id=mdp.39015024840343")</f>
        <v>http://babel.hathitrust.org/cgi/pt?id=mdp.39015024840343</v>
      </c>
      <c r="H1312" t="str">
        <f>HYPERLINK("http://catalog.hathitrust.org/Record/001358473")</f>
        <v>http://catalog.hathitrust.org/Record/001358473</v>
      </c>
      <c r="J1312" s="1">
        <v>1953</v>
      </c>
      <c r="K1312" t="s">
        <v>17977</v>
      </c>
      <c r="L1312" t="s">
        <v>17978</v>
      </c>
    </row>
    <row r="1313" spans="1:12">
      <c r="A1313" t="s">
        <v>17979</v>
      </c>
      <c r="B1313" s="1" t="s">
        <v>17976</v>
      </c>
      <c r="F1313">
        <v>1</v>
      </c>
      <c r="G1313" t="str">
        <f>HYPERLINK("http://babel.hathitrust.org/cgi/pt?id=uc1.32106001629473")</f>
        <v>http://babel.hathitrust.org/cgi/pt?id=uc1.32106001629473</v>
      </c>
      <c r="H1313" t="str">
        <f>HYPERLINK("http://catalog.hathitrust.org/Record/001358473")</f>
        <v>http://catalog.hathitrust.org/Record/001358473</v>
      </c>
      <c r="J1313" s="1">
        <v>1953</v>
      </c>
      <c r="K1313" t="s">
        <v>17977</v>
      </c>
      <c r="L1313" t="s">
        <v>17978</v>
      </c>
    </row>
    <row r="1314" spans="1:12">
      <c r="A1314" t="s">
        <v>17980</v>
      </c>
      <c r="B1314" s="1" t="s">
        <v>17981</v>
      </c>
      <c r="F1314">
        <v>1</v>
      </c>
      <c r="G1314" t="str">
        <f>HYPERLINK("http://babel.hathitrust.org/cgi/pt?id=mdp.39015065727987")</f>
        <v>http://babel.hathitrust.org/cgi/pt?id=mdp.39015065727987</v>
      </c>
      <c r="H1314" t="str">
        <f>HYPERLINK("http://catalog.hathitrust.org/Record/001358887")</f>
        <v>http://catalog.hathitrust.org/Record/001358887</v>
      </c>
      <c r="J1314" s="1">
        <v>1895</v>
      </c>
      <c r="K1314" t="s">
        <v>17982</v>
      </c>
      <c r="L1314" t="s">
        <v>20261</v>
      </c>
    </row>
    <row r="1315" spans="1:12">
      <c r="A1315" t="s">
        <v>17983</v>
      </c>
      <c r="B1315" s="1" t="s">
        <v>17984</v>
      </c>
      <c r="F1315">
        <v>1</v>
      </c>
      <c r="G1315" t="str">
        <f>HYPERLINK("http://babel.hathitrust.org/cgi/pt?id=mdp.39015000531676")</f>
        <v>http://babel.hathitrust.org/cgi/pt?id=mdp.39015000531676</v>
      </c>
      <c r="H1315" t="str">
        <f t="shared" ref="H1315:H1320" si="26">HYPERLINK("http://catalog.hathitrust.org/Record/001359008")</f>
        <v>http://catalog.hathitrust.org/Record/001359008</v>
      </c>
      <c r="J1315" s="1">
        <v>1956</v>
      </c>
      <c r="K1315" t="s">
        <v>17985</v>
      </c>
      <c r="L1315" t="s">
        <v>17986</v>
      </c>
    </row>
    <row r="1316" spans="1:12">
      <c r="A1316" t="s">
        <v>17987</v>
      </c>
      <c r="B1316" s="1" t="s">
        <v>17984</v>
      </c>
      <c r="F1316">
        <v>1</v>
      </c>
      <c r="G1316" t="str">
        <f>HYPERLINK("http://babel.hathitrust.org/cgi/pt?id=mdp.39015004199751")</f>
        <v>http://babel.hathitrust.org/cgi/pt?id=mdp.39015004199751</v>
      </c>
      <c r="H1316" t="str">
        <f t="shared" si="26"/>
        <v>http://catalog.hathitrust.org/Record/001359008</v>
      </c>
      <c r="J1316" s="1">
        <v>1956</v>
      </c>
      <c r="K1316" t="s">
        <v>17985</v>
      </c>
      <c r="L1316" t="s">
        <v>17986</v>
      </c>
    </row>
    <row r="1317" spans="1:12">
      <c r="A1317" t="s">
        <v>17988</v>
      </c>
      <c r="B1317" s="1" t="s">
        <v>17984</v>
      </c>
      <c r="F1317">
        <v>1</v>
      </c>
      <c r="G1317" t="str">
        <f>HYPERLINK("http://babel.hathitrust.org/cgi/pt?id=mdp.39015010719345")</f>
        <v>http://babel.hathitrust.org/cgi/pt?id=mdp.39015010719345</v>
      </c>
      <c r="H1317" t="str">
        <f t="shared" si="26"/>
        <v>http://catalog.hathitrust.org/Record/001359008</v>
      </c>
      <c r="J1317" s="1">
        <v>1956</v>
      </c>
      <c r="K1317" t="s">
        <v>17985</v>
      </c>
      <c r="L1317" t="s">
        <v>17986</v>
      </c>
    </row>
    <row r="1318" spans="1:12">
      <c r="A1318" t="s">
        <v>17989</v>
      </c>
      <c r="B1318" s="1" t="s">
        <v>17984</v>
      </c>
      <c r="F1318">
        <v>1</v>
      </c>
      <c r="G1318" t="str">
        <f>HYPERLINK("http://babel.hathitrust.org/cgi/pt?id=mdp.39015066079362")</f>
        <v>http://babel.hathitrust.org/cgi/pt?id=mdp.39015066079362</v>
      </c>
      <c r="H1318" t="str">
        <f t="shared" si="26"/>
        <v>http://catalog.hathitrust.org/Record/001359008</v>
      </c>
      <c r="J1318" s="1">
        <v>1956</v>
      </c>
      <c r="K1318" t="s">
        <v>17985</v>
      </c>
      <c r="L1318" t="s">
        <v>17986</v>
      </c>
    </row>
    <row r="1319" spans="1:12">
      <c r="A1319" t="s">
        <v>17990</v>
      </c>
      <c r="B1319" s="1" t="s">
        <v>17984</v>
      </c>
      <c r="F1319">
        <v>1</v>
      </c>
      <c r="G1319" t="str">
        <f>HYPERLINK("http://babel.hathitrust.org/cgi/pt?id=mdp.39015067888571")</f>
        <v>http://babel.hathitrust.org/cgi/pt?id=mdp.39015067888571</v>
      </c>
      <c r="H1319" t="str">
        <f t="shared" si="26"/>
        <v>http://catalog.hathitrust.org/Record/001359008</v>
      </c>
      <c r="J1319" s="1">
        <v>1956</v>
      </c>
      <c r="K1319" t="s">
        <v>17985</v>
      </c>
      <c r="L1319" t="s">
        <v>17986</v>
      </c>
    </row>
    <row r="1320" spans="1:12">
      <c r="A1320" t="s">
        <v>17991</v>
      </c>
      <c r="B1320" s="1" t="s">
        <v>17984</v>
      </c>
      <c r="F1320">
        <v>1</v>
      </c>
      <c r="G1320" t="str">
        <f>HYPERLINK("http://babel.hathitrust.org/cgi/pt?id=uc1.32106001660825")</f>
        <v>http://babel.hathitrust.org/cgi/pt?id=uc1.32106001660825</v>
      </c>
      <c r="H1320" t="str">
        <f t="shared" si="26"/>
        <v>http://catalog.hathitrust.org/Record/001359008</v>
      </c>
      <c r="J1320" s="1">
        <v>1956</v>
      </c>
      <c r="K1320" t="s">
        <v>17985</v>
      </c>
      <c r="L1320" t="s">
        <v>17986</v>
      </c>
    </row>
    <row r="1321" spans="1:12">
      <c r="A1321" t="s">
        <v>17992</v>
      </c>
      <c r="B1321" s="1" t="s">
        <v>17993</v>
      </c>
      <c r="D1321">
        <v>1</v>
      </c>
      <c r="G1321" t="str">
        <f>HYPERLINK("http://babel.hathitrust.org/cgi/pt?id=mdp.39015024324215")</f>
        <v>http://babel.hathitrust.org/cgi/pt?id=mdp.39015024324215</v>
      </c>
      <c r="H1321" t="str">
        <f>HYPERLINK("http://catalog.hathitrust.org/Record/001360090")</f>
        <v>http://catalog.hathitrust.org/Record/001360090</v>
      </c>
      <c r="J1321" s="1">
        <v>1908</v>
      </c>
      <c r="K1321" t="s">
        <v>17994</v>
      </c>
      <c r="L1321" t="s">
        <v>20416</v>
      </c>
    </row>
    <row r="1322" spans="1:12">
      <c r="A1322" t="s">
        <v>17995</v>
      </c>
      <c r="B1322" s="1" t="s">
        <v>17996</v>
      </c>
      <c r="F1322">
        <v>1</v>
      </c>
      <c r="G1322" t="str">
        <f>HYPERLINK("http://babel.hathitrust.org/cgi/pt?id=mdp.39015013138261")</f>
        <v>http://babel.hathitrust.org/cgi/pt?id=mdp.39015013138261</v>
      </c>
      <c r="H1322" t="str">
        <f>HYPERLINK("http://catalog.hathitrust.org/Record/001360179")</f>
        <v>http://catalog.hathitrust.org/Record/001360179</v>
      </c>
      <c r="J1322" s="1">
        <v>1906</v>
      </c>
      <c r="K1322" t="s">
        <v>17997</v>
      </c>
      <c r="L1322" t="s">
        <v>17998</v>
      </c>
    </row>
    <row r="1323" spans="1:12">
      <c r="A1323" t="s">
        <v>17999</v>
      </c>
      <c r="B1323" s="1" t="s">
        <v>18000</v>
      </c>
      <c r="F1323">
        <v>1</v>
      </c>
      <c r="G1323" t="str">
        <f>HYPERLINK("http://babel.hathitrust.org/cgi/pt?id=mdp.39015003599431")</f>
        <v>http://babel.hathitrust.org/cgi/pt?id=mdp.39015003599431</v>
      </c>
      <c r="H1323" t="str">
        <f>HYPERLINK("http://catalog.hathitrust.org/Record/001361669")</f>
        <v>http://catalog.hathitrust.org/Record/001361669</v>
      </c>
      <c r="J1323" s="1">
        <v>1962</v>
      </c>
      <c r="K1323" t="s">
        <v>18001</v>
      </c>
      <c r="L1323" t="s">
        <v>19960</v>
      </c>
    </row>
    <row r="1324" spans="1:12">
      <c r="A1324" t="s">
        <v>18002</v>
      </c>
      <c r="B1324" s="1" t="s">
        <v>18003</v>
      </c>
      <c r="D1324">
        <v>1</v>
      </c>
      <c r="G1324" t="str">
        <f>HYPERLINK("http://babel.hathitrust.org/cgi/pt?id=nyp.33433082502513")</f>
        <v>http://babel.hathitrust.org/cgi/pt?id=nyp.33433082502513</v>
      </c>
      <c r="H1324" t="str">
        <f>HYPERLINK("http://catalog.hathitrust.org/Record/001362462")</f>
        <v>http://catalog.hathitrust.org/Record/001362462</v>
      </c>
      <c r="J1324" s="1">
        <v>1903</v>
      </c>
      <c r="K1324" t="s">
        <v>17891</v>
      </c>
      <c r="L1324" t="s">
        <v>19690</v>
      </c>
    </row>
    <row r="1325" spans="1:12">
      <c r="A1325" t="s">
        <v>17892</v>
      </c>
      <c r="B1325" s="1" t="s">
        <v>17893</v>
      </c>
      <c r="D1325">
        <v>1</v>
      </c>
      <c r="G1325" t="str">
        <f>HYPERLINK("http://babel.hathitrust.org/cgi/pt?id=mdp.39015019116485")</f>
        <v>http://babel.hathitrust.org/cgi/pt?id=mdp.39015019116485</v>
      </c>
      <c r="H1325" t="str">
        <f>HYPERLINK("http://catalog.hathitrust.org/Record/001362499")</f>
        <v>http://catalog.hathitrust.org/Record/001362499</v>
      </c>
      <c r="J1325" s="1">
        <v>1938</v>
      </c>
      <c r="K1325" t="s">
        <v>17894</v>
      </c>
      <c r="L1325" t="s">
        <v>17895</v>
      </c>
    </row>
    <row r="1326" spans="1:12">
      <c r="A1326" t="s">
        <v>17896</v>
      </c>
      <c r="B1326" s="1" t="s">
        <v>17897</v>
      </c>
      <c r="E1326">
        <v>1</v>
      </c>
      <c r="F1326">
        <v>1</v>
      </c>
      <c r="G1326" t="str">
        <f>HYPERLINK("http://babel.hathitrust.org/cgi/pt?id=uc2.ark:/13960/t7dr2sp5p")</f>
        <v>http://babel.hathitrust.org/cgi/pt?id=uc2.ark:/13960/t7dr2sp5p</v>
      </c>
      <c r="H1326" t="str">
        <f>HYPERLINK("http://catalog.hathitrust.org/Record/001363718")</f>
        <v>http://catalog.hathitrust.org/Record/001363718</v>
      </c>
      <c r="I1326" s="1" t="s">
        <v>20755</v>
      </c>
      <c r="J1326" s="1">
        <v>1781</v>
      </c>
      <c r="K1326" t="s">
        <v>17898</v>
      </c>
      <c r="L1326" t="s">
        <v>20960</v>
      </c>
    </row>
    <row r="1327" spans="1:12">
      <c r="A1327" t="s">
        <v>17899</v>
      </c>
      <c r="B1327" s="1" t="s">
        <v>17900</v>
      </c>
      <c r="F1327">
        <v>1</v>
      </c>
      <c r="G1327" t="str">
        <f>HYPERLINK("http://babel.hathitrust.org/cgi/pt?id=mdp.39015062336683")</f>
        <v>http://babel.hathitrust.org/cgi/pt?id=mdp.39015062336683</v>
      </c>
      <c r="H1327" t="str">
        <f>HYPERLINK("http://catalog.hathitrust.org/Record/001363748")</f>
        <v>http://catalog.hathitrust.org/Record/001363748</v>
      </c>
      <c r="J1327" s="1">
        <v>1916</v>
      </c>
      <c r="K1327" t="s">
        <v>19433</v>
      </c>
      <c r="L1327" t="s">
        <v>19271</v>
      </c>
    </row>
    <row r="1328" spans="1:12">
      <c r="A1328" t="s">
        <v>17901</v>
      </c>
      <c r="B1328" s="1" t="s">
        <v>17902</v>
      </c>
      <c r="F1328">
        <v>1</v>
      </c>
      <c r="G1328" t="str">
        <f>HYPERLINK("http://babel.hathitrust.org/cgi/pt?id=mdp.39015069429820")</f>
        <v>http://babel.hathitrust.org/cgi/pt?id=mdp.39015069429820</v>
      </c>
      <c r="H1328" t="str">
        <f>HYPERLINK("http://catalog.hathitrust.org/Record/001363795")</f>
        <v>http://catalog.hathitrust.org/Record/001363795</v>
      </c>
      <c r="J1328" s="1">
        <v>1937</v>
      </c>
      <c r="K1328" t="s">
        <v>17903</v>
      </c>
      <c r="L1328" t="s">
        <v>17904</v>
      </c>
    </row>
    <row r="1329" spans="1:12">
      <c r="A1329" t="s">
        <v>17905</v>
      </c>
      <c r="B1329" s="1" t="s">
        <v>17906</v>
      </c>
      <c r="F1329">
        <v>1</v>
      </c>
      <c r="G1329" t="str">
        <f>HYPERLINK("http://babel.hathitrust.org/cgi/pt?id=mdp.39015072137881")</f>
        <v>http://babel.hathitrust.org/cgi/pt?id=mdp.39015072137881</v>
      </c>
      <c r="H1329" t="str">
        <f>HYPERLINK("http://catalog.hathitrust.org/Record/001363798")</f>
        <v>http://catalog.hathitrust.org/Record/001363798</v>
      </c>
      <c r="J1329" s="1">
        <v>1950</v>
      </c>
      <c r="K1329" t="s">
        <v>17903</v>
      </c>
      <c r="L1329" t="s">
        <v>17904</v>
      </c>
    </row>
    <row r="1330" spans="1:12">
      <c r="A1330" t="s">
        <v>17907</v>
      </c>
      <c r="B1330" s="1" t="s">
        <v>17908</v>
      </c>
      <c r="F1330">
        <v>1</v>
      </c>
      <c r="G1330" t="str">
        <f>HYPERLINK("http://babel.hathitrust.org/cgi/pt?id=mdp.39015063606159")</f>
        <v>http://babel.hathitrust.org/cgi/pt?id=mdp.39015063606159</v>
      </c>
      <c r="H1330" t="str">
        <f>HYPERLINK("http://catalog.hathitrust.org/Record/001363809")</f>
        <v>http://catalog.hathitrust.org/Record/001363809</v>
      </c>
      <c r="J1330" s="1">
        <v>1954</v>
      </c>
      <c r="K1330" t="s">
        <v>17909</v>
      </c>
      <c r="L1330" t="s">
        <v>17910</v>
      </c>
    </row>
    <row r="1331" spans="1:12">
      <c r="A1331" t="s">
        <v>17911</v>
      </c>
      <c r="B1331" s="1" t="s">
        <v>17912</v>
      </c>
      <c r="E1331">
        <v>1</v>
      </c>
      <c r="G1331" t="str">
        <f>HYPERLINK("http://babel.hathitrust.org/cgi/pt?id=njp.32101072657933")</f>
        <v>http://babel.hathitrust.org/cgi/pt?id=njp.32101072657933</v>
      </c>
      <c r="H1331" t="str">
        <f>HYPERLINK("http://catalog.hathitrust.org/Record/001365913")</f>
        <v>http://catalog.hathitrust.org/Record/001365913</v>
      </c>
      <c r="J1331" s="1">
        <v>1857</v>
      </c>
      <c r="K1331" t="s">
        <v>17913</v>
      </c>
      <c r="L1331" t="s">
        <v>17914</v>
      </c>
    </row>
    <row r="1332" spans="1:12">
      <c r="A1332" t="s">
        <v>17915</v>
      </c>
      <c r="B1332" s="1" t="s">
        <v>17916</v>
      </c>
      <c r="E1332">
        <v>1</v>
      </c>
      <c r="G1332" t="str">
        <f>HYPERLINK("http://babel.hathitrust.org/cgi/pt?id=mdp.39015024475686")</f>
        <v>http://babel.hathitrust.org/cgi/pt?id=mdp.39015024475686</v>
      </c>
      <c r="H1332" t="str">
        <f>HYPERLINK("http://catalog.hathitrust.org/Record/001365918")</f>
        <v>http://catalog.hathitrust.org/Record/001365918</v>
      </c>
      <c r="J1332" s="1">
        <v>1864</v>
      </c>
      <c r="K1332" t="s">
        <v>17917</v>
      </c>
      <c r="L1332" t="s">
        <v>17914</v>
      </c>
    </row>
    <row r="1333" spans="1:12">
      <c r="A1333" t="s">
        <v>17918</v>
      </c>
      <c r="B1333" s="1" t="s">
        <v>17919</v>
      </c>
      <c r="E1333">
        <v>1</v>
      </c>
      <c r="G1333" t="str">
        <f>HYPERLINK("http://babel.hathitrust.org/cgi/pt?id=njp.32101066125780")</f>
        <v>http://babel.hathitrust.org/cgi/pt?id=njp.32101066125780</v>
      </c>
      <c r="H1333" t="str">
        <f>HYPERLINK("http://catalog.hathitrust.org/Record/001365921")</f>
        <v>http://catalog.hathitrust.org/Record/001365921</v>
      </c>
      <c r="J1333" s="1">
        <v>1867</v>
      </c>
      <c r="K1333" t="s">
        <v>17920</v>
      </c>
      <c r="L1333" t="s">
        <v>17914</v>
      </c>
    </row>
    <row r="1334" spans="1:12">
      <c r="A1334" t="s">
        <v>17921</v>
      </c>
      <c r="B1334" s="1" t="s">
        <v>17922</v>
      </c>
      <c r="E1334">
        <v>1</v>
      </c>
      <c r="G1334" t="str">
        <f>HYPERLINK("http://babel.hathitrust.org/cgi/pt?id=uc2.ark:/13960/t53f50592")</f>
        <v>http://babel.hathitrust.org/cgi/pt?id=uc2.ark:/13960/t53f50592</v>
      </c>
      <c r="H1334" t="str">
        <f>HYPERLINK("http://catalog.hathitrust.org/Record/001365925")</f>
        <v>http://catalog.hathitrust.org/Record/001365925</v>
      </c>
      <c r="J1334" s="1">
        <v>1869</v>
      </c>
      <c r="K1334" t="s">
        <v>17923</v>
      </c>
      <c r="L1334" t="s">
        <v>17914</v>
      </c>
    </row>
    <row r="1335" spans="1:12">
      <c r="A1335" t="s">
        <v>17924</v>
      </c>
      <c r="B1335" s="1" t="s">
        <v>17925</v>
      </c>
      <c r="E1335">
        <v>1</v>
      </c>
      <c r="G1335" t="str">
        <f>HYPERLINK("http://babel.hathitrust.org/cgi/pt?id=mdp.39015025026181")</f>
        <v>http://babel.hathitrust.org/cgi/pt?id=mdp.39015025026181</v>
      </c>
      <c r="H1335" t="str">
        <f>HYPERLINK("http://catalog.hathitrust.org/Record/001365926")</f>
        <v>http://catalog.hathitrust.org/Record/001365926</v>
      </c>
      <c r="J1335" s="1">
        <v>1892</v>
      </c>
      <c r="K1335" t="s">
        <v>17923</v>
      </c>
      <c r="L1335" t="s">
        <v>17914</v>
      </c>
    </row>
    <row r="1336" spans="1:12">
      <c r="A1336" t="s">
        <v>17926</v>
      </c>
      <c r="B1336" s="1" t="s">
        <v>17927</v>
      </c>
      <c r="E1336">
        <v>1</v>
      </c>
      <c r="G1336" t="str">
        <f>HYPERLINK("http://babel.hathitrust.org/cgi/pt?id=mdp.39015005172237")</f>
        <v>http://babel.hathitrust.org/cgi/pt?id=mdp.39015005172237</v>
      </c>
      <c r="H1336" t="str">
        <f>HYPERLINK("http://catalog.hathitrust.org/Record/001367164")</f>
        <v>http://catalog.hathitrust.org/Record/001367164</v>
      </c>
      <c r="J1336" s="1">
        <v>1877</v>
      </c>
      <c r="K1336" t="s">
        <v>17928</v>
      </c>
      <c r="L1336" t="s">
        <v>18991</v>
      </c>
    </row>
    <row r="1337" spans="1:12">
      <c r="A1337" t="s">
        <v>17929</v>
      </c>
      <c r="B1337" s="1" t="s">
        <v>17930</v>
      </c>
      <c r="E1337">
        <v>1</v>
      </c>
      <c r="G1337" t="str">
        <f>HYPERLINK("http://babel.hathitrust.org/cgi/pt?id=mdp.39015064437588")</f>
        <v>http://babel.hathitrust.org/cgi/pt?id=mdp.39015064437588</v>
      </c>
      <c r="H1337" t="str">
        <f>HYPERLINK("http://catalog.hathitrust.org/Record/001367165")</f>
        <v>http://catalog.hathitrust.org/Record/001367165</v>
      </c>
      <c r="J1337" s="1">
        <v>1894</v>
      </c>
      <c r="K1337" t="s">
        <v>17931</v>
      </c>
      <c r="L1337" t="s">
        <v>18991</v>
      </c>
    </row>
    <row r="1338" spans="1:12">
      <c r="A1338" t="s">
        <v>17932</v>
      </c>
      <c r="B1338" s="1" t="s">
        <v>17933</v>
      </c>
      <c r="D1338">
        <v>1</v>
      </c>
      <c r="G1338" t="str">
        <f>HYPERLINK("http://babel.hathitrust.org/cgi/pt?id=uc1.b272575")</f>
        <v>http://babel.hathitrust.org/cgi/pt?id=uc1.b272575</v>
      </c>
      <c r="H1338" t="str">
        <f>HYPERLINK("http://catalog.hathitrust.org/Record/001367201")</f>
        <v>http://catalog.hathitrust.org/Record/001367201</v>
      </c>
      <c r="J1338" s="1">
        <v>1906</v>
      </c>
      <c r="K1338" t="s">
        <v>17934</v>
      </c>
      <c r="L1338" t="s">
        <v>19455</v>
      </c>
    </row>
    <row r="1339" spans="1:12">
      <c r="A1339" t="s">
        <v>17935</v>
      </c>
      <c r="B1339" s="1" t="s">
        <v>17933</v>
      </c>
      <c r="F1339">
        <v>1</v>
      </c>
      <c r="G1339" t="str">
        <f>HYPERLINK("http://babel.hathitrust.org/cgi/pt?id=uc2.ark:/13960/t00002r8b")</f>
        <v>http://babel.hathitrust.org/cgi/pt?id=uc2.ark:/13960/t00002r8b</v>
      </c>
      <c r="H1339" t="str">
        <f>HYPERLINK("http://catalog.hathitrust.org/Record/001367201")</f>
        <v>http://catalog.hathitrust.org/Record/001367201</v>
      </c>
      <c r="J1339" s="1">
        <v>1906</v>
      </c>
      <c r="K1339" t="s">
        <v>17934</v>
      </c>
      <c r="L1339" t="s">
        <v>19455</v>
      </c>
    </row>
    <row r="1340" spans="1:12">
      <c r="A1340" t="s">
        <v>17936</v>
      </c>
      <c r="B1340" s="1" t="s">
        <v>17937</v>
      </c>
      <c r="F1340">
        <v>1</v>
      </c>
      <c r="G1340" t="str">
        <f>HYPERLINK("http://babel.hathitrust.org/cgi/pt?id=hvd.hwpkk7")</f>
        <v>http://babel.hathitrust.org/cgi/pt?id=hvd.hwpkk7</v>
      </c>
      <c r="H1340" t="str">
        <f>HYPERLINK("http://catalog.hathitrust.org/Record/001367206")</f>
        <v>http://catalog.hathitrust.org/Record/001367206</v>
      </c>
      <c r="J1340" s="1">
        <v>1857</v>
      </c>
      <c r="K1340" t="s">
        <v>17938</v>
      </c>
      <c r="L1340" t="s">
        <v>17845</v>
      </c>
    </row>
    <row r="1341" spans="1:12">
      <c r="A1341" t="s">
        <v>17846</v>
      </c>
      <c r="B1341" s="1" t="s">
        <v>17937</v>
      </c>
      <c r="F1341">
        <v>1</v>
      </c>
      <c r="G1341" t="str">
        <f>HYPERLINK("http://babel.hathitrust.org/cgi/pt?id=uc1.b27289")</f>
        <v>http://babel.hathitrust.org/cgi/pt?id=uc1.b27289</v>
      </c>
      <c r="H1341" t="str">
        <f>HYPERLINK("http://catalog.hathitrust.org/Record/001367206")</f>
        <v>http://catalog.hathitrust.org/Record/001367206</v>
      </c>
      <c r="J1341" s="1">
        <v>1857</v>
      </c>
      <c r="K1341" t="s">
        <v>17938</v>
      </c>
      <c r="L1341" t="s">
        <v>17845</v>
      </c>
    </row>
    <row r="1342" spans="1:12">
      <c r="A1342" t="s">
        <v>17847</v>
      </c>
      <c r="B1342" s="1" t="s">
        <v>17848</v>
      </c>
      <c r="F1342">
        <v>1</v>
      </c>
      <c r="G1342" t="str">
        <f>HYPERLINK("http://babel.hathitrust.org/cgi/pt?id=mdp.39015013129245")</f>
        <v>http://babel.hathitrust.org/cgi/pt?id=mdp.39015013129245</v>
      </c>
      <c r="H1342" t="str">
        <f>HYPERLINK("http://catalog.hathitrust.org/Record/001367218")</f>
        <v>http://catalog.hathitrust.org/Record/001367218</v>
      </c>
      <c r="J1342" s="1">
        <v>1935</v>
      </c>
      <c r="K1342" t="s">
        <v>17849</v>
      </c>
      <c r="L1342" t="s">
        <v>17850</v>
      </c>
    </row>
    <row r="1343" spans="1:12">
      <c r="A1343" t="s">
        <v>17851</v>
      </c>
      <c r="B1343" s="1" t="s">
        <v>17852</v>
      </c>
      <c r="E1343">
        <v>1</v>
      </c>
      <c r="F1343">
        <v>1</v>
      </c>
      <c r="G1343" t="str">
        <f>HYPERLINK("http://babel.hathitrust.org/cgi/pt?id=hvd.hwpkkb")</f>
        <v>http://babel.hathitrust.org/cgi/pt?id=hvd.hwpkkb</v>
      </c>
      <c r="H1343" t="str">
        <f>HYPERLINK("http://catalog.hathitrust.org/Record/001367232")</f>
        <v>http://catalog.hathitrust.org/Record/001367232</v>
      </c>
      <c r="J1343" s="1">
        <v>1854</v>
      </c>
      <c r="K1343" t="s">
        <v>17853</v>
      </c>
      <c r="L1343" t="s">
        <v>17854</v>
      </c>
    </row>
    <row r="1344" spans="1:12">
      <c r="A1344" t="s">
        <v>17855</v>
      </c>
      <c r="B1344" s="1" t="s">
        <v>17852</v>
      </c>
      <c r="F1344">
        <v>1</v>
      </c>
      <c r="G1344" t="str">
        <f>HYPERLINK("http://babel.hathitrust.org/cgi/pt?id=uc1.b259647")</f>
        <v>http://babel.hathitrust.org/cgi/pt?id=uc1.b259647</v>
      </c>
      <c r="H1344" t="str">
        <f>HYPERLINK("http://catalog.hathitrust.org/Record/001367232")</f>
        <v>http://catalog.hathitrust.org/Record/001367232</v>
      </c>
      <c r="J1344" s="1">
        <v>1854</v>
      </c>
      <c r="K1344" t="s">
        <v>17853</v>
      </c>
      <c r="L1344" t="s">
        <v>17854</v>
      </c>
    </row>
    <row r="1345" spans="1:12">
      <c r="A1345" t="s">
        <v>17856</v>
      </c>
      <c r="B1345" s="1" t="s">
        <v>17852</v>
      </c>
      <c r="F1345">
        <v>1</v>
      </c>
      <c r="G1345" t="str">
        <f>HYPERLINK("http://babel.hathitrust.org/cgi/pt?id=uc2.ark:/13960/t1gh9q52w")</f>
        <v>http://babel.hathitrust.org/cgi/pt?id=uc2.ark:/13960/t1gh9q52w</v>
      </c>
      <c r="H1345" t="str">
        <f>HYPERLINK("http://catalog.hathitrust.org/Record/001367232")</f>
        <v>http://catalog.hathitrust.org/Record/001367232</v>
      </c>
      <c r="J1345" s="1">
        <v>1854</v>
      </c>
      <c r="K1345" t="s">
        <v>17853</v>
      </c>
      <c r="L1345" t="s">
        <v>17854</v>
      </c>
    </row>
    <row r="1346" spans="1:12">
      <c r="A1346" t="s">
        <v>17857</v>
      </c>
      <c r="B1346" s="1" t="s">
        <v>17858</v>
      </c>
      <c r="E1346">
        <v>1</v>
      </c>
      <c r="G1346" t="str">
        <f>HYPERLINK("http://babel.hathitrust.org/cgi/pt?id=nyp.33433082310685")</f>
        <v>http://babel.hathitrust.org/cgi/pt?id=nyp.33433082310685</v>
      </c>
      <c r="H1346" t="str">
        <f>HYPERLINK("http://catalog.hathitrust.org/Record/001367639")</f>
        <v>http://catalog.hathitrust.org/Record/001367639</v>
      </c>
      <c r="I1346" s="1" t="s">
        <v>17860</v>
      </c>
      <c r="J1346" s="1">
        <v>1869</v>
      </c>
      <c r="K1346" t="s">
        <v>17859</v>
      </c>
      <c r="L1346" t="s">
        <v>20807</v>
      </c>
    </row>
    <row r="1347" spans="1:12">
      <c r="A1347" t="s">
        <v>17861</v>
      </c>
      <c r="B1347" s="1" t="s">
        <v>17858</v>
      </c>
      <c r="E1347">
        <v>1</v>
      </c>
      <c r="G1347" t="str">
        <f>HYPERLINK("http://babel.hathitrust.org/cgi/pt?id=nyp.33433082310693")</f>
        <v>http://babel.hathitrust.org/cgi/pt?id=nyp.33433082310693</v>
      </c>
      <c r="H1347" t="str">
        <f>HYPERLINK("http://catalog.hathitrust.org/Record/001367639")</f>
        <v>http://catalog.hathitrust.org/Record/001367639</v>
      </c>
      <c r="I1347" s="1" t="s">
        <v>17862</v>
      </c>
      <c r="J1347" s="1">
        <v>1869</v>
      </c>
      <c r="K1347" t="s">
        <v>17859</v>
      </c>
      <c r="L1347" t="s">
        <v>20807</v>
      </c>
    </row>
    <row r="1348" spans="1:12">
      <c r="A1348" t="s">
        <v>17863</v>
      </c>
      <c r="B1348" s="1" t="s">
        <v>17864</v>
      </c>
      <c r="E1348">
        <v>1</v>
      </c>
      <c r="G1348" t="str">
        <f>HYPERLINK("http://babel.hathitrust.org/cgi/pt?id=mdp.39015048887759")</f>
        <v>http://babel.hathitrust.org/cgi/pt?id=mdp.39015048887759</v>
      </c>
      <c r="H1348" t="str">
        <f>HYPERLINK("http://catalog.hathitrust.org/Record/001367640")</f>
        <v>http://catalog.hathitrust.org/Record/001367640</v>
      </c>
      <c r="I1348" s="1" t="s">
        <v>17866</v>
      </c>
      <c r="J1348" s="1">
        <v>1876</v>
      </c>
      <c r="K1348" t="s">
        <v>17865</v>
      </c>
      <c r="L1348" t="s">
        <v>20807</v>
      </c>
    </row>
    <row r="1349" spans="1:12">
      <c r="A1349" t="s">
        <v>17867</v>
      </c>
      <c r="B1349" s="1" t="s">
        <v>17864</v>
      </c>
      <c r="E1349">
        <v>1</v>
      </c>
      <c r="G1349" t="str">
        <f>HYPERLINK("http://babel.hathitrust.org/cgi/pt?id=mdp.39015048887767")</f>
        <v>http://babel.hathitrust.org/cgi/pt?id=mdp.39015048887767</v>
      </c>
      <c r="H1349" t="str">
        <f>HYPERLINK("http://catalog.hathitrust.org/Record/001367640")</f>
        <v>http://catalog.hathitrust.org/Record/001367640</v>
      </c>
      <c r="I1349" s="1" t="s">
        <v>17868</v>
      </c>
      <c r="J1349" s="1">
        <v>1876</v>
      </c>
      <c r="K1349" t="s">
        <v>17865</v>
      </c>
      <c r="L1349" t="s">
        <v>20807</v>
      </c>
    </row>
    <row r="1350" spans="1:12">
      <c r="A1350" t="s">
        <v>17869</v>
      </c>
      <c r="B1350" s="1" t="s">
        <v>17870</v>
      </c>
      <c r="D1350">
        <v>1</v>
      </c>
      <c r="G1350" t="str">
        <f>HYPERLINK("http://babel.hathitrust.org/cgi/pt?id=nyp.33433082538830")</f>
        <v>http://babel.hathitrust.org/cgi/pt?id=nyp.33433082538830</v>
      </c>
      <c r="H1350" t="str">
        <f>HYPERLINK("http://catalog.hathitrust.org/Record/001369727")</f>
        <v>http://catalog.hathitrust.org/Record/001369727</v>
      </c>
      <c r="J1350" s="1">
        <v>1911</v>
      </c>
      <c r="K1350" t="s">
        <v>17871</v>
      </c>
      <c r="L1350" t="s">
        <v>19690</v>
      </c>
    </row>
    <row r="1351" spans="1:12">
      <c r="A1351" t="s">
        <v>17872</v>
      </c>
      <c r="B1351" s="1" t="s">
        <v>17873</v>
      </c>
      <c r="E1351">
        <v>1</v>
      </c>
      <c r="G1351" t="str">
        <f>HYPERLINK("http://babel.hathitrust.org/cgi/pt?id=mdp.39015008496575")</f>
        <v>http://babel.hathitrust.org/cgi/pt?id=mdp.39015008496575</v>
      </c>
      <c r="H1351" t="str">
        <f>HYPERLINK("http://catalog.hathitrust.org/Record/001369778")</f>
        <v>http://catalog.hathitrust.org/Record/001369778</v>
      </c>
      <c r="J1351" s="1">
        <v>1910</v>
      </c>
      <c r="K1351" t="s">
        <v>17874</v>
      </c>
      <c r="L1351" t="s">
        <v>17875</v>
      </c>
    </row>
    <row r="1352" spans="1:12">
      <c r="A1352" t="s">
        <v>17876</v>
      </c>
      <c r="B1352" s="1" t="s">
        <v>17877</v>
      </c>
      <c r="F1352">
        <v>1</v>
      </c>
      <c r="G1352" t="str">
        <f>HYPERLINK("http://babel.hathitrust.org/cgi/pt?id=uc2.ark:/13960/t5fb5bb62")</f>
        <v>http://babel.hathitrust.org/cgi/pt?id=uc2.ark:/13960/t5fb5bb62</v>
      </c>
      <c r="H1352" t="str">
        <f>HYPERLINK("http://catalog.hathitrust.org/Record/001370021")</f>
        <v>http://catalog.hathitrust.org/Record/001370021</v>
      </c>
      <c r="I1352" s="1" t="s">
        <v>20916</v>
      </c>
      <c r="J1352" s="1">
        <v>1775</v>
      </c>
      <c r="K1352" t="s">
        <v>17878</v>
      </c>
      <c r="L1352" t="s">
        <v>17879</v>
      </c>
    </row>
    <row r="1353" spans="1:12">
      <c r="A1353" t="s">
        <v>17880</v>
      </c>
      <c r="B1353" s="1" t="s">
        <v>17881</v>
      </c>
      <c r="E1353">
        <v>1</v>
      </c>
      <c r="G1353" t="str">
        <f>HYPERLINK("http://babel.hathitrust.org/cgi/pt?id=njp.32101037977384")</f>
        <v>http://babel.hathitrust.org/cgi/pt?id=njp.32101037977384</v>
      </c>
      <c r="H1353" t="str">
        <f>HYPERLINK("http://catalog.hathitrust.org/Record/001370024")</f>
        <v>http://catalog.hathitrust.org/Record/001370024</v>
      </c>
      <c r="I1353" s="1" t="s">
        <v>17883</v>
      </c>
      <c r="J1353" s="1">
        <v>1871</v>
      </c>
      <c r="K1353" t="s">
        <v>17882</v>
      </c>
      <c r="L1353" t="s">
        <v>17879</v>
      </c>
    </row>
    <row r="1354" spans="1:12">
      <c r="A1354" t="s">
        <v>17884</v>
      </c>
      <c r="B1354" s="1" t="s">
        <v>17881</v>
      </c>
      <c r="E1354">
        <v>1</v>
      </c>
      <c r="G1354" t="str">
        <f>HYPERLINK("http://babel.hathitrust.org/cgi/pt?id=njp.32101037977392")</f>
        <v>http://babel.hathitrust.org/cgi/pt?id=njp.32101037977392</v>
      </c>
      <c r="H1354" t="str">
        <f>HYPERLINK("http://catalog.hathitrust.org/Record/001370024")</f>
        <v>http://catalog.hathitrust.org/Record/001370024</v>
      </c>
      <c r="I1354" s="1" t="s">
        <v>17885</v>
      </c>
      <c r="J1354" s="1">
        <v>1871</v>
      </c>
      <c r="K1354" t="s">
        <v>17882</v>
      </c>
      <c r="L1354" t="s">
        <v>17879</v>
      </c>
    </row>
    <row r="1355" spans="1:12">
      <c r="A1355" t="s">
        <v>17886</v>
      </c>
      <c r="B1355" s="1" t="s">
        <v>17881</v>
      </c>
      <c r="E1355">
        <v>1</v>
      </c>
      <c r="G1355" t="str">
        <f>HYPERLINK("http://babel.hathitrust.org/cgi/pt?id=njp.32101037977400")</f>
        <v>http://babel.hathitrust.org/cgi/pt?id=njp.32101037977400</v>
      </c>
      <c r="H1355" t="str">
        <f>HYPERLINK("http://catalog.hathitrust.org/Record/001370024")</f>
        <v>http://catalog.hathitrust.org/Record/001370024</v>
      </c>
      <c r="I1355" s="1" t="s">
        <v>17887</v>
      </c>
      <c r="J1355" s="1">
        <v>1871</v>
      </c>
      <c r="K1355" t="s">
        <v>17882</v>
      </c>
      <c r="L1355" t="s">
        <v>17879</v>
      </c>
    </row>
    <row r="1356" spans="1:12">
      <c r="A1356" t="s">
        <v>17888</v>
      </c>
      <c r="B1356" s="1" t="s">
        <v>17889</v>
      </c>
      <c r="E1356">
        <v>1</v>
      </c>
      <c r="F1356">
        <v>1</v>
      </c>
      <c r="G1356" t="str">
        <f>HYPERLINK("http://babel.hathitrust.org/cgi/pt?id=mdp.39015053245174")</f>
        <v>http://babel.hathitrust.org/cgi/pt?id=mdp.39015053245174</v>
      </c>
      <c r="H1356" t="str">
        <f t="shared" ref="H1356:H1361" si="27">HYPERLINK("http://catalog.hathitrust.org/Record/001370025")</f>
        <v>http://catalog.hathitrust.org/Record/001370025</v>
      </c>
      <c r="I1356" s="1" t="s">
        <v>21018</v>
      </c>
      <c r="J1356" s="1">
        <v>1904</v>
      </c>
      <c r="K1356" t="s">
        <v>17890</v>
      </c>
      <c r="L1356" t="s">
        <v>19309</v>
      </c>
    </row>
    <row r="1357" spans="1:12">
      <c r="A1357" t="s">
        <v>17775</v>
      </c>
      <c r="B1357" s="1" t="s">
        <v>17889</v>
      </c>
      <c r="E1357">
        <v>1</v>
      </c>
      <c r="F1357">
        <v>1</v>
      </c>
      <c r="G1357" t="str">
        <f>HYPERLINK("http://babel.hathitrust.org/cgi/pt?id=mdp.39015053245182")</f>
        <v>http://babel.hathitrust.org/cgi/pt?id=mdp.39015053245182</v>
      </c>
      <c r="H1357" t="str">
        <f t="shared" si="27"/>
        <v>http://catalog.hathitrust.org/Record/001370025</v>
      </c>
      <c r="I1357" s="1" t="s">
        <v>20681</v>
      </c>
      <c r="J1357" s="1">
        <v>1904</v>
      </c>
      <c r="K1357" t="s">
        <v>17890</v>
      </c>
      <c r="L1357" t="s">
        <v>19309</v>
      </c>
    </row>
    <row r="1358" spans="1:12">
      <c r="A1358" t="s">
        <v>17776</v>
      </c>
      <c r="B1358" s="1" t="s">
        <v>17889</v>
      </c>
      <c r="E1358">
        <v>1</v>
      </c>
      <c r="F1358">
        <v>1</v>
      </c>
      <c r="G1358" t="str">
        <f>HYPERLINK("http://babel.hathitrust.org/cgi/pt?id=mdp.39015053245190")</f>
        <v>http://babel.hathitrust.org/cgi/pt?id=mdp.39015053245190</v>
      </c>
      <c r="H1358" t="str">
        <f t="shared" si="27"/>
        <v>http://catalog.hathitrust.org/Record/001370025</v>
      </c>
      <c r="I1358" s="1" t="s">
        <v>20679</v>
      </c>
      <c r="J1358" s="1">
        <v>1904</v>
      </c>
      <c r="K1358" t="s">
        <v>17890</v>
      </c>
      <c r="L1358" t="s">
        <v>19309</v>
      </c>
    </row>
    <row r="1359" spans="1:12">
      <c r="A1359" t="s">
        <v>17777</v>
      </c>
      <c r="B1359" s="1" t="s">
        <v>17889</v>
      </c>
      <c r="E1359">
        <v>1</v>
      </c>
      <c r="F1359">
        <v>1</v>
      </c>
      <c r="G1359" t="str">
        <f>HYPERLINK("http://babel.hathitrust.org/cgi/pt?id=mdp.39015053245208")</f>
        <v>http://babel.hathitrust.org/cgi/pt?id=mdp.39015053245208</v>
      </c>
      <c r="H1359" t="str">
        <f t="shared" si="27"/>
        <v>http://catalog.hathitrust.org/Record/001370025</v>
      </c>
      <c r="I1359" s="1" t="s">
        <v>20920</v>
      </c>
      <c r="J1359" s="1">
        <v>1904</v>
      </c>
      <c r="K1359" t="s">
        <v>17890</v>
      </c>
      <c r="L1359" t="s">
        <v>19309</v>
      </c>
    </row>
    <row r="1360" spans="1:12">
      <c r="A1360" t="s">
        <v>17778</v>
      </c>
      <c r="B1360" s="1" t="s">
        <v>17889</v>
      </c>
      <c r="F1360">
        <v>1</v>
      </c>
      <c r="G1360" t="str">
        <f>HYPERLINK("http://babel.hathitrust.org/cgi/pt?id=mdp.39015053245216")</f>
        <v>http://babel.hathitrust.org/cgi/pt?id=mdp.39015053245216</v>
      </c>
      <c r="H1360" t="str">
        <f t="shared" si="27"/>
        <v>http://catalog.hathitrust.org/Record/001370025</v>
      </c>
      <c r="I1360" s="1" t="s">
        <v>17779</v>
      </c>
      <c r="J1360" s="1">
        <v>1904</v>
      </c>
      <c r="K1360" t="s">
        <v>17890</v>
      </c>
      <c r="L1360" t="s">
        <v>19309</v>
      </c>
    </row>
    <row r="1361" spans="1:12">
      <c r="A1361" t="s">
        <v>17780</v>
      </c>
      <c r="B1361" s="1" t="s">
        <v>17889</v>
      </c>
      <c r="E1361">
        <v>1</v>
      </c>
      <c r="F1361">
        <v>1</v>
      </c>
      <c r="G1361" t="str">
        <f>HYPERLINK("http://babel.hathitrust.org/cgi/pt?id=mdp.39015053245224")</f>
        <v>http://babel.hathitrust.org/cgi/pt?id=mdp.39015053245224</v>
      </c>
      <c r="H1361" t="str">
        <f t="shared" si="27"/>
        <v>http://catalog.hathitrust.org/Record/001370025</v>
      </c>
      <c r="I1361" s="1" t="s">
        <v>17781</v>
      </c>
      <c r="J1361" s="1">
        <v>1904</v>
      </c>
      <c r="K1361" t="s">
        <v>17890</v>
      </c>
      <c r="L1361" t="s">
        <v>19309</v>
      </c>
    </row>
    <row r="1362" spans="1:12">
      <c r="A1362" t="s">
        <v>17782</v>
      </c>
      <c r="B1362" s="1" t="s">
        <v>17783</v>
      </c>
      <c r="D1362">
        <v>1</v>
      </c>
      <c r="G1362" t="str">
        <f>HYPERLINK("http://babel.hathitrust.org/cgi/pt?id=mdp.39015017638761")</f>
        <v>http://babel.hathitrust.org/cgi/pt?id=mdp.39015017638761</v>
      </c>
      <c r="H1362" t="str">
        <f>HYPERLINK("http://catalog.hathitrust.org/Record/001370027")</f>
        <v>http://catalog.hathitrust.org/Record/001370027</v>
      </c>
      <c r="J1362" s="1">
        <v>1905</v>
      </c>
      <c r="K1362" t="s">
        <v>17784</v>
      </c>
      <c r="L1362" t="s">
        <v>19253</v>
      </c>
    </row>
    <row r="1363" spans="1:12">
      <c r="A1363" t="s">
        <v>17785</v>
      </c>
      <c r="B1363" s="1" t="s">
        <v>17786</v>
      </c>
      <c r="F1363">
        <v>1</v>
      </c>
      <c r="G1363" t="str">
        <f>HYPERLINK("http://babel.hathitrust.org/cgi/pt?id=mdp.39015065731476")</f>
        <v>http://babel.hathitrust.org/cgi/pt?id=mdp.39015065731476</v>
      </c>
      <c r="H1363" t="str">
        <f>HYPERLINK("http://catalog.hathitrust.org/Record/001370055")</f>
        <v>http://catalog.hathitrust.org/Record/001370055</v>
      </c>
      <c r="J1363" s="1">
        <v>1963</v>
      </c>
      <c r="K1363" t="s">
        <v>17787</v>
      </c>
      <c r="L1363" t="s">
        <v>17788</v>
      </c>
    </row>
    <row r="1364" spans="1:12">
      <c r="A1364" t="s">
        <v>17789</v>
      </c>
      <c r="B1364" s="1" t="s">
        <v>17790</v>
      </c>
      <c r="F1364">
        <v>1</v>
      </c>
      <c r="G1364" t="str">
        <f>HYPERLINK("http://babel.hathitrust.org/cgi/pt?id=mdp.39015065731674")</f>
        <v>http://babel.hathitrust.org/cgi/pt?id=mdp.39015065731674</v>
      </c>
      <c r="H1364" t="str">
        <f>HYPERLINK("http://catalog.hathitrust.org/Record/001370063")</f>
        <v>http://catalog.hathitrust.org/Record/001370063</v>
      </c>
      <c r="J1364" s="1">
        <v>1915</v>
      </c>
      <c r="K1364" t="s">
        <v>17791</v>
      </c>
      <c r="L1364" t="s">
        <v>17792</v>
      </c>
    </row>
    <row r="1365" spans="1:12">
      <c r="A1365" t="s">
        <v>17793</v>
      </c>
      <c r="B1365" s="1" t="s">
        <v>17794</v>
      </c>
      <c r="F1365">
        <v>1</v>
      </c>
      <c r="G1365" t="str">
        <f>HYPERLINK("http://babel.hathitrust.org/cgi/pt?id=mdp.39015005179596")</f>
        <v>http://babel.hathitrust.org/cgi/pt?id=mdp.39015005179596</v>
      </c>
      <c r="H1365" t="str">
        <f>HYPERLINK("http://catalog.hathitrust.org/Record/001370064")</f>
        <v>http://catalog.hathitrust.org/Record/001370064</v>
      </c>
      <c r="J1365" s="1">
        <v>1920</v>
      </c>
      <c r="K1365" t="s">
        <v>17795</v>
      </c>
      <c r="L1365" t="s">
        <v>17796</v>
      </c>
    </row>
    <row r="1366" spans="1:12">
      <c r="A1366" t="s">
        <v>17797</v>
      </c>
      <c r="B1366" s="1" t="s">
        <v>17794</v>
      </c>
      <c r="F1366">
        <v>1</v>
      </c>
      <c r="G1366" t="str">
        <f>HYPERLINK("http://babel.hathitrust.org/cgi/pt?id=uc1.b3514891")</f>
        <v>http://babel.hathitrust.org/cgi/pt?id=uc1.b3514891</v>
      </c>
      <c r="H1366" t="str">
        <f>HYPERLINK("http://catalog.hathitrust.org/Record/001370064")</f>
        <v>http://catalog.hathitrust.org/Record/001370064</v>
      </c>
      <c r="I1366" s="1" t="s">
        <v>19240</v>
      </c>
      <c r="J1366" s="1">
        <v>1920</v>
      </c>
      <c r="K1366" t="s">
        <v>17795</v>
      </c>
      <c r="L1366" t="s">
        <v>17796</v>
      </c>
    </row>
    <row r="1367" spans="1:12">
      <c r="A1367" t="s">
        <v>17798</v>
      </c>
      <c r="B1367" s="1" t="s">
        <v>17794</v>
      </c>
      <c r="F1367">
        <v>1</v>
      </c>
      <c r="G1367" t="str">
        <f>HYPERLINK("http://babel.hathitrust.org/cgi/pt?id=uc2.ark:/13960/t20c4wc0b")</f>
        <v>http://babel.hathitrust.org/cgi/pt?id=uc2.ark:/13960/t20c4wc0b</v>
      </c>
      <c r="H1367" t="str">
        <f>HYPERLINK("http://catalog.hathitrust.org/Record/001370064")</f>
        <v>http://catalog.hathitrust.org/Record/001370064</v>
      </c>
      <c r="J1367" s="1">
        <v>1920</v>
      </c>
      <c r="K1367" t="s">
        <v>17795</v>
      </c>
      <c r="L1367" t="s">
        <v>17796</v>
      </c>
    </row>
    <row r="1368" spans="1:12">
      <c r="A1368" t="s">
        <v>17799</v>
      </c>
      <c r="B1368" s="1" t="s">
        <v>17800</v>
      </c>
      <c r="D1368">
        <v>1</v>
      </c>
      <c r="G1368" t="str">
        <f>HYPERLINK("http://babel.hathitrust.org/cgi/pt?id=mdp.39015063039245")</f>
        <v>http://babel.hathitrust.org/cgi/pt?id=mdp.39015063039245</v>
      </c>
      <c r="H1368" t="str">
        <f>HYPERLINK("http://catalog.hathitrust.org/Record/001370075")</f>
        <v>http://catalog.hathitrust.org/Record/001370075</v>
      </c>
      <c r="I1368" s="1" t="s">
        <v>20755</v>
      </c>
      <c r="J1368" s="1">
        <v>1906</v>
      </c>
      <c r="K1368" t="s">
        <v>17801</v>
      </c>
      <c r="L1368" t="s">
        <v>20086</v>
      </c>
    </row>
    <row r="1369" spans="1:12">
      <c r="A1369" t="s">
        <v>17802</v>
      </c>
      <c r="B1369" s="1" t="s">
        <v>17800</v>
      </c>
      <c r="D1369">
        <v>1</v>
      </c>
      <c r="G1369" t="str">
        <f>HYPERLINK("http://babel.hathitrust.org/cgi/pt?id=mdp.39015063039252")</f>
        <v>http://babel.hathitrust.org/cgi/pt?id=mdp.39015063039252</v>
      </c>
      <c r="H1369" t="str">
        <f>HYPERLINK("http://catalog.hathitrust.org/Record/001370075")</f>
        <v>http://catalog.hathitrust.org/Record/001370075</v>
      </c>
      <c r="I1369" s="1" t="s">
        <v>20916</v>
      </c>
      <c r="J1369" s="1">
        <v>1906</v>
      </c>
      <c r="K1369" t="s">
        <v>17801</v>
      </c>
      <c r="L1369" t="s">
        <v>20086</v>
      </c>
    </row>
    <row r="1370" spans="1:12">
      <c r="A1370" t="s">
        <v>17803</v>
      </c>
      <c r="B1370" s="1" t="s">
        <v>17800</v>
      </c>
      <c r="F1370">
        <v>1</v>
      </c>
      <c r="G1370" t="str">
        <f>HYPERLINK("http://babel.hathitrust.org/cgi/pt?id=uc1.l0071253140")</f>
        <v>http://babel.hathitrust.org/cgi/pt?id=uc1.l0071253140</v>
      </c>
      <c r="H1370" t="str">
        <f>HYPERLINK("http://catalog.hathitrust.org/Record/001370075")</f>
        <v>http://catalog.hathitrust.org/Record/001370075</v>
      </c>
      <c r="I1370" s="1" t="s">
        <v>20916</v>
      </c>
      <c r="J1370" s="1">
        <v>1906</v>
      </c>
      <c r="K1370" t="s">
        <v>17801</v>
      </c>
      <c r="L1370" t="s">
        <v>20086</v>
      </c>
    </row>
    <row r="1371" spans="1:12">
      <c r="A1371" t="s">
        <v>17804</v>
      </c>
      <c r="B1371" s="1" t="s">
        <v>17805</v>
      </c>
      <c r="D1371">
        <v>1</v>
      </c>
      <c r="G1371" t="str">
        <f>HYPERLINK("http://babel.hathitrust.org/cgi/pt?id=mdp.39015030932902")</f>
        <v>http://babel.hathitrust.org/cgi/pt?id=mdp.39015030932902</v>
      </c>
      <c r="H1371" t="str">
        <f>HYPERLINK("http://catalog.hathitrust.org/Record/001370533")</f>
        <v>http://catalog.hathitrust.org/Record/001370533</v>
      </c>
      <c r="J1371" s="1">
        <v>1910</v>
      </c>
      <c r="K1371" t="s">
        <v>17806</v>
      </c>
    </row>
    <row r="1372" spans="1:12">
      <c r="A1372" t="s">
        <v>17807</v>
      </c>
      <c r="B1372" s="1" t="s">
        <v>17808</v>
      </c>
      <c r="F1372">
        <v>1</v>
      </c>
      <c r="G1372" t="str">
        <f>HYPERLINK("http://babel.hathitrust.org/cgi/pt?id=mdp.39015030932860")</f>
        <v>http://babel.hathitrust.org/cgi/pt?id=mdp.39015030932860</v>
      </c>
      <c r="H1372" t="str">
        <f>HYPERLINK("http://catalog.hathitrust.org/Record/001370577")</f>
        <v>http://catalog.hathitrust.org/Record/001370577</v>
      </c>
      <c r="J1372" s="1">
        <v>1914</v>
      </c>
      <c r="K1372" t="s">
        <v>17809</v>
      </c>
      <c r="L1372" t="s">
        <v>17810</v>
      </c>
    </row>
    <row r="1373" spans="1:12">
      <c r="A1373" t="s">
        <v>17811</v>
      </c>
      <c r="B1373" s="1" t="s">
        <v>17808</v>
      </c>
      <c r="F1373">
        <v>1</v>
      </c>
      <c r="G1373" t="str">
        <f>HYPERLINK("http://babel.hathitrust.org/cgi/pt?id=uc1.b250038")</f>
        <v>http://babel.hathitrust.org/cgi/pt?id=uc1.b250038</v>
      </c>
      <c r="H1373" t="str">
        <f>HYPERLINK("http://catalog.hathitrust.org/Record/001370577")</f>
        <v>http://catalog.hathitrust.org/Record/001370577</v>
      </c>
      <c r="J1373" s="1">
        <v>1914</v>
      </c>
      <c r="K1373" t="s">
        <v>17809</v>
      </c>
      <c r="L1373" t="s">
        <v>17810</v>
      </c>
    </row>
    <row r="1374" spans="1:12">
      <c r="A1374" t="s">
        <v>17812</v>
      </c>
      <c r="B1374" s="1" t="s">
        <v>17808</v>
      </c>
      <c r="F1374">
        <v>1</v>
      </c>
      <c r="G1374" t="str">
        <f>HYPERLINK("http://babel.hathitrust.org/cgi/pt?id=uc2.ark:/13960/t50g3ks2f")</f>
        <v>http://babel.hathitrust.org/cgi/pt?id=uc2.ark:/13960/t50g3ks2f</v>
      </c>
      <c r="H1374" t="str">
        <f>HYPERLINK("http://catalog.hathitrust.org/Record/001370577")</f>
        <v>http://catalog.hathitrust.org/Record/001370577</v>
      </c>
      <c r="J1374" s="1">
        <v>1914</v>
      </c>
      <c r="K1374" t="s">
        <v>17809</v>
      </c>
      <c r="L1374" t="s">
        <v>17810</v>
      </c>
    </row>
    <row r="1375" spans="1:12">
      <c r="A1375" t="s">
        <v>17813</v>
      </c>
      <c r="B1375" s="1" t="s">
        <v>17814</v>
      </c>
      <c r="F1375">
        <v>1</v>
      </c>
      <c r="G1375" t="str">
        <f>HYPERLINK("http://babel.hathitrust.org/cgi/pt?id=mdp.39015066235360")</f>
        <v>http://babel.hathitrust.org/cgi/pt?id=mdp.39015066235360</v>
      </c>
      <c r="H1375" t="str">
        <f>HYPERLINK("http://catalog.hathitrust.org/Record/001370688")</f>
        <v>http://catalog.hathitrust.org/Record/001370688</v>
      </c>
      <c r="J1375" s="1">
        <v>1962</v>
      </c>
      <c r="K1375" t="s">
        <v>17815</v>
      </c>
      <c r="L1375" t="s">
        <v>17816</v>
      </c>
    </row>
    <row r="1376" spans="1:12">
      <c r="A1376" t="s">
        <v>17817</v>
      </c>
      <c r="B1376" s="1" t="s">
        <v>17814</v>
      </c>
      <c r="F1376">
        <v>1</v>
      </c>
      <c r="G1376" t="str">
        <f>HYPERLINK("http://babel.hathitrust.org/cgi/pt?id=uc1.b4379951")</f>
        <v>http://babel.hathitrust.org/cgi/pt?id=uc1.b4379951</v>
      </c>
      <c r="H1376" t="str">
        <f>HYPERLINK("http://catalog.hathitrust.org/Record/001370688")</f>
        <v>http://catalog.hathitrust.org/Record/001370688</v>
      </c>
      <c r="J1376" s="1">
        <v>1962</v>
      </c>
      <c r="K1376" t="s">
        <v>17815</v>
      </c>
      <c r="L1376" t="s">
        <v>17816</v>
      </c>
    </row>
    <row r="1377" spans="1:12">
      <c r="A1377" t="s">
        <v>17818</v>
      </c>
      <c r="B1377" s="1" t="s">
        <v>17819</v>
      </c>
      <c r="F1377">
        <v>1</v>
      </c>
      <c r="G1377" t="str">
        <f>HYPERLINK("http://babel.hathitrust.org/cgi/pt?id=mdp.39015014278355")</f>
        <v>http://babel.hathitrust.org/cgi/pt?id=mdp.39015014278355</v>
      </c>
      <c r="H1377" t="str">
        <f>HYPERLINK("http://catalog.hathitrust.org/Record/001370748")</f>
        <v>http://catalog.hathitrust.org/Record/001370748</v>
      </c>
      <c r="J1377" s="1">
        <v>1844</v>
      </c>
      <c r="K1377" t="s">
        <v>17820</v>
      </c>
      <c r="L1377" t="s">
        <v>17914</v>
      </c>
    </row>
    <row r="1378" spans="1:12">
      <c r="A1378" t="s">
        <v>17821</v>
      </c>
      <c r="B1378" s="1" t="s">
        <v>17819</v>
      </c>
      <c r="F1378">
        <v>1</v>
      </c>
      <c r="G1378" t="str">
        <f>HYPERLINK("http://babel.hathitrust.org/cgi/pt?id=uc1.b287383")</f>
        <v>http://babel.hathitrust.org/cgi/pt?id=uc1.b287383</v>
      </c>
      <c r="H1378" t="str">
        <f>HYPERLINK("http://catalog.hathitrust.org/Record/001370748")</f>
        <v>http://catalog.hathitrust.org/Record/001370748</v>
      </c>
      <c r="I1378" s="1" t="s">
        <v>20701</v>
      </c>
      <c r="J1378" s="1">
        <v>1844</v>
      </c>
      <c r="K1378" t="s">
        <v>17820</v>
      </c>
      <c r="L1378" t="s">
        <v>17914</v>
      </c>
    </row>
    <row r="1379" spans="1:12">
      <c r="A1379" t="s">
        <v>17822</v>
      </c>
      <c r="B1379" s="1" t="s">
        <v>17819</v>
      </c>
      <c r="F1379">
        <v>1</v>
      </c>
      <c r="G1379" t="str">
        <f>HYPERLINK("http://babel.hathitrust.org/cgi/pt?id=uc1.b287384")</f>
        <v>http://babel.hathitrust.org/cgi/pt?id=uc1.b287384</v>
      </c>
      <c r="H1379" t="str">
        <f>HYPERLINK("http://catalog.hathitrust.org/Record/001370748")</f>
        <v>http://catalog.hathitrust.org/Record/001370748</v>
      </c>
      <c r="I1379" s="1" t="s">
        <v>17823</v>
      </c>
      <c r="J1379" s="1">
        <v>1844</v>
      </c>
      <c r="K1379" t="s">
        <v>17820</v>
      </c>
      <c r="L1379" t="s">
        <v>17914</v>
      </c>
    </row>
    <row r="1380" spans="1:12">
      <c r="A1380" t="s">
        <v>17824</v>
      </c>
      <c r="B1380" s="1" t="s">
        <v>17819</v>
      </c>
      <c r="F1380">
        <v>1</v>
      </c>
      <c r="G1380" t="str">
        <f>HYPERLINK("http://babel.hathitrust.org/cgi/pt?id=uc1.b287385")</f>
        <v>http://babel.hathitrust.org/cgi/pt?id=uc1.b287385</v>
      </c>
      <c r="H1380" t="str">
        <f>HYPERLINK("http://catalog.hathitrust.org/Record/001370748")</f>
        <v>http://catalog.hathitrust.org/Record/001370748</v>
      </c>
      <c r="I1380" s="1" t="s">
        <v>17825</v>
      </c>
      <c r="J1380" s="1">
        <v>1844</v>
      </c>
      <c r="K1380" t="s">
        <v>17820</v>
      </c>
      <c r="L1380" t="s">
        <v>17914</v>
      </c>
    </row>
    <row r="1381" spans="1:12">
      <c r="A1381" t="s">
        <v>17826</v>
      </c>
      <c r="B1381" s="1" t="s">
        <v>17827</v>
      </c>
      <c r="F1381">
        <v>1</v>
      </c>
      <c r="G1381" t="str">
        <f>HYPERLINK("http://babel.hathitrust.org/cgi/pt?id=mdp.39015011583377")</f>
        <v>http://babel.hathitrust.org/cgi/pt?id=mdp.39015011583377</v>
      </c>
      <c r="H1381" t="str">
        <f>HYPERLINK("http://catalog.hathitrust.org/Record/001370772")</f>
        <v>http://catalog.hathitrust.org/Record/001370772</v>
      </c>
      <c r="J1381" s="1">
        <v>1916</v>
      </c>
      <c r="K1381" t="s">
        <v>17828</v>
      </c>
      <c r="L1381" t="s">
        <v>17829</v>
      </c>
    </row>
    <row r="1382" spans="1:12">
      <c r="A1382" t="s">
        <v>17830</v>
      </c>
      <c r="B1382" s="1" t="s">
        <v>17827</v>
      </c>
      <c r="F1382">
        <v>1</v>
      </c>
      <c r="G1382" t="str">
        <f>HYPERLINK("http://babel.hathitrust.org/cgi/pt?id=uc1.b249339")</f>
        <v>http://babel.hathitrust.org/cgi/pt?id=uc1.b249339</v>
      </c>
      <c r="H1382" t="str">
        <f>HYPERLINK("http://catalog.hathitrust.org/Record/001370772")</f>
        <v>http://catalog.hathitrust.org/Record/001370772</v>
      </c>
      <c r="J1382" s="1">
        <v>1916</v>
      </c>
      <c r="K1382" t="s">
        <v>17828</v>
      </c>
      <c r="L1382" t="s">
        <v>17829</v>
      </c>
    </row>
    <row r="1383" spans="1:12">
      <c r="A1383" t="s">
        <v>17831</v>
      </c>
      <c r="B1383" s="1" t="s">
        <v>17827</v>
      </c>
      <c r="F1383">
        <v>1</v>
      </c>
      <c r="G1383" t="str">
        <f>HYPERLINK("http://babel.hathitrust.org/cgi/pt?id=uc2.ark:/13960/t59c6vt04")</f>
        <v>http://babel.hathitrust.org/cgi/pt?id=uc2.ark:/13960/t59c6vt04</v>
      </c>
      <c r="H1383" t="str">
        <f>HYPERLINK("http://catalog.hathitrust.org/Record/001370772")</f>
        <v>http://catalog.hathitrust.org/Record/001370772</v>
      </c>
      <c r="J1383" s="1">
        <v>1916</v>
      </c>
      <c r="K1383" t="s">
        <v>17828</v>
      </c>
      <c r="L1383" t="s">
        <v>17829</v>
      </c>
    </row>
    <row r="1384" spans="1:12">
      <c r="A1384" t="s">
        <v>17832</v>
      </c>
      <c r="B1384" s="1" t="s">
        <v>17833</v>
      </c>
      <c r="F1384">
        <v>1</v>
      </c>
      <c r="G1384" t="str">
        <f>HYPERLINK("http://babel.hathitrust.org/cgi/pt?id=mdp.39015009357545")</f>
        <v>http://babel.hathitrust.org/cgi/pt?id=mdp.39015009357545</v>
      </c>
      <c r="H1384" t="str">
        <f>HYPERLINK("http://catalog.hathitrust.org/Record/001370780")</f>
        <v>http://catalog.hathitrust.org/Record/001370780</v>
      </c>
      <c r="J1384" s="1">
        <v>1900</v>
      </c>
      <c r="K1384" t="s">
        <v>17834</v>
      </c>
      <c r="L1384" t="s">
        <v>17835</v>
      </c>
    </row>
    <row r="1385" spans="1:12">
      <c r="A1385" t="s">
        <v>17836</v>
      </c>
      <c r="B1385" s="1" t="s">
        <v>17837</v>
      </c>
      <c r="F1385">
        <v>1</v>
      </c>
      <c r="G1385" t="str">
        <f>HYPERLINK("http://babel.hathitrust.org/cgi/pt?id=mdp.39015029766782")</f>
        <v>http://babel.hathitrust.org/cgi/pt?id=mdp.39015029766782</v>
      </c>
      <c r="H1385" t="str">
        <f>HYPERLINK("http://catalog.hathitrust.org/Record/001370785")</f>
        <v>http://catalog.hathitrust.org/Record/001370785</v>
      </c>
      <c r="J1385" s="1">
        <v>1913</v>
      </c>
      <c r="K1385" t="s">
        <v>17838</v>
      </c>
      <c r="L1385" t="s">
        <v>17839</v>
      </c>
    </row>
    <row r="1386" spans="1:12">
      <c r="A1386" t="s">
        <v>17840</v>
      </c>
      <c r="B1386" s="1" t="s">
        <v>17837</v>
      </c>
      <c r="F1386">
        <v>1</v>
      </c>
      <c r="G1386" t="str">
        <f>HYPERLINK("http://babel.hathitrust.org/cgi/pt?id=njp.32101067683969")</f>
        <v>http://babel.hathitrust.org/cgi/pt?id=njp.32101067683969</v>
      </c>
      <c r="H1386" t="str">
        <f>HYPERLINK("http://catalog.hathitrust.org/Record/001370785")</f>
        <v>http://catalog.hathitrust.org/Record/001370785</v>
      </c>
      <c r="J1386" s="1">
        <v>1913</v>
      </c>
      <c r="K1386" t="s">
        <v>17838</v>
      </c>
      <c r="L1386" t="s">
        <v>17839</v>
      </c>
    </row>
    <row r="1387" spans="1:12">
      <c r="A1387" t="s">
        <v>17841</v>
      </c>
      <c r="B1387" s="1" t="s">
        <v>17837</v>
      </c>
      <c r="F1387">
        <v>1</v>
      </c>
      <c r="G1387" t="str">
        <f>HYPERLINK("http://babel.hathitrust.org/cgi/pt?id=uc1.b4500739")</f>
        <v>http://babel.hathitrust.org/cgi/pt?id=uc1.b4500739</v>
      </c>
      <c r="H1387" t="str">
        <f>HYPERLINK("http://catalog.hathitrust.org/Record/001370785")</f>
        <v>http://catalog.hathitrust.org/Record/001370785</v>
      </c>
      <c r="J1387" s="1">
        <v>1913</v>
      </c>
      <c r="K1387" t="s">
        <v>17838</v>
      </c>
      <c r="L1387" t="s">
        <v>17839</v>
      </c>
    </row>
    <row r="1388" spans="1:12">
      <c r="A1388" t="s">
        <v>17842</v>
      </c>
      <c r="B1388" s="1" t="s">
        <v>17837</v>
      </c>
      <c r="F1388">
        <v>1</v>
      </c>
      <c r="G1388" t="str">
        <f>HYPERLINK("http://babel.hathitrust.org/cgi/pt?id=uc2.ark:/13960/t8pc3644b")</f>
        <v>http://babel.hathitrust.org/cgi/pt?id=uc2.ark:/13960/t8pc3644b</v>
      </c>
      <c r="H1388" t="str">
        <f>HYPERLINK("http://catalog.hathitrust.org/Record/001370785")</f>
        <v>http://catalog.hathitrust.org/Record/001370785</v>
      </c>
      <c r="J1388" s="1">
        <v>1913</v>
      </c>
      <c r="K1388" t="s">
        <v>17838</v>
      </c>
      <c r="L1388" t="s">
        <v>17839</v>
      </c>
    </row>
    <row r="1389" spans="1:12">
      <c r="A1389" t="s">
        <v>17843</v>
      </c>
      <c r="B1389" s="1" t="s">
        <v>17844</v>
      </c>
      <c r="F1389">
        <v>1</v>
      </c>
      <c r="G1389" t="str">
        <f>HYPERLINK("http://babel.hathitrust.org/cgi/pt?id=mdp.39015009317077")</f>
        <v>http://babel.hathitrust.org/cgi/pt?id=mdp.39015009317077</v>
      </c>
      <c r="H1389" t="str">
        <f>HYPERLINK("http://catalog.hathitrust.org/Record/001370891")</f>
        <v>http://catalog.hathitrust.org/Record/001370891</v>
      </c>
      <c r="J1389" s="1">
        <v>1870</v>
      </c>
      <c r="K1389" t="s">
        <v>17707</v>
      </c>
      <c r="L1389" t="s">
        <v>20297</v>
      </c>
    </row>
    <row r="1390" spans="1:12">
      <c r="A1390" t="s">
        <v>17708</v>
      </c>
      <c r="B1390" s="1" t="s">
        <v>17844</v>
      </c>
      <c r="F1390">
        <v>1</v>
      </c>
      <c r="G1390" t="str">
        <f>HYPERLINK("http://babel.hathitrust.org/cgi/pt?id=uva.x001875358")</f>
        <v>http://babel.hathitrust.org/cgi/pt?id=uva.x001875358</v>
      </c>
      <c r="H1390" t="str">
        <f>HYPERLINK("http://catalog.hathitrust.org/Record/001370891")</f>
        <v>http://catalog.hathitrust.org/Record/001370891</v>
      </c>
      <c r="J1390" s="1">
        <v>1870</v>
      </c>
      <c r="K1390" t="s">
        <v>17707</v>
      </c>
      <c r="L1390" t="s">
        <v>20297</v>
      </c>
    </row>
    <row r="1391" spans="1:12">
      <c r="A1391" t="s">
        <v>17709</v>
      </c>
      <c r="B1391" s="1" t="s">
        <v>17710</v>
      </c>
      <c r="F1391">
        <v>1</v>
      </c>
      <c r="G1391" t="str">
        <f>HYPERLINK("http://babel.hathitrust.org/cgi/pt?id=mdp.39015030935806")</f>
        <v>http://babel.hathitrust.org/cgi/pt?id=mdp.39015030935806</v>
      </c>
      <c r="H1391" t="str">
        <f>HYPERLINK("http://catalog.hathitrust.org/Record/001370913")</f>
        <v>http://catalog.hathitrust.org/Record/001370913</v>
      </c>
      <c r="J1391" s="1">
        <v>1887</v>
      </c>
      <c r="K1391" t="s">
        <v>17711</v>
      </c>
      <c r="L1391" t="s">
        <v>17712</v>
      </c>
    </row>
    <row r="1392" spans="1:12">
      <c r="A1392" t="s">
        <v>17713</v>
      </c>
      <c r="B1392" s="1" t="s">
        <v>17710</v>
      </c>
      <c r="F1392">
        <v>1</v>
      </c>
      <c r="G1392" t="str">
        <f>HYPERLINK("http://babel.hathitrust.org/cgi/pt?id=njp.32101072582453")</f>
        <v>http://babel.hathitrust.org/cgi/pt?id=njp.32101072582453</v>
      </c>
      <c r="H1392" t="str">
        <f>HYPERLINK("http://catalog.hathitrust.org/Record/001370913")</f>
        <v>http://catalog.hathitrust.org/Record/001370913</v>
      </c>
      <c r="J1392" s="1">
        <v>1887</v>
      </c>
      <c r="K1392" t="s">
        <v>17711</v>
      </c>
      <c r="L1392" t="s">
        <v>17712</v>
      </c>
    </row>
    <row r="1393" spans="1:12">
      <c r="A1393" t="s">
        <v>17714</v>
      </c>
      <c r="B1393" s="1" t="s">
        <v>17710</v>
      </c>
      <c r="F1393">
        <v>1</v>
      </c>
      <c r="G1393" t="str">
        <f>HYPERLINK("http://babel.hathitrust.org/cgi/pt?id=uc2.ark:/13960/t3319wx3m")</f>
        <v>http://babel.hathitrust.org/cgi/pt?id=uc2.ark:/13960/t3319wx3m</v>
      </c>
      <c r="H1393" t="str">
        <f>HYPERLINK("http://catalog.hathitrust.org/Record/001370913")</f>
        <v>http://catalog.hathitrust.org/Record/001370913</v>
      </c>
      <c r="J1393" s="1">
        <v>1887</v>
      </c>
      <c r="K1393" t="s">
        <v>17711</v>
      </c>
      <c r="L1393" t="s">
        <v>17712</v>
      </c>
    </row>
    <row r="1394" spans="1:12">
      <c r="A1394" t="s">
        <v>17715</v>
      </c>
      <c r="B1394" s="1" t="s">
        <v>17716</v>
      </c>
      <c r="F1394">
        <v>1</v>
      </c>
      <c r="G1394" t="str">
        <f>HYPERLINK("http://babel.hathitrust.org/cgi/pt?id=mdp.39015030935509")</f>
        <v>http://babel.hathitrust.org/cgi/pt?id=mdp.39015030935509</v>
      </c>
      <c r="H1394" t="str">
        <f>HYPERLINK("http://catalog.hathitrust.org/Record/001370962")</f>
        <v>http://catalog.hathitrust.org/Record/001370962</v>
      </c>
      <c r="J1394" s="1">
        <v>1951</v>
      </c>
      <c r="K1394" t="s">
        <v>17717</v>
      </c>
      <c r="L1394" t="s">
        <v>17718</v>
      </c>
    </row>
    <row r="1395" spans="1:12">
      <c r="A1395" t="s">
        <v>17719</v>
      </c>
      <c r="B1395" s="1" t="s">
        <v>17716</v>
      </c>
      <c r="F1395">
        <v>1</v>
      </c>
      <c r="G1395" t="str">
        <f>HYPERLINK("http://babel.hathitrust.org/cgi/pt?id=uc1.b3515163")</f>
        <v>http://babel.hathitrust.org/cgi/pt?id=uc1.b3515163</v>
      </c>
      <c r="H1395" t="str">
        <f>HYPERLINK("http://catalog.hathitrust.org/Record/001370962")</f>
        <v>http://catalog.hathitrust.org/Record/001370962</v>
      </c>
      <c r="J1395" s="1">
        <v>1951</v>
      </c>
      <c r="K1395" t="s">
        <v>17717</v>
      </c>
      <c r="L1395" t="s">
        <v>17718</v>
      </c>
    </row>
    <row r="1396" spans="1:12">
      <c r="A1396" t="s">
        <v>17720</v>
      </c>
      <c r="B1396" s="1" t="s">
        <v>17721</v>
      </c>
      <c r="F1396">
        <v>1</v>
      </c>
      <c r="G1396" t="str">
        <f>HYPERLINK("http://babel.hathitrust.org/cgi/pt?id=mdp.39015011682690")</f>
        <v>http://babel.hathitrust.org/cgi/pt?id=mdp.39015011682690</v>
      </c>
      <c r="H1396" t="str">
        <f>HYPERLINK("http://catalog.hathitrust.org/Record/001371021")</f>
        <v>http://catalog.hathitrust.org/Record/001371021</v>
      </c>
      <c r="J1396" s="1">
        <v>1931</v>
      </c>
      <c r="K1396" t="s">
        <v>17722</v>
      </c>
      <c r="L1396" t="s">
        <v>17723</v>
      </c>
    </row>
    <row r="1397" spans="1:12">
      <c r="A1397" t="s">
        <v>17724</v>
      </c>
      <c r="B1397" s="1" t="s">
        <v>17721</v>
      </c>
      <c r="F1397">
        <v>1</v>
      </c>
      <c r="G1397" t="str">
        <f>HYPERLINK("http://babel.hathitrust.org/cgi/pt?id=mdp.39015046438563")</f>
        <v>http://babel.hathitrust.org/cgi/pt?id=mdp.39015046438563</v>
      </c>
      <c r="H1397" t="str">
        <f>HYPERLINK("http://catalog.hathitrust.org/Record/001371021")</f>
        <v>http://catalog.hathitrust.org/Record/001371021</v>
      </c>
      <c r="J1397" s="1">
        <v>1931</v>
      </c>
      <c r="K1397" t="s">
        <v>17722</v>
      </c>
      <c r="L1397" t="s">
        <v>17723</v>
      </c>
    </row>
    <row r="1398" spans="1:12">
      <c r="A1398" t="s">
        <v>17725</v>
      </c>
      <c r="B1398" s="1" t="s">
        <v>17726</v>
      </c>
      <c r="F1398">
        <v>1</v>
      </c>
      <c r="G1398" t="str">
        <f>HYPERLINK("http://babel.hathitrust.org/cgi/pt?id=loc.ark:/13960/t41r7b24d")</f>
        <v>http://babel.hathitrust.org/cgi/pt?id=loc.ark:/13960/t41r7b24d</v>
      </c>
      <c r="H1398" t="str">
        <f>HYPERLINK("http://catalog.hathitrust.org/Record/001371102")</f>
        <v>http://catalog.hathitrust.org/Record/001371102</v>
      </c>
      <c r="J1398" s="1">
        <v>1918</v>
      </c>
      <c r="K1398" t="s">
        <v>17727</v>
      </c>
      <c r="L1398" t="s">
        <v>17728</v>
      </c>
    </row>
    <row r="1399" spans="1:12">
      <c r="A1399" t="s">
        <v>17729</v>
      </c>
      <c r="B1399" s="1" t="s">
        <v>17726</v>
      </c>
      <c r="F1399">
        <v>1</v>
      </c>
      <c r="G1399" t="str">
        <f>HYPERLINK("http://babel.hathitrust.org/cgi/pt?id=mdp.39015000518848")</f>
        <v>http://babel.hathitrust.org/cgi/pt?id=mdp.39015000518848</v>
      </c>
      <c r="H1399" t="str">
        <f>HYPERLINK("http://catalog.hathitrust.org/Record/001371102")</f>
        <v>http://catalog.hathitrust.org/Record/001371102</v>
      </c>
      <c r="J1399" s="1">
        <v>1918</v>
      </c>
      <c r="K1399" t="s">
        <v>17727</v>
      </c>
      <c r="L1399" t="s">
        <v>17728</v>
      </c>
    </row>
    <row r="1400" spans="1:12">
      <c r="A1400" t="s">
        <v>17730</v>
      </c>
      <c r="B1400" s="1" t="s">
        <v>17726</v>
      </c>
      <c r="F1400">
        <v>1</v>
      </c>
      <c r="G1400" t="str">
        <f>HYPERLINK("http://babel.hathitrust.org/cgi/pt?id=uc2.ark:/13960/t2h70gq8g")</f>
        <v>http://babel.hathitrust.org/cgi/pt?id=uc2.ark:/13960/t2h70gq8g</v>
      </c>
      <c r="H1400" t="str">
        <f>HYPERLINK("http://catalog.hathitrust.org/Record/001371102")</f>
        <v>http://catalog.hathitrust.org/Record/001371102</v>
      </c>
      <c r="J1400" s="1">
        <v>1918</v>
      </c>
      <c r="K1400" t="s">
        <v>17727</v>
      </c>
      <c r="L1400" t="s">
        <v>17728</v>
      </c>
    </row>
    <row r="1401" spans="1:12">
      <c r="A1401" t="s">
        <v>17731</v>
      </c>
      <c r="B1401" s="1" t="s">
        <v>17732</v>
      </c>
      <c r="F1401">
        <v>1</v>
      </c>
      <c r="G1401" t="str">
        <f>HYPERLINK("http://babel.hathitrust.org/cgi/pt?id=loc.ark:/13960/t7pn9rw71")</f>
        <v>http://babel.hathitrust.org/cgi/pt?id=loc.ark:/13960/t7pn9rw71</v>
      </c>
      <c r="H1401" t="str">
        <f>HYPERLINK("http://catalog.hathitrust.org/Record/001371150")</f>
        <v>http://catalog.hathitrust.org/Record/001371150</v>
      </c>
      <c r="J1401" s="1">
        <v>1914</v>
      </c>
      <c r="K1401" t="s">
        <v>17733</v>
      </c>
      <c r="L1401" t="s">
        <v>17734</v>
      </c>
    </row>
    <row r="1402" spans="1:12">
      <c r="A1402" t="s">
        <v>17735</v>
      </c>
      <c r="B1402" s="1" t="s">
        <v>17732</v>
      </c>
      <c r="F1402">
        <v>1</v>
      </c>
      <c r="G1402" t="str">
        <f>HYPERLINK("http://babel.hathitrust.org/cgi/pt?id=mdp.39015022200847")</f>
        <v>http://babel.hathitrust.org/cgi/pt?id=mdp.39015022200847</v>
      </c>
      <c r="H1402" t="str">
        <f>HYPERLINK("http://catalog.hathitrust.org/Record/001371150")</f>
        <v>http://catalog.hathitrust.org/Record/001371150</v>
      </c>
      <c r="J1402" s="1">
        <v>1914</v>
      </c>
      <c r="K1402" t="s">
        <v>17733</v>
      </c>
      <c r="L1402" t="s">
        <v>17734</v>
      </c>
    </row>
    <row r="1403" spans="1:12">
      <c r="A1403" t="s">
        <v>17736</v>
      </c>
      <c r="B1403" s="1" t="s">
        <v>17732</v>
      </c>
      <c r="F1403">
        <v>1</v>
      </c>
      <c r="G1403" t="str">
        <f>HYPERLINK("http://babel.hathitrust.org/cgi/pt?id=mdp.39015031008975")</f>
        <v>http://babel.hathitrust.org/cgi/pt?id=mdp.39015031008975</v>
      </c>
      <c r="H1403" t="str">
        <f>HYPERLINK("http://catalog.hathitrust.org/Record/001371150")</f>
        <v>http://catalog.hathitrust.org/Record/001371150</v>
      </c>
      <c r="J1403" s="1">
        <v>1914</v>
      </c>
      <c r="K1403" t="s">
        <v>17733</v>
      </c>
      <c r="L1403" t="s">
        <v>17734</v>
      </c>
    </row>
    <row r="1404" spans="1:12">
      <c r="A1404" t="s">
        <v>17737</v>
      </c>
      <c r="B1404" s="1" t="s">
        <v>17732</v>
      </c>
      <c r="F1404">
        <v>1</v>
      </c>
      <c r="G1404" t="str">
        <f>HYPERLINK("http://babel.hathitrust.org/cgi/pt?id=uc1.b275383")</f>
        <v>http://babel.hathitrust.org/cgi/pt?id=uc1.b275383</v>
      </c>
      <c r="H1404" t="str">
        <f>HYPERLINK("http://catalog.hathitrust.org/Record/001371150")</f>
        <v>http://catalog.hathitrust.org/Record/001371150</v>
      </c>
      <c r="J1404" s="1">
        <v>1914</v>
      </c>
      <c r="K1404" t="s">
        <v>17733</v>
      </c>
      <c r="L1404" t="s">
        <v>17734</v>
      </c>
    </row>
    <row r="1405" spans="1:12">
      <c r="A1405" t="s">
        <v>17738</v>
      </c>
      <c r="B1405" s="1" t="s">
        <v>17732</v>
      </c>
      <c r="F1405">
        <v>1</v>
      </c>
      <c r="G1405" t="str">
        <f>HYPERLINK("http://babel.hathitrust.org/cgi/pt?id=uc2.ark:/13960/t3513xw0g")</f>
        <v>http://babel.hathitrust.org/cgi/pt?id=uc2.ark:/13960/t3513xw0g</v>
      </c>
      <c r="H1405" t="str">
        <f>HYPERLINK("http://catalog.hathitrust.org/Record/001371150")</f>
        <v>http://catalog.hathitrust.org/Record/001371150</v>
      </c>
      <c r="J1405" s="1">
        <v>1914</v>
      </c>
      <c r="K1405" t="s">
        <v>17733</v>
      </c>
      <c r="L1405" t="s">
        <v>17734</v>
      </c>
    </row>
    <row r="1406" spans="1:12">
      <c r="A1406" t="s">
        <v>17739</v>
      </c>
      <c r="B1406" s="1" t="s">
        <v>17740</v>
      </c>
      <c r="E1406">
        <v>1</v>
      </c>
      <c r="F1406">
        <v>1</v>
      </c>
      <c r="G1406" t="str">
        <f>HYPERLINK("http://babel.hathitrust.org/cgi/pt?id=mdp.39015031009122")</f>
        <v>http://babel.hathitrust.org/cgi/pt?id=mdp.39015031009122</v>
      </c>
      <c r="H1406" t="str">
        <f>HYPERLINK("http://catalog.hathitrust.org/Record/001371169")</f>
        <v>http://catalog.hathitrust.org/Record/001371169</v>
      </c>
      <c r="J1406" s="1">
        <v>1887</v>
      </c>
      <c r="K1406" t="s">
        <v>17741</v>
      </c>
      <c r="L1406" t="s">
        <v>19690</v>
      </c>
    </row>
    <row r="1407" spans="1:12">
      <c r="A1407" t="s">
        <v>17742</v>
      </c>
      <c r="B1407" s="1" t="s">
        <v>17740</v>
      </c>
      <c r="F1407">
        <v>1</v>
      </c>
      <c r="G1407" t="str">
        <f>HYPERLINK("http://babel.hathitrust.org/cgi/pt?id=uc1.b3543117")</f>
        <v>http://babel.hathitrust.org/cgi/pt?id=uc1.b3543117</v>
      </c>
      <c r="H1407" t="str">
        <f>HYPERLINK("http://catalog.hathitrust.org/Record/001371169")</f>
        <v>http://catalog.hathitrust.org/Record/001371169</v>
      </c>
      <c r="J1407" s="1">
        <v>1887</v>
      </c>
      <c r="K1407" t="s">
        <v>17741</v>
      </c>
      <c r="L1407" t="s">
        <v>19690</v>
      </c>
    </row>
    <row r="1408" spans="1:12">
      <c r="A1408" t="s">
        <v>17743</v>
      </c>
      <c r="B1408" s="1" t="s">
        <v>17740</v>
      </c>
      <c r="F1408">
        <v>1</v>
      </c>
      <c r="G1408" t="str">
        <f>HYPERLINK("http://babel.hathitrust.org/cgi/pt?id=uc2.ark:/13960/t8bg2w65j")</f>
        <v>http://babel.hathitrust.org/cgi/pt?id=uc2.ark:/13960/t8bg2w65j</v>
      </c>
      <c r="H1408" t="str">
        <f>HYPERLINK("http://catalog.hathitrust.org/Record/001371169")</f>
        <v>http://catalog.hathitrust.org/Record/001371169</v>
      </c>
      <c r="J1408" s="1">
        <v>1887</v>
      </c>
      <c r="K1408" t="s">
        <v>17741</v>
      </c>
      <c r="L1408" t="s">
        <v>19690</v>
      </c>
    </row>
    <row r="1409" spans="1:12">
      <c r="A1409" t="s">
        <v>17744</v>
      </c>
      <c r="B1409" s="1" t="s">
        <v>17745</v>
      </c>
      <c r="F1409">
        <v>1</v>
      </c>
      <c r="G1409" t="str">
        <f>HYPERLINK("http://babel.hathitrust.org/cgi/pt?id=mdp.39015031004784")</f>
        <v>http://babel.hathitrust.org/cgi/pt?id=mdp.39015031004784</v>
      </c>
      <c r="H1409" t="str">
        <f>HYPERLINK("http://catalog.hathitrust.org/Record/001371188")</f>
        <v>http://catalog.hathitrust.org/Record/001371188</v>
      </c>
      <c r="I1409" s="1" t="s">
        <v>20755</v>
      </c>
      <c r="J1409" s="1">
        <v>1903</v>
      </c>
      <c r="K1409" t="s">
        <v>17746</v>
      </c>
      <c r="L1409" t="s">
        <v>17747</v>
      </c>
    </row>
    <row r="1410" spans="1:12">
      <c r="A1410" t="s">
        <v>17748</v>
      </c>
      <c r="B1410" s="1" t="s">
        <v>17745</v>
      </c>
      <c r="F1410">
        <v>1</v>
      </c>
      <c r="G1410" t="str">
        <f>HYPERLINK("http://babel.hathitrust.org/cgi/pt?id=mdp.39015031004941")</f>
        <v>http://babel.hathitrust.org/cgi/pt?id=mdp.39015031004941</v>
      </c>
      <c r="H1410" t="str">
        <f>HYPERLINK("http://catalog.hathitrust.org/Record/001371188")</f>
        <v>http://catalog.hathitrust.org/Record/001371188</v>
      </c>
      <c r="I1410" s="1" t="s">
        <v>20916</v>
      </c>
      <c r="J1410" s="1">
        <v>1903</v>
      </c>
      <c r="K1410" t="s">
        <v>17746</v>
      </c>
      <c r="L1410" t="s">
        <v>17747</v>
      </c>
    </row>
    <row r="1411" spans="1:12">
      <c r="A1411" t="s">
        <v>17749</v>
      </c>
      <c r="B1411" s="1" t="s">
        <v>17745</v>
      </c>
      <c r="F1411">
        <v>1</v>
      </c>
      <c r="G1411" t="str">
        <f>HYPERLINK("http://babel.hathitrust.org/cgi/pt?id=uc1.b245829")</f>
        <v>http://babel.hathitrust.org/cgi/pt?id=uc1.b245829</v>
      </c>
      <c r="H1411" t="str">
        <f>HYPERLINK("http://catalog.hathitrust.org/Record/001371188")</f>
        <v>http://catalog.hathitrust.org/Record/001371188</v>
      </c>
      <c r="I1411" s="1" t="s">
        <v>17750</v>
      </c>
      <c r="J1411" s="1">
        <v>1903</v>
      </c>
      <c r="K1411" t="s">
        <v>17746</v>
      </c>
      <c r="L1411" t="s">
        <v>17747</v>
      </c>
    </row>
    <row r="1412" spans="1:12">
      <c r="A1412" t="s">
        <v>17751</v>
      </c>
      <c r="B1412" s="1" t="s">
        <v>17752</v>
      </c>
      <c r="F1412">
        <v>1</v>
      </c>
      <c r="G1412" t="str">
        <f>HYPERLINK("http://babel.hathitrust.org/cgi/pt?id=mdp.39015031010385")</f>
        <v>http://babel.hathitrust.org/cgi/pt?id=mdp.39015031010385</v>
      </c>
      <c r="H1412" t="str">
        <f>HYPERLINK("http://catalog.hathitrust.org/Record/001371344")</f>
        <v>http://catalog.hathitrust.org/Record/001371344</v>
      </c>
      <c r="J1412" s="1">
        <v>1919</v>
      </c>
      <c r="K1412" t="s">
        <v>17753</v>
      </c>
      <c r="L1412" t="s">
        <v>17754</v>
      </c>
    </row>
    <row r="1413" spans="1:12">
      <c r="A1413" t="s">
        <v>17755</v>
      </c>
      <c r="B1413" s="1" t="s">
        <v>17752</v>
      </c>
      <c r="F1413">
        <v>1</v>
      </c>
      <c r="G1413" t="str">
        <f>HYPERLINK("http://babel.hathitrust.org/cgi/pt?id=nyp.33433067364889")</f>
        <v>http://babel.hathitrust.org/cgi/pt?id=nyp.33433067364889</v>
      </c>
      <c r="H1413" t="str">
        <f>HYPERLINK("http://catalog.hathitrust.org/Record/001371344")</f>
        <v>http://catalog.hathitrust.org/Record/001371344</v>
      </c>
      <c r="J1413" s="1">
        <v>1919</v>
      </c>
      <c r="K1413" t="s">
        <v>17753</v>
      </c>
      <c r="L1413" t="s">
        <v>17754</v>
      </c>
    </row>
    <row r="1414" spans="1:12">
      <c r="A1414" t="s">
        <v>17756</v>
      </c>
      <c r="B1414" s="1" t="s">
        <v>17752</v>
      </c>
      <c r="F1414">
        <v>1</v>
      </c>
      <c r="G1414" t="str">
        <f>HYPERLINK("http://babel.hathitrust.org/cgi/pt?id=uc1.b3514885")</f>
        <v>http://babel.hathitrust.org/cgi/pt?id=uc1.b3514885</v>
      </c>
      <c r="H1414" t="str">
        <f>HYPERLINK("http://catalog.hathitrust.org/Record/001371344")</f>
        <v>http://catalog.hathitrust.org/Record/001371344</v>
      </c>
      <c r="J1414" s="1">
        <v>1919</v>
      </c>
      <c r="K1414" t="s">
        <v>17753</v>
      </c>
      <c r="L1414" t="s">
        <v>17754</v>
      </c>
    </row>
    <row r="1415" spans="1:12">
      <c r="A1415" t="s">
        <v>17757</v>
      </c>
      <c r="B1415" s="1" t="s">
        <v>17752</v>
      </c>
      <c r="F1415">
        <v>1</v>
      </c>
      <c r="G1415" t="str">
        <f>HYPERLINK("http://babel.hathitrust.org/cgi/pt?id=uc2.ark:/13960/t59c6vz2w")</f>
        <v>http://babel.hathitrust.org/cgi/pt?id=uc2.ark:/13960/t59c6vz2w</v>
      </c>
      <c r="H1415" t="str">
        <f>HYPERLINK("http://catalog.hathitrust.org/Record/001371344")</f>
        <v>http://catalog.hathitrust.org/Record/001371344</v>
      </c>
      <c r="J1415" s="1">
        <v>1919</v>
      </c>
      <c r="K1415" t="s">
        <v>17753</v>
      </c>
      <c r="L1415" t="s">
        <v>17754</v>
      </c>
    </row>
    <row r="1416" spans="1:12">
      <c r="A1416" t="s">
        <v>17758</v>
      </c>
      <c r="B1416" s="1" t="s">
        <v>17759</v>
      </c>
      <c r="F1416">
        <v>1</v>
      </c>
      <c r="G1416" t="str">
        <f>HYPERLINK("http://babel.hathitrust.org/cgi/pt?id=mdp.39015007009916")</f>
        <v>http://babel.hathitrust.org/cgi/pt?id=mdp.39015007009916</v>
      </c>
      <c r="H1416" t="str">
        <f>HYPERLINK("http://catalog.hathitrust.org/Record/001371354")</f>
        <v>http://catalog.hathitrust.org/Record/001371354</v>
      </c>
      <c r="J1416" s="1">
        <v>1911</v>
      </c>
      <c r="K1416" t="s">
        <v>17760</v>
      </c>
      <c r="L1416" t="s">
        <v>17761</v>
      </c>
    </row>
    <row r="1417" spans="1:12">
      <c r="A1417" t="s">
        <v>17762</v>
      </c>
      <c r="B1417" s="1" t="s">
        <v>17759</v>
      </c>
      <c r="F1417">
        <v>1</v>
      </c>
      <c r="G1417" t="str">
        <f>HYPERLINK("http://babel.hathitrust.org/cgi/pt?id=uc1.b63426")</f>
        <v>http://babel.hathitrust.org/cgi/pt?id=uc1.b63426</v>
      </c>
      <c r="H1417" t="str">
        <f>HYPERLINK("http://catalog.hathitrust.org/Record/001371354")</f>
        <v>http://catalog.hathitrust.org/Record/001371354</v>
      </c>
      <c r="J1417" s="1">
        <v>1911</v>
      </c>
      <c r="K1417" t="s">
        <v>17760</v>
      </c>
      <c r="L1417" t="s">
        <v>17761</v>
      </c>
    </row>
    <row r="1418" spans="1:12">
      <c r="A1418" t="s">
        <v>17763</v>
      </c>
      <c r="B1418" s="1" t="s">
        <v>17764</v>
      </c>
      <c r="F1418">
        <v>1</v>
      </c>
      <c r="G1418" t="str">
        <f>HYPERLINK("http://babel.hathitrust.org/cgi/pt?id=mdp.39015004176049")</f>
        <v>http://babel.hathitrust.org/cgi/pt?id=mdp.39015004176049</v>
      </c>
      <c r="H1418" t="str">
        <f>HYPERLINK("http://catalog.hathitrust.org/Record/001371363")</f>
        <v>http://catalog.hathitrust.org/Record/001371363</v>
      </c>
      <c r="J1418" s="1">
        <v>1961</v>
      </c>
      <c r="K1418" t="s">
        <v>17765</v>
      </c>
      <c r="L1418" t="s">
        <v>17766</v>
      </c>
    </row>
    <row r="1419" spans="1:12">
      <c r="A1419" t="s">
        <v>17767</v>
      </c>
      <c r="B1419" s="1" t="s">
        <v>17764</v>
      </c>
      <c r="F1419">
        <v>1</v>
      </c>
      <c r="G1419" t="str">
        <f>HYPERLINK("http://babel.hathitrust.org/cgi/pt?id=miun.afw0737.0001.001")</f>
        <v>http://babel.hathitrust.org/cgi/pt?id=miun.afw0737.0001.001</v>
      </c>
      <c r="H1419" t="str">
        <f>HYPERLINK("http://catalog.hathitrust.org/Record/001371363")</f>
        <v>http://catalog.hathitrust.org/Record/001371363</v>
      </c>
      <c r="J1419" s="1">
        <v>1961</v>
      </c>
      <c r="K1419" t="s">
        <v>17765</v>
      </c>
      <c r="L1419" t="s">
        <v>17766</v>
      </c>
    </row>
    <row r="1420" spans="1:12">
      <c r="A1420" t="s">
        <v>17768</v>
      </c>
      <c r="B1420" s="1" t="s">
        <v>17769</v>
      </c>
      <c r="F1420">
        <v>1</v>
      </c>
      <c r="G1420" t="str">
        <f>HYPERLINK("http://babel.hathitrust.org/cgi/pt?id=mdp.39015008432711")</f>
        <v>http://babel.hathitrust.org/cgi/pt?id=mdp.39015008432711</v>
      </c>
      <c r="H1420" t="str">
        <f>HYPERLINK("http://catalog.hathitrust.org/Record/001371368")</f>
        <v>http://catalog.hathitrust.org/Record/001371368</v>
      </c>
      <c r="J1420" s="1">
        <v>1918</v>
      </c>
      <c r="K1420" t="s">
        <v>17770</v>
      </c>
      <c r="L1420" t="s">
        <v>17771</v>
      </c>
    </row>
    <row r="1421" spans="1:12">
      <c r="A1421" t="s">
        <v>17772</v>
      </c>
      <c r="B1421" s="1" t="s">
        <v>17773</v>
      </c>
      <c r="F1421">
        <v>1</v>
      </c>
      <c r="G1421" t="str">
        <f>HYPERLINK("http://babel.hathitrust.org/cgi/pt?id=mdp.39015016912928")</f>
        <v>http://babel.hathitrust.org/cgi/pt?id=mdp.39015016912928</v>
      </c>
      <c r="H1421" t="str">
        <f>HYPERLINK("http://catalog.hathitrust.org/Record/001371386")</f>
        <v>http://catalog.hathitrust.org/Record/001371386</v>
      </c>
      <c r="J1421" s="1">
        <v>1921</v>
      </c>
      <c r="K1421" t="s">
        <v>17774</v>
      </c>
      <c r="L1421" t="s">
        <v>17642</v>
      </c>
    </row>
    <row r="1422" spans="1:12">
      <c r="A1422" t="s">
        <v>17643</v>
      </c>
      <c r="B1422" s="1" t="s">
        <v>17644</v>
      </c>
      <c r="E1422">
        <v>1</v>
      </c>
      <c r="F1422">
        <v>1</v>
      </c>
      <c r="G1422" t="str">
        <f>HYPERLINK("http://babel.hathitrust.org/cgi/pt?id=mdp.39015066195457")</f>
        <v>http://babel.hathitrust.org/cgi/pt?id=mdp.39015066195457</v>
      </c>
      <c r="H1422" t="str">
        <f>HYPERLINK("http://catalog.hathitrust.org/Record/001371388")</f>
        <v>http://catalog.hathitrust.org/Record/001371388</v>
      </c>
      <c r="I1422" s="1" t="s">
        <v>20916</v>
      </c>
      <c r="J1422" s="1">
        <v>1892</v>
      </c>
      <c r="K1422" t="s">
        <v>17645</v>
      </c>
      <c r="L1422" t="s">
        <v>17875</v>
      </c>
    </row>
    <row r="1423" spans="1:12">
      <c r="A1423" t="s">
        <v>17646</v>
      </c>
      <c r="B1423" s="1" t="s">
        <v>17644</v>
      </c>
      <c r="E1423">
        <v>1</v>
      </c>
      <c r="F1423">
        <v>1</v>
      </c>
      <c r="G1423" t="str">
        <f>HYPERLINK("http://babel.hathitrust.org/cgi/pt?id=mdp.39015066195606")</f>
        <v>http://babel.hathitrust.org/cgi/pt?id=mdp.39015066195606</v>
      </c>
      <c r="H1423" t="str">
        <f>HYPERLINK("http://catalog.hathitrust.org/Record/001371388")</f>
        <v>http://catalog.hathitrust.org/Record/001371388</v>
      </c>
      <c r="I1423" s="1" t="s">
        <v>20755</v>
      </c>
      <c r="J1423" s="1">
        <v>1892</v>
      </c>
      <c r="K1423" t="s">
        <v>17645</v>
      </c>
      <c r="L1423" t="s">
        <v>17875</v>
      </c>
    </row>
    <row r="1424" spans="1:12">
      <c r="A1424" t="s">
        <v>17647</v>
      </c>
      <c r="B1424" s="1" t="s">
        <v>17648</v>
      </c>
      <c r="F1424">
        <v>1</v>
      </c>
      <c r="G1424" t="str">
        <f>HYPERLINK("http://babel.hathitrust.org/cgi/pt?id=uva.x000380892")</f>
        <v>http://babel.hathitrust.org/cgi/pt?id=uva.x000380892</v>
      </c>
      <c r="H1424" t="str">
        <f>HYPERLINK("http://catalog.hathitrust.org/Record/001371389")</f>
        <v>http://catalog.hathitrust.org/Record/001371389</v>
      </c>
      <c r="J1424" s="1">
        <v>1920</v>
      </c>
      <c r="K1424" t="s">
        <v>17649</v>
      </c>
      <c r="L1424" t="s">
        <v>17875</v>
      </c>
    </row>
    <row r="1425" spans="1:12">
      <c r="A1425" t="s">
        <v>17650</v>
      </c>
      <c r="B1425" s="1" t="s">
        <v>17651</v>
      </c>
      <c r="F1425">
        <v>1</v>
      </c>
      <c r="G1425" t="str">
        <f>HYPERLINK("http://babel.hathitrust.org/cgi/pt?id=inu.39000005920231")</f>
        <v>http://babel.hathitrust.org/cgi/pt?id=inu.39000005920231</v>
      </c>
      <c r="H1425" t="str">
        <f>HYPERLINK("http://catalog.hathitrust.org/Record/001371393")</f>
        <v>http://catalog.hathitrust.org/Record/001371393</v>
      </c>
      <c r="J1425" s="1">
        <v>1913</v>
      </c>
      <c r="K1425" t="s">
        <v>17652</v>
      </c>
      <c r="L1425" t="s">
        <v>17653</v>
      </c>
    </row>
    <row r="1426" spans="1:12">
      <c r="A1426" t="s">
        <v>17654</v>
      </c>
      <c r="B1426" s="1" t="s">
        <v>17651</v>
      </c>
      <c r="F1426">
        <v>1</v>
      </c>
      <c r="G1426" t="str">
        <f>HYPERLINK("http://babel.hathitrust.org/cgi/pt?id=mdp.39015004884485")</f>
        <v>http://babel.hathitrust.org/cgi/pt?id=mdp.39015004884485</v>
      </c>
      <c r="H1426" t="str">
        <f>HYPERLINK("http://catalog.hathitrust.org/Record/001371393")</f>
        <v>http://catalog.hathitrust.org/Record/001371393</v>
      </c>
      <c r="J1426" s="1">
        <v>1913</v>
      </c>
      <c r="K1426" t="s">
        <v>17652</v>
      </c>
      <c r="L1426" t="s">
        <v>17653</v>
      </c>
    </row>
    <row r="1427" spans="1:12">
      <c r="A1427" t="s">
        <v>17655</v>
      </c>
      <c r="B1427" s="1" t="s">
        <v>17651</v>
      </c>
      <c r="F1427">
        <v>1</v>
      </c>
      <c r="G1427" t="str">
        <f>HYPERLINK("http://babel.hathitrust.org/cgi/pt?id=uc1.b4097369")</f>
        <v>http://babel.hathitrust.org/cgi/pt?id=uc1.b4097369</v>
      </c>
      <c r="H1427" t="str">
        <f>HYPERLINK("http://catalog.hathitrust.org/Record/001371393")</f>
        <v>http://catalog.hathitrust.org/Record/001371393</v>
      </c>
      <c r="I1427" s="1" t="s">
        <v>20439</v>
      </c>
      <c r="J1427" s="1">
        <v>1913</v>
      </c>
      <c r="K1427" t="s">
        <v>17652</v>
      </c>
      <c r="L1427" t="s">
        <v>17653</v>
      </c>
    </row>
    <row r="1428" spans="1:12">
      <c r="A1428" t="s">
        <v>17656</v>
      </c>
      <c r="B1428" s="1" t="s">
        <v>17657</v>
      </c>
      <c r="F1428">
        <v>1</v>
      </c>
      <c r="G1428" t="str">
        <f>HYPERLINK("http://babel.hathitrust.org/cgi/pt?id=mdp.39015059409402")</f>
        <v>http://babel.hathitrust.org/cgi/pt?id=mdp.39015059409402</v>
      </c>
      <c r="H1428" t="str">
        <f>HYPERLINK("http://catalog.hathitrust.org/Record/001371400")</f>
        <v>http://catalog.hathitrust.org/Record/001371400</v>
      </c>
      <c r="I1428" s="1" t="s">
        <v>20916</v>
      </c>
      <c r="J1428" s="1">
        <v>1762</v>
      </c>
      <c r="K1428" t="s">
        <v>17658</v>
      </c>
      <c r="L1428" t="s">
        <v>17659</v>
      </c>
    </row>
    <row r="1429" spans="1:12">
      <c r="A1429" t="s">
        <v>17660</v>
      </c>
      <c r="B1429" s="1" t="s">
        <v>17657</v>
      </c>
      <c r="F1429">
        <v>1</v>
      </c>
      <c r="G1429" t="str">
        <f>HYPERLINK("http://babel.hathitrust.org/cgi/pt?id=mdp.39015059409410")</f>
        <v>http://babel.hathitrust.org/cgi/pt?id=mdp.39015059409410</v>
      </c>
      <c r="H1429" t="str">
        <f>HYPERLINK("http://catalog.hathitrust.org/Record/001371400")</f>
        <v>http://catalog.hathitrust.org/Record/001371400</v>
      </c>
      <c r="I1429" s="1" t="s">
        <v>20755</v>
      </c>
      <c r="J1429" s="1">
        <v>1762</v>
      </c>
      <c r="K1429" t="s">
        <v>17658</v>
      </c>
      <c r="L1429" t="s">
        <v>17659</v>
      </c>
    </row>
    <row r="1430" spans="1:12">
      <c r="A1430" t="s">
        <v>17661</v>
      </c>
      <c r="B1430" s="1" t="s">
        <v>17662</v>
      </c>
      <c r="F1430">
        <v>1</v>
      </c>
      <c r="G1430" t="str">
        <f>HYPERLINK("http://babel.hathitrust.org/cgi/pt?id=mdp.39015030930211")</f>
        <v>http://babel.hathitrust.org/cgi/pt?id=mdp.39015030930211</v>
      </c>
      <c r="H1430" t="str">
        <f>HYPERLINK("http://catalog.hathitrust.org/Record/001371409")</f>
        <v>http://catalog.hathitrust.org/Record/001371409</v>
      </c>
      <c r="J1430" s="1">
        <v>1895</v>
      </c>
      <c r="K1430" t="s">
        <v>17663</v>
      </c>
      <c r="L1430" t="s">
        <v>17664</v>
      </c>
    </row>
    <row r="1431" spans="1:12">
      <c r="A1431" t="s">
        <v>17665</v>
      </c>
      <c r="B1431" s="1" t="s">
        <v>17662</v>
      </c>
      <c r="F1431">
        <v>1</v>
      </c>
      <c r="G1431" t="str">
        <f>HYPERLINK("http://babel.hathitrust.org/cgi/pt?id=uc2.ark:/13960/fk6d21rw50")</f>
        <v>http://babel.hathitrust.org/cgi/pt?id=uc2.ark:/13960/fk6d21rw50</v>
      </c>
      <c r="H1431" t="str">
        <f>HYPERLINK("http://catalog.hathitrust.org/Record/001371409")</f>
        <v>http://catalog.hathitrust.org/Record/001371409</v>
      </c>
      <c r="J1431" s="1">
        <v>1895</v>
      </c>
      <c r="K1431" t="s">
        <v>17663</v>
      </c>
      <c r="L1431" t="s">
        <v>17664</v>
      </c>
    </row>
    <row r="1432" spans="1:12">
      <c r="A1432" t="s">
        <v>17666</v>
      </c>
      <c r="B1432" s="1" t="s">
        <v>17667</v>
      </c>
      <c r="E1432">
        <v>1</v>
      </c>
      <c r="F1432">
        <v>1</v>
      </c>
      <c r="G1432" t="str">
        <f>HYPERLINK("http://babel.hathitrust.org/cgi/pt?id=mdp.39015005194710")</f>
        <v>http://babel.hathitrust.org/cgi/pt?id=mdp.39015005194710</v>
      </c>
      <c r="H1432" t="str">
        <f t="shared" ref="H1432:H1450" si="28">HYPERLINK("http://catalog.hathitrust.org/Record/001371417")</f>
        <v>http://catalog.hathitrust.org/Record/001371417</v>
      </c>
      <c r="I1432" s="1" t="s">
        <v>20920</v>
      </c>
      <c r="J1432" s="1">
        <v>1895</v>
      </c>
      <c r="K1432" t="s">
        <v>17890</v>
      </c>
      <c r="L1432" t="s">
        <v>19309</v>
      </c>
    </row>
    <row r="1433" spans="1:12">
      <c r="A1433" t="s">
        <v>17668</v>
      </c>
      <c r="B1433" s="1" t="s">
        <v>17667</v>
      </c>
      <c r="F1433">
        <v>1</v>
      </c>
      <c r="G1433" t="str">
        <f>HYPERLINK("http://babel.hathitrust.org/cgi/pt?id=mdp.39015030930047")</f>
        <v>http://babel.hathitrust.org/cgi/pt?id=mdp.39015030930047</v>
      </c>
      <c r="H1433" t="str">
        <f t="shared" si="28"/>
        <v>http://catalog.hathitrust.org/Record/001371417</v>
      </c>
      <c r="I1433" s="1" t="s">
        <v>20920</v>
      </c>
      <c r="J1433" s="1">
        <v>1895</v>
      </c>
      <c r="K1433" t="s">
        <v>17890</v>
      </c>
      <c r="L1433" t="s">
        <v>19309</v>
      </c>
    </row>
    <row r="1434" spans="1:12">
      <c r="A1434" t="s">
        <v>17669</v>
      </c>
      <c r="B1434" s="1" t="s">
        <v>17667</v>
      </c>
      <c r="E1434">
        <v>1</v>
      </c>
      <c r="F1434">
        <v>1</v>
      </c>
      <c r="G1434" t="str">
        <f>HYPERLINK("http://babel.hathitrust.org/cgi/pt?id=mdp.39015030930054")</f>
        <v>http://babel.hathitrust.org/cgi/pt?id=mdp.39015030930054</v>
      </c>
      <c r="H1434" t="str">
        <f t="shared" si="28"/>
        <v>http://catalog.hathitrust.org/Record/001371417</v>
      </c>
      <c r="I1434" s="1" t="s">
        <v>20679</v>
      </c>
      <c r="J1434" s="1">
        <v>1895</v>
      </c>
      <c r="K1434" t="s">
        <v>17890</v>
      </c>
      <c r="L1434" t="s">
        <v>19309</v>
      </c>
    </row>
    <row r="1435" spans="1:12">
      <c r="A1435" t="s">
        <v>17670</v>
      </c>
      <c r="B1435" s="1" t="s">
        <v>17667</v>
      </c>
      <c r="E1435">
        <v>1</v>
      </c>
      <c r="F1435">
        <v>1</v>
      </c>
      <c r="G1435" t="str">
        <f>HYPERLINK("http://babel.hathitrust.org/cgi/pt?id=mdp.39015030930088")</f>
        <v>http://babel.hathitrust.org/cgi/pt?id=mdp.39015030930088</v>
      </c>
      <c r="H1435" t="str">
        <f t="shared" si="28"/>
        <v>http://catalog.hathitrust.org/Record/001371417</v>
      </c>
      <c r="I1435" s="1" t="s">
        <v>20916</v>
      </c>
      <c r="J1435" s="1">
        <v>1895</v>
      </c>
      <c r="K1435" t="s">
        <v>17890</v>
      </c>
      <c r="L1435" t="s">
        <v>19309</v>
      </c>
    </row>
    <row r="1436" spans="1:12">
      <c r="A1436" t="s">
        <v>17671</v>
      </c>
      <c r="B1436" s="1" t="s">
        <v>17667</v>
      </c>
      <c r="E1436">
        <v>1</v>
      </c>
      <c r="F1436">
        <v>1</v>
      </c>
      <c r="G1436" t="str">
        <f>HYPERLINK("http://babel.hathitrust.org/cgi/pt?id=mdp.39015030930153")</f>
        <v>http://babel.hathitrust.org/cgi/pt?id=mdp.39015030930153</v>
      </c>
      <c r="H1436" t="str">
        <f t="shared" si="28"/>
        <v>http://catalog.hathitrust.org/Record/001371417</v>
      </c>
      <c r="I1436" s="1" t="s">
        <v>21018</v>
      </c>
      <c r="J1436" s="1">
        <v>1895</v>
      </c>
      <c r="K1436" t="s">
        <v>17890</v>
      </c>
      <c r="L1436" t="s">
        <v>19309</v>
      </c>
    </row>
    <row r="1437" spans="1:12">
      <c r="A1437" t="s">
        <v>17672</v>
      </c>
      <c r="B1437" s="1" t="s">
        <v>17667</v>
      </c>
      <c r="E1437">
        <v>1</v>
      </c>
      <c r="F1437">
        <v>1</v>
      </c>
      <c r="G1437" t="str">
        <f>HYPERLINK("http://babel.hathitrust.org/cgi/pt?id=mdp.39015030930161")</f>
        <v>http://babel.hathitrust.org/cgi/pt?id=mdp.39015030930161</v>
      </c>
      <c r="H1437" t="str">
        <f t="shared" si="28"/>
        <v>http://catalog.hathitrust.org/Record/001371417</v>
      </c>
      <c r="I1437" s="1" t="s">
        <v>20681</v>
      </c>
      <c r="J1437" s="1">
        <v>1895</v>
      </c>
      <c r="K1437" t="s">
        <v>17890</v>
      </c>
      <c r="L1437" t="s">
        <v>19309</v>
      </c>
    </row>
    <row r="1438" spans="1:12">
      <c r="A1438" t="s">
        <v>17673</v>
      </c>
      <c r="B1438" s="1" t="s">
        <v>17667</v>
      </c>
      <c r="E1438">
        <v>1</v>
      </c>
      <c r="F1438">
        <v>1</v>
      </c>
      <c r="G1438" t="str">
        <f>HYPERLINK("http://babel.hathitrust.org/cgi/pt?id=mdp.39015030930179")</f>
        <v>http://babel.hathitrust.org/cgi/pt?id=mdp.39015030930179</v>
      </c>
      <c r="H1438" t="str">
        <f t="shared" si="28"/>
        <v>http://catalog.hathitrust.org/Record/001371417</v>
      </c>
      <c r="I1438" s="1" t="s">
        <v>20755</v>
      </c>
      <c r="J1438" s="1">
        <v>1895</v>
      </c>
      <c r="K1438" t="s">
        <v>17890</v>
      </c>
      <c r="L1438" t="s">
        <v>19309</v>
      </c>
    </row>
    <row r="1439" spans="1:12">
      <c r="A1439" t="s">
        <v>17674</v>
      </c>
      <c r="B1439" s="1" t="s">
        <v>17667</v>
      </c>
      <c r="F1439">
        <v>1</v>
      </c>
      <c r="G1439" t="str">
        <f>HYPERLINK("http://babel.hathitrust.org/cgi/pt?id=miun.afw0791.0001.001")</f>
        <v>http://babel.hathitrust.org/cgi/pt?id=miun.afw0791.0001.001</v>
      </c>
      <c r="H1439" t="str">
        <f t="shared" si="28"/>
        <v>http://catalog.hathitrust.org/Record/001371417</v>
      </c>
      <c r="I1439" s="1">
        <v>1.0009999999999999</v>
      </c>
      <c r="J1439" s="1">
        <v>1895</v>
      </c>
      <c r="K1439" t="s">
        <v>17890</v>
      </c>
      <c r="L1439" t="s">
        <v>19309</v>
      </c>
    </row>
    <row r="1440" spans="1:12">
      <c r="A1440" t="s">
        <v>17675</v>
      </c>
      <c r="B1440" s="1" t="s">
        <v>17667</v>
      </c>
      <c r="F1440">
        <v>1</v>
      </c>
      <c r="G1440" t="str">
        <f>HYPERLINK("http://babel.hathitrust.org/cgi/pt?id=miun.afw0791.0002.001")</f>
        <v>http://babel.hathitrust.org/cgi/pt?id=miun.afw0791.0002.001</v>
      </c>
      <c r="H1440" t="str">
        <f t="shared" si="28"/>
        <v>http://catalog.hathitrust.org/Record/001371417</v>
      </c>
      <c r="I1440" s="1">
        <v>2.0009999999999999</v>
      </c>
      <c r="J1440" s="1">
        <v>1895</v>
      </c>
      <c r="K1440" t="s">
        <v>17890</v>
      </c>
      <c r="L1440" t="s">
        <v>19309</v>
      </c>
    </row>
    <row r="1441" spans="1:12">
      <c r="A1441" t="s">
        <v>17676</v>
      </c>
      <c r="B1441" s="1" t="s">
        <v>17667</v>
      </c>
      <c r="F1441">
        <v>1</v>
      </c>
      <c r="G1441" t="str">
        <f>HYPERLINK("http://babel.hathitrust.org/cgi/pt?id=miun.afw0791.0003.001")</f>
        <v>http://babel.hathitrust.org/cgi/pt?id=miun.afw0791.0003.001</v>
      </c>
      <c r="H1441" t="str">
        <f t="shared" si="28"/>
        <v>http://catalog.hathitrust.org/Record/001371417</v>
      </c>
      <c r="I1441" s="1">
        <v>3.0009999999999999</v>
      </c>
      <c r="J1441" s="1">
        <v>1895</v>
      </c>
      <c r="K1441" t="s">
        <v>17890</v>
      </c>
      <c r="L1441" t="s">
        <v>19309</v>
      </c>
    </row>
    <row r="1442" spans="1:12">
      <c r="A1442" t="s">
        <v>17677</v>
      </c>
      <c r="B1442" s="1" t="s">
        <v>17667</v>
      </c>
      <c r="F1442">
        <v>1</v>
      </c>
      <c r="G1442" t="str">
        <f>HYPERLINK("http://babel.hathitrust.org/cgi/pt?id=miun.afw0791.0004.001")</f>
        <v>http://babel.hathitrust.org/cgi/pt?id=miun.afw0791.0004.001</v>
      </c>
      <c r="H1442" t="str">
        <f t="shared" si="28"/>
        <v>http://catalog.hathitrust.org/Record/001371417</v>
      </c>
      <c r="I1442" s="1">
        <v>4.0010000000000003</v>
      </c>
      <c r="J1442" s="1">
        <v>1895</v>
      </c>
      <c r="K1442" t="s">
        <v>17890</v>
      </c>
      <c r="L1442" t="s">
        <v>19309</v>
      </c>
    </row>
    <row r="1443" spans="1:12">
      <c r="A1443" t="s">
        <v>17678</v>
      </c>
      <c r="B1443" s="1" t="s">
        <v>17667</v>
      </c>
      <c r="F1443">
        <v>1</v>
      </c>
      <c r="G1443" t="str">
        <f>HYPERLINK("http://babel.hathitrust.org/cgi/pt?id=miun.afw0791.0005.001")</f>
        <v>http://babel.hathitrust.org/cgi/pt?id=miun.afw0791.0005.001</v>
      </c>
      <c r="H1443" t="str">
        <f t="shared" si="28"/>
        <v>http://catalog.hathitrust.org/Record/001371417</v>
      </c>
      <c r="I1443" s="1">
        <v>5.0010000000000003</v>
      </c>
      <c r="J1443" s="1">
        <v>1895</v>
      </c>
      <c r="K1443" t="s">
        <v>17890</v>
      </c>
      <c r="L1443" t="s">
        <v>19309</v>
      </c>
    </row>
    <row r="1444" spans="1:12">
      <c r="A1444" t="s">
        <v>17679</v>
      </c>
      <c r="B1444" s="1" t="s">
        <v>17667</v>
      </c>
      <c r="F1444">
        <v>1</v>
      </c>
      <c r="G1444" t="str">
        <f>HYPERLINK("http://babel.hathitrust.org/cgi/pt?id=miun.afw0791.0006.001")</f>
        <v>http://babel.hathitrust.org/cgi/pt?id=miun.afw0791.0006.001</v>
      </c>
      <c r="H1444" t="str">
        <f t="shared" si="28"/>
        <v>http://catalog.hathitrust.org/Record/001371417</v>
      </c>
      <c r="I1444" s="1">
        <v>6.0010000000000003</v>
      </c>
      <c r="J1444" s="1">
        <v>1895</v>
      </c>
      <c r="K1444" t="s">
        <v>17890</v>
      </c>
      <c r="L1444" t="s">
        <v>19309</v>
      </c>
    </row>
    <row r="1445" spans="1:12">
      <c r="A1445" t="s">
        <v>17680</v>
      </c>
      <c r="B1445" s="1" t="s">
        <v>17667</v>
      </c>
      <c r="F1445">
        <v>1</v>
      </c>
      <c r="G1445" t="str">
        <f>HYPERLINK("http://babel.hathitrust.org/cgi/pt?id=uc1.b3295125")</f>
        <v>http://babel.hathitrust.org/cgi/pt?id=uc1.b3295125</v>
      </c>
      <c r="H1445" t="str">
        <f t="shared" si="28"/>
        <v>http://catalog.hathitrust.org/Record/001371417</v>
      </c>
      <c r="I1445" s="1" t="s">
        <v>20916</v>
      </c>
      <c r="J1445" s="1">
        <v>1895</v>
      </c>
      <c r="K1445" t="s">
        <v>17890</v>
      </c>
      <c r="L1445" t="s">
        <v>19309</v>
      </c>
    </row>
    <row r="1446" spans="1:12">
      <c r="A1446" t="s">
        <v>17681</v>
      </c>
      <c r="B1446" s="1" t="s">
        <v>17667</v>
      </c>
      <c r="F1446">
        <v>1</v>
      </c>
      <c r="G1446" t="str">
        <f>HYPERLINK("http://babel.hathitrust.org/cgi/pt?id=uc1.b3295126")</f>
        <v>http://babel.hathitrust.org/cgi/pt?id=uc1.b3295126</v>
      </c>
      <c r="H1446" t="str">
        <f t="shared" si="28"/>
        <v>http://catalog.hathitrust.org/Record/001371417</v>
      </c>
      <c r="I1446" s="1" t="s">
        <v>20755</v>
      </c>
      <c r="J1446" s="1">
        <v>1895</v>
      </c>
      <c r="K1446" t="s">
        <v>17890</v>
      </c>
      <c r="L1446" t="s">
        <v>19309</v>
      </c>
    </row>
    <row r="1447" spans="1:12">
      <c r="A1447" t="s">
        <v>17682</v>
      </c>
      <c r="B1447" s="1" t="s">
        <v>17667</v>
      </c>
      <c r="F1447">
        <v>1</v>
      </c>
      <c r="G1447" t="str">
        <f>HYPERLINK("http://babel.hathitrust.org/cgi/pt?id=uc1.b3295127")</f>
        <v>http://babel.hathitrust.org/cgi/pt?id=uc1.b3295127</v>
      </c>
      <c r="H1447" t="str">
        <f t="shared" si="28"/>
        <v>http://catalog.hathitrust.org/Record/001371417</v>
      </c>
      <c r="I1447" s="1" t="s">
        <v>20920</v>
      </c>
      <c r="J1447" s="1">
        <v>1895</v>
      </c>
      <c r="K1447" t="s">
        <v>17890</v>
      </c>
      <c r="L1447" t="s">
        <v>19309</v>
      </c>
    </row>
    <row r="1448" spans="1:12">
      <c r="A1448" t="s">
        <v>17683</v>
      </c>
      <c r="B1448" s="1" t="s">
        <v>17667</v>
      </c>
      <c r="F1448">
        <v>1</v>
      </c>
      <c r="G1448" t="str">
        <f>HYPERLINK("http://babel.hathitrust.org/cgi/pt?id=uc1.b3295128")</f>
        <v>http://babel.hathitrust.org/cgi/pt?id=uc1.b3295128</v>
      </c>
      <c r="H1448" t="str">
        <f t="shared" si="28"/>
        <v>http://catalog.hathitrust.org/Record/001371417</v>
      </c>
      <c r="I1448" s="1" t="s">
        <v>20679</v>
      </c>
      <c r="J1448" s="1">
        <v>1895</v>
      </c>
      <c r="K1448" t="s">
        <v>17890</v>
      </c>
      <c r="L1448" t="s">
        <v>19309</v>
      </c>
    </row>
    <row r="1449" spans="1:12">
      <c r="A1449" t="s">
        <v>17684</v>
      </c>
      <c r="B1449" s="1" t="s">
        <v>17667</v>
      </c>
      <c r="F1449">
        <v>1</v>
      </c>
      <c r="G1449" t="str">
        <f>HYPERLINK("http://babel.hathitrust.org/cgi/pt?id=uc1.b3295129")</f>
        <v>http://babel.hathitrust.org/cgi/pt?id=uc1.b3295129</v>
      </c>
      <c r="H1449" t="str">
        <f t="shared" si="28"/>
        <v>http://catalog.hathitrust.org/Record/001371417</v>
      </c>
      <c r="I1449" s="1" t="s">
        <v>20681</v>
      </c>
      <c r="J1449" s="1">
        <v>1895</v>
      </c>
      <c r="K1449" t="s">
        <v>17890</v>
      </c>
      <c r="L1449" t="s">
        <v>19309</v>
      </c>
    </row>
    <row r="1450" spans="1:12">
      <c r="A1450" t="s">
        <v>17685</v>
      </c>
      <c r="B1450" s="1" t="s">
        <v>17667</v>
      </c>
      <c r="F1450">
        <v>1</v>
      </c>
      <c r="G1450" t="str">
        <f>HYPERLINK("http://babel.hathitrust.org/cgi/pt?id=uc1.b3295130")</f>
        <v>http://babel.hathitrust.org/cgi/pt?id=uc1.b3295130</v>
      </c>
      <c r="H1450" t="str">
        <f t="shared" si="28"/>
        <v>http://catalog.hathitrust.org/Record/001371417</v>
      </c>
      <c r="I1450" s="1" t="s">
        <v>21018</v>
      </c>
      <c r="J1450" s="1">
        <v>1895</v>
      </c>
      <c r="K1450" t="s">
        <v>17890</v>
      </c>
      <c r="L1450" t="s">
        <v>19309</v>
      </c>
    </row>
    <row r="1451" spans="1:12">
      <c r="A1451" t="s">
        <v>17686</v>
      </c>
      <c r="B1451" s="1" t="s">
        <v>17687</v>
      </c>
      <c r="F1451">
        <v>1</v>
      </c>
      <c r="G1451" t="str">
        <f>HYPERLINK("http://babel.hathitrust.org/cgi/pt?id=uc1.b115529")</f>
        <v>http://babel.hathitrust.org/cgi/pt?id=uc1.b115529</v>
      </c>
      <c r="H1451" t="str">
        <f>HYPERLINK("http://catalog.hathitrust.org/Record/001371419")</f>
        <v>http://catalog.hathitrust.org/Record/001371419</v>
      </c>
      <c r="J1451" s="1">
        <v>1911</v>
      </c>
      <c r="K1451" t="s">
        <v>17688</v>
      </c>
      <c r="L1451" t="s">
        <v>17689</v>
      </c>
    </row>
    <row r="1452" spans="1:12">
      <c r="A1452" t="s">
        <v>17690</v>
      </c>
      <c r="B1452" s="1" t="s">
        <v>17687</v>
      </c>
      <c r="F1452">
        <v>1</v>
      </c>
      <c r="G1452" t="str">
        <f>HYPERLINK("http://babel.hathitrust.org/cgi/pt?id=uc2.ark:/13960/t4zg6jj9t")</f>
        <v>http://babel.hathitrust.org/cgi/pt?id=uc2.ark:/13960/t4zg6jj9t</v>
      </c>
      <c r="H1452" t="str">
        <f>HYPERLINK("http://catalog.hathitrust.org/Record/001371419")</f>
        <v>http://catalog.hathitrust.org/Record/001371419</v>
      </c>
      <c r="J1452" s="1">
        <v>1911</v>
      </c>
      <c r="K1452" t="s">
        <v>17688</v>
      </c>
      <c r="L1452" t="s">
        <v>17689</v>
      </c>
    </row>
    <row r="1453" spans="1:12">
      <c r="A1453" t="s">
        <v>17691</v>
      </c>
      <c r="B1453" s="1" t="s">
        <v>17692</v>
      </c>
      <c r="F1453">
        <v>1</v>
      </c>
      <c r="G1453" t="str">
        <f>HYPERLINK("http://babel.hathitrust.org/cgi/pt?id=mdp.39015030929197")</f>
        <v>http://babel.hathitrust.org/cgi/pt?id=mdp.39015030929197</v>
      </c>
      <c r="H1453" t="str">
        <f>HYPERLINK("http://catalog.hathitrust.org/Record/001371427")</f>
        <v>http://catalog.hathitrust.org/Record/001371427</v>
      </c>
      <c r="J1453" s="1">
        <v>1890</v>
      </c>
      <c r="K1453" t="s">
        <v>17693</v>
      </c>
      <c r="L1453" t="s">
        <v>17694</v>
      </c>
    </row>
    <row r="1454" spans="1:12">
      <c r="A1454" t="s">
        <v>17695</v>
      </c>
      <c r="B1454" s="1" t="s">
        <v>17692</v>
      </c>
      <c r="F1454">
        <v>1</v>
      </c>
      <c r="G1454" t="str">
        <f>HYPERLINK("http://babel.hathitrust.org/cgi/pt?id=uc1.b29652")</f>
        <v>http://babel.hathitrust.org/cgi/pt?id=uc1.b29652</v>
      </c>
      <c r="H1454" t="str">
        <f>HYPERLINK("http://catalog.hathitrust.org/Record/001371427")</f>
        <v>http://catalog.hathitrust.org/Record/001371427</v>
      </c>
      <c r="J1454" s="1">
        <v>1890</v>
      </c>
      <c r="K1454" t="s">
        <v>17693</v>
      </c>
      <c r="L1454" t="s">
        <v>17694</v>
      </c>
    </row>
    <row r="1455" spans="1:12">
      <c r="A1455" t="s">
        <v>17696</v>
      </c>
      <c r="B1455" s="1" t="s">
        <v>17692</v>
      </c>
      <c r="F1455">
        <v>1</v>
      </c>
      <c r="G1455" t="str">
        <f>HYPERLINK("http://babel.hathitrust.org/cgi/pt?id=uc2.ark:/13960/t36110r1j")</f>
        <v>http://babel.hathitrust.org/cgi/pt?id=uc2.ark:/13960/t36110r1j</v>
      </c>
      <c r="H1455" t="str">
        <f>HYPERLINK("http://catalog.hathitrust.org/Record/001371427")</f>
        <v>http://catalog.hathitrust.org/Record/001371427</v>
      </c>
      <c r="J1455" s="1">
        <v>1890</v>
      </c>
      <c r="K1455" t="s">
        <v>17693</v>
      </c>
      <c r="L1455" t="s">
        <v>17694</v>
      </c>
    </row>
    <row r="1456" spans="1:12">
      <c r="A1456" t="s">
        <v>17697</v>
      </c>
      <c r="B1456" s="1" t="s">
        <v>17698</v>
      </c>
      <c r="F1456">
        <v>1</v>
      </c>
      <c r="G1456" t="str">
        <f>HYPERLINK("http://babel.hathitrust.org/cgi/pt?id=mdp.39015005332690")</f>
        <v>http://babel.hathitrust.org/cgi/pt?id=mdp.39015005332690</v>
      </c>
      <c r="H1456" t="str">
        <f>HYPERLINK("http://catalog.hathitrust.org/Record/001371429")</f>
        <v>http://catalog.hathitrust.org/Record/001371429</v>
      </c>
      <c r="J1456" s="1">
        <v>1912</v>
      </c>
      <c r="K1456" t="s">
        <v>17699</v>
      </c>
      <c r="L1456" t="s">
        <v>17700</v>
      </c>
    </row>
    <row r="1457" spans="1:12">
      <c r="A1457" t="s">
        <v>17701</v>
      </c>
      <c r="B1457" s="1" t="s">
        <v>17698</v>
      </c>
      <c r="F1457">
        <v>1</v>
      </c>
      <c r="G1457" t="str">
        <f>HYPERLINK("http://babel.hathitrust.org/cgi/pt?id=uc2.ark:/13960/t9z033c5p")</f>
        <v>http://babel.hathitrust.org/cgi/pt?id=uc2.ark:/13960/t9z033c5p</v>
      </c>
      <c r="H1457" t="str">
        <f>HYPERLINK("http://catalog.hathitrust.org/Record/001371429")</f>
        <v>http://catalog.hathitrust.org/Record/001371429</v>
      </c>
      <c r="J1457" s="1">
        <v>1912</v>
      </c>
      <c r="K1457" t="s">
        <v>17699</v>
      </c>
      <c r="L1457" t="s">
        <v>17700</v>
      </c>
    </row>
    <row r="1458" spans="1:12">
      <c r="A1458" t="s">
        <v>17702</v>
      </c>
      <c r="B1458" s="1" t="s">
        <v>17703</v>
      </c>
      <c r="F1458">
        <v>1</v>
      </c>
      <c r="G1458" t="str">
        <f>HYPERLINK("http://babel.hathitrust.org/cgi/pt?id=mdp.39015053659416")</f>
        <v>http://babel.hathitrust.org/cgi/pt?id=mdp.39015053659416</v>
      </c>
      <c r="H1458" t="str">
        <f>HYPERLINK("http://catalog.hathitrust.org/Record/001371440")</f>
        <v>http://catalog.hathitrust.org/Record/001371440</v>
      </c>
      <c r="J1458" s="1">
        <v>1922</v>
      </c>
      <c r="K1458" t="s">
        <v>17704</v>
      </c>
      <c r="L1458" t="s">
        <v>17705</v>
      </c>
    </row>
    <row r="1459" spans="1:12">
      <c r="A1459" t="s">
        <v>17706</v>
      </c>
      <c r="B1459" s="1" t="s">
        <v>17703</v>
      </c>
      <c r="F1459">
        <v>1</v>
      </c>
      <c r="G1459" t="str">
        <f>HYPERLINK("http://babel.hathitrust.org/cgi/pt?id=uc1.b3514907")</f>
        <v>http://babel.hathitrust.org/cgi/pt?id=uc1.b3514907</v>
      </c>
      <c r="H1459" t="str">
        <f>HYPERLINK("http://catalog.hathitrust.org/Record/001371440")</f>
        <v>http://catalog.hathitrust.org/Record/001371440</v>
      </c>
      <c r="J1459" s="1">
        <v>1922</v>
      </c>
      <c r="K1459" t="s">
        <v>17704</v>
      </c>
      <c r="L1459" t="s">
        <v>17705</v>
      </c>
    </row>
    <row r="1460" spans="1:12">
      <c r="A1460" t="s">
        <v>17585</v>
      </c>
      <c r="B1460" s="1" t="s">
        <v>17586</v>
      </c>
      <c r="F1460">
        <v>1</v>
      </c>
      <c r="G1460" t="str">
        <f>HYPERLINK("http://babel.hathitrust.org/cgi/pt?id=mdp.39015030929130")</f>
        <v>http://babel.hathitrust.org/cgi/pt?id=mdp.39015030929130</v>
      </c>
      <c r="H1460" t="str">
        <f>HYPERLINK("http://catalog.hathitrust.org/Record/001371442")</f>
        <v>http://catalog.hathitrust.org/Record/001371442</v>
      </c>
      <c r="J1460" s="1">
        <v>1911</v>
      </c>
      <c r="K1460" t="s">
        <v>17587</v>
      </c>
      <c r="L1460" t="s">
        <v>17588</v>
      </c>
    </row>
    <row r="1461" spans="1:12">
      <c r="A1461" t="s">
        <v>17589</v>
      </c>
      <c r="B1461" s="1" t="s">
        <v>17586</v>
      </c>
      <c r="F1461">
        <v>1</v>
      </c>
      <c r="G1461" t="str">
        <f>HYPERLINK("http://babel.hathitrust.org/cgi/pt?id=uc2.ark:/13960/t2m61jr1b")</f>
        <v>http://babel.hathitrust.org/cgi/pt?id=uc2.ark:/13960/t2m61jr1b</v>
      </c>
      <c r="H1461" t="str">
        <f>HYPERLINK("http://catalog.hathitrust.org/Record/001371442")</f>
        <v>http://catalog.hathitrust.org/Record/001371442</v>
      </c>
      <c r="J1461" s="1">
        <v>1911</v>
      </c>
      <c r="K1461" t="s">
        <v>17587</v>
      </c>
      <c r="L1461" t="s">
        <v>17588</v>
      </c>
    </row>
    <row r="1462" spans="1:12">
      <c r="A1462" t="s">
        <v>17590</v>
      </c>
      <c r="B1462" s="1" t="s">
        <v>17591</v>
      </c>
      <c r="F1462">
        <v>1</v>
      </c>
      <c r="G1462" t="str">
        <f>HYPERLINK("http://babel.hathitrust.org/cgi/pt?id=mdp.39015018600117")</f>
        <v>http://babel.hathitrust.org/cgi/pt?id=mdp.39015018600117</v>
      </c>
      <c r="H1462" t="str">
        <f>HYPERLINK("http://catalog.hathitrust.org/Record/001371466")</f>
        <v>http://catalog.hathitrust.org/Record/001371466</v>
      </c>
      <c r="J1462" s="1">
        <v>1947</v>
      </c>
      <c r="K1462" t="s">
        <v>17592</v>
      </c>
      <c r="L1462" t="s">
        <v>19224</v>
      </c>
    </row>
    <row r="1463" spans="1:12">
      <c r="A1463" t="s">
        <v>17593</v>
      </c>
      <c r="B1463" s="1" t="s">
        <v>17594</v>
      </c>
      <c r="F1463">
        <v>1</v>
      </c>
      <c r="G1463" t="str">
        <f>HYPERLINK("http://babel.hathitrust.org/cgi/pt?id=mdp.39015029913384")</f>
        <v>http://babel.hathitrust.org/cgi/pt?id=mdp.39015029913384</v>
      </c>
      <c r="H1463" t="str">
        <f>HYPERLINK("http://catalog.hathitrust.org/Record/001371480")</f>
        <v>http://catalog.hathitrust.org/Record/001371480</v>
      </c>
      <c r="J1463" s="1">
        <v>1885</v>
      </c>
      <c r="K1463" t="s">
        <v>17595</v>
      </c>
      <c r="L1463" t="s">
        <v>19211</v>
      </c>
    </row>
    <row r="1464" spans="1:12">
      <c r="A1464" t="s">
        <v>17596</v>
      </c>
      <c r="B1464" s="1" t="s">
        <v>17594</v>
      </c>
      <c r="F1464">
        <v>1</v>
      </c>
      <c r="G1464" t="str">
        <f>HYPERLINK("http://babel.hathitrust.org/cgi/pt?id=mdp.39015031007506")</f>
        <v>http://babel.hathitrust.org/cgi/pt?id=mdp.39015031007506</v>
      </c>
      <c r="H1464" t="str">
        <f>HYPERLINK("http://catalog.hathitrust.org/Record/001371480")</f>
        <v>http://catalog.hathitrust.org/Record/001371480</v>
      </c>
      <c r="J1464" s="1">
        <v>1885</v>
      </c>
      <c r="K1464" t="s">
        <v>17595</v>
      </c>
      <c r="L1464" t="s">
        <v>19211</v>
      </c>
    </row>
    <row r="1465" spans="1:12">
      <c r="A1465" t="s">
        <v>17597</v>
      </c>
      <c r="B1465" s="1" t="s">
        <v>17598</v>
      </c>
      <c r="F1465">
        <v>1</v>
      </c>
      <c r="G1465" t="str">
        <f>HYPERLINK("http://babel.hathitrust.org/cgi/pt?id=mdp.39015031007548")</f>
        <v>http://babel.hathitrust.org/cgi/pt?id=mdp.39015031007548</v>
      </c>
      <c r="H1465" t="str">
        <f>HYPERLINK("http://catalog.hathitrust.org/Record/001371482")</f>
        <v>http://catalog.hathitrust.org/Record/001371482</v>
      </c>
      <c r="J1465" s="1">
        <v>1883</v>
      </c>
      <c r="K1465" t="s">
        <v>17599</v>
      </c>
      <c r="L1465" t="s">
        <v>19211</v>
      </c>
    </row>
    <row r="1466" spans="1:12">
      <c r="A1466" t="s">
        <v>17600</v>
      </c>
      <c r="B1466" s="1" t="s">
        <v>17598</v>
      </c>
      <c r="F1466">
        <v>1</v>
      </c>
      <c r="G1466" t="str">
        <f>HYPERLINK("http://babel.hathitrust.org/cgi/pt?id=uc1.b3295069")</f>
        <v>http://babel.hathitrust.org/cgi/pt?id=uc1.b3295069</v>
      </c>
      <c r="H1466" t="str">
        <f>HYPERLINK("http://catalog.hathitrust.org/Record/001371482")</f>
        <v>http://catalog.hathitrust.org/Record/001371482</v>
      </c>
      <c r="J1466" s="1">
        <v>1883</v>
      </c>
      <c r="K1466" t="s">
        <v>17599</v>
      </c>
      <c r="L1466" t="s">
        <v>19211</v>
      </c>
    </row>
    <row r="1467" spans="1:12">
      <c r="A1467" t="s">
        <v>17601</v>
      </c>
      <c r="B1467" s="1" t="s">
        <v>17598</v>
      </c>
      <c r="F1467">
        <v>1</v>
      </c>
      <c r="G1467" t="str">
        <f>HYPERLINK("http://babel.hathitrust.org/cgi/pt?id=uc2.ark:/13960/t6g162r9f")</f>
        <v>http://babel.hathitrust.org/cgi/pt?id=uc2.ark:/13960/t6g162r9f</v>
      </c>
      <c r="H1467" t="str">
        <f>HYPERLINK("http://catalog.hathitrust.org/Record/001371482")</f>
        <v>http://catalog.hathitrust.org/Record/001371482</v>
      </c>
      <c r="J1467" s="1">
        <v>1883</v>
      </c>
      <c r="K1467" t="s">
        <v>17599</v>
      </c>
      <c r="L1467" t="s">
        <v>19211</v>
      </c>
    </row>
    <row r="1468" spans="1:12">
      <c r="A1468" t="s">
        <v>17602</v>
      </c>
      <c r="B1468" s="1" t="s">
        <v>17603</v>
      </c>
      <c r="F1468">
        <v>1</v>
      </c>
      <c r="G1468" t="str">
        <f>HYPERLINK("http://babel.hathitrust.org/cgi/pt?id=mdp.39015032396916")</f>
        <v>http://babel.hathitrust.org/cgi/pt?id=mdp.39015032396916</v>
      </c>
      <c r="H1468" t="str">
        <f>HYPERLINK("http://catalog.hathitrust.org/Record/001371490")</f>
        <v>http://catalog.hathitrust.org/Record/001371490</v>
      </c>
      <c r="J1468" s="1">
        <v>1959</v>
      </c>
      <c r="K1468" t="s">
        <v>17604</v>
      </c>
      <c r="L1468" t="s">
        <v>17998</v>
      </c>
    </row>
    <row r="1469" spans="1:12">
      <c r="A1469" t="s">
        <v>17605</v>
      </c>
      <c r="B1469" s="1" t="s">
        <v>17606</v>
      </c>
      <c r="F1469">
        <v>1</v>
      </c>
      <c r="G1469" t="str">
        <f>HYPERLINK("http://babel.hathitrust.org/cgi/pt?id=mdp.39015001139461")</f>
        <v>http://babel.hathitrust.org/cgi/pt?id=mdp.39015001139461</v>
      </c>
      <c r="H1469" t="str">
        <f>HYPERLINK("http://catalog.hathitrust.org/Record/001371494")</f>
        <v>http://catalog.hathitrust.org/Record/001371494</v>
      </c>
      <c r="J1469" s="1">
        <v>1929</v>
      </c>
      <c r="K1469" t="s">
        <v>17607</v>
      </c>
      <c r="L1469" t="s">
        <v>17608</v>
      </c>
    </row>
    <row r="1470" spans="1:12">
      <c r="A1470" t="s">
        <v>17609</v>
      </c>
      <c r="B1470" s="1" t="s">
        <v>17606</v>
      </c>
      <c r="F1470">
        <v>1</v>
      </c>
      <c r="G1470" t="str">
        <f>HYPERLINK("http://babel.hathitrust.org/cgi/pt?id=mdp.39015031007597")</f>
        <v>http://babel.hathitrust.org/cgi/pt?id=mdp.39015031007597</v>
      </c>
      <c r="H1470" t="str">
        <f>HYPERLINK("http://catalog.hathitrust.org/Record/001371494")</f>
        <v>http://catalog.hathitrust.org/Record/001371494</v>
      </c>
      <c r="J1470" s="1">
        <v>1929</v>
      </c>
      <c r="K1470" t="s">
        <v>17607</v>
      </c>
      <c r="L1470" t="s">
        <v>17608</v>
      </c>
    </row>
    <row r="1471" spans="1:12">
      <c r="A1471" t="s">
        <v>17610</v>
      </c>
      <c r="B1471" s="1" t="s">
        <v>17611</v>
      </c>
      <c r="F1471">
        <v>1</v>
      </c>
      <c r="G1471" t="str">
        <f>HYPERLINK("http://babel.hathitrust.org/cgi/pt?id=uc2.ark:/13960/t8rb78n2q")</f>
        <v>http://babel.hathitrust.org/cgi/pt?id=uc2.ark:/13960/t8rb78n2q</v>
      </c>
      <c r="H1471" t="str">
        <f>HYPERLINK("http://catalog.hathitrust.org/Record/001371495")</f>
        <v>http://catalog.hathitrust.org/Record/001371495</v>
      </c>
      <c r="J1471" s="1">
        <v>1907</v>
      </c>
      <c r="K1471" t="s">
        <v>17612</v>
      </c>
      <c r="L1471" t="s">
        <v>17613</v>
      </c>
    </row>
    <row r="1472" spans="1:12">
      <c r="A1472" t="s">
        <v>17614</v>
      </c>
      <c r="B1472" s="1" t="s">
        <v>17615</v>
      </c>
      <c r="F1472">
        <v>1</v>
      </c>
      <c r="G1472" t="str">
        <f>HYPERLINK("http://babel.hathitrust.org/cgi/pt?id=mdp.39015000584667")</f>
        <v>http://babel.hathitrust.org/cgi/pt?id=mdp.39015000584667</v>
      </c>
      <c r="H1472" t="str">
        <f>HYPERLINK("http://catalog.hathitrust.org/Record/001371510")</f>
        <v>http://catalog.hathitrust.org/Record/001371510</v>
      </c>
      <c r="J1472" s="1">
        <v>1922</v>
      </c>
      <c r="K1472" t="s">
        <v>17616</v>
      </c>
      <c r="L1472" t="s">
        <v>19238</v>
      </c>
    </row>
    <row r="1473" spans="1:12">
      <c r="A1473" t="s">
        <v>17617</v>
      </c>
      <c r="B1473" s="1" t="s">
        <v>17615</v>
      </c>
      <c r="F1473">
        <v>1</v>
      </c>
      <c r="G1473" t="str">
        <f>HYPERLINK("http://babel.hathitrust.org/cgi/pt?id=nyp.33433081604286")</f>
        <v>http://babel.hathitrust.org/cgi/pt?id=nyp.33433081604286</v>
      </c>
      <c r="H1473" t="str">
        <f>HYPERLINK("http://catalog.hathitrust.org/Record/001371510")</f>
        <v>http://catalog.hathitrust.org/Record/001371510</v>
      </c>
      <c r="J1473" s="1">
        <v>1922</v>
      </c>
      <c r="K1473" t="s">
        <v>17616</v>
      </c>
      <c r="L1473" t="s">
        <v>19238</v>
      </c>
    </row>
    <row r="1474" spans="1:12">
      <c r="A1474" t="s">
        <v>17618</v>
      </c>
      <c r="B1474" s="1" t="s">
        <v>17615</v>
      </c>
      <c r="F1474">
        <v>1</v>
      </c>
      <c r="G1474" t="str">
        <f>HYPERLINK("http://babel.hathitrust.org/cgi/pt?id=uc1.b3514929")</f>
        <v>http://babel.hathitrust.org/cgi/pt?id=uc1.b3514929</v>
      </c>
      <c r="H1474" t="str">
        <f>HYPERLINK("http://catalog.hathitrust.org/Record/001371510")</f>
        <v>http://catalog.hathitrust.org/Record/001371510</v>
      </c>
      <c r="J1474" s="1">
        <v>1922</v>
      </c>
      <c r="K1474" t="s">
        <v>17616</v>
      </c>
      <c r="L1474" t="s">
        <v>19238</v>
      </c>
    </row>
    <row r="1475" spans="1:12">
      <c r="A1475" t="s">
        <v>17619</v>
      </c>
      <c r="B1475" s="1" t="s">
        <v>17615</v>
      </c>
      <c r="F1475">
        <v>1</v>
      </c>
      <c r="G1475" t="str">
        <f>HYPERLINK("http://babel.hathitrust.org/cgi/pt?id=uc2.ark:/13960/t7kp8418w")</f>
        <v>http://babel.hathitrust.org/cgi/pt?id=uc2.ark:/13960/t7kp8418w</v>
      </c>
      <c r="H1475" t="str">
        <f>HYPERLINK("http://catalog.hathitrust.org/Record/001371510")</f>
        <v>http://catalog.hathitrust.org/Record/001371510</v>
      </c>
      <c r="J1475" s="1">
        <v>1922</v>
      </c>
      <c r="K1475" t="s">
        <v>17616</v>
      </c>
      <c r="L1475" t="s">
        <v>19238</v>
      </c>
    </row>
    <row r="1476" spans="1:12">
      <c r="A1476" t="s">
        <v>17620</v>
      </c>
      <c r="B1476" s="1" t="s">
        <v>17621</v>
      </c>
      <c r="F1476">
        <v>1</v>
      </c>
      <c r="G1476" t="str">
        <f>HYPERLINK("http://babel.hathitrust.org/cgi/pt?id=uc1.b3514741")</f>
        <v>http://babel.hathitrust.org/cgi/pt?id=uc1.b3514741</v>
      </c>
      <c r="H1476" t="str">
        <f>HYPERLINK("http://catalog.hathitrust.org/Record/001371530")</f>
        <v>http://catalog.hathitrust.org/Record/001371530</v>
      </c>
      <c r="J1476" s="1">
        <v>1957</v>
      </c>
      <c r="K1476" t="s">
        <v>17622</v>
      </c>
    </row>
    <row r="1477" spans="1:12">
      <c r="A1477" t="s">
        <v>17623</v>
      </c>
      <c r="B1477" s="1" t="s">
        <v>17624</v>
      </c>
      <c r="F1477">
        <v>1</v>
      </c>
      <c r="G1477" t="str">
        <f>HYPERLINK("http://babel.hathitrust.org/cgi/pt?id=mdp.39015031007746")</f>
        <v>http://babel.hathitrust.org/cgi/pt?id=mdp.39015031007746</v>
      </c>
      <c r="H1477" t="str">
        <f>HYPERLINK("http://catalog.hathitrust.org/Record/001371533")</f>
        <v>http://catalog.hathitrust.org/Record/001371533</v>
      </c>
      <c r="J1477" s="1">
        <v>1924</v>
      </c>
      <c r="K1477" t="s">
        <v>17625</v>
      </c>
      <c r="L1477" t="s">
        <v>17626</v>
      </c>
    </row>
    <row r="1478" spans="1:12">
      <c r="A1478" t="s">
        <v>17627</v>
      </c>
      <c r="B1478" s="1" t="s">
        <v>17624</v>
      </c>
      <c r="F1478">
        <v>1</v>
      </c>
      <c r="G1478" t="str">
        <f>HYPERLINK("http://babel.hathitrust.org/cgi/pt?id=uc1.b276176")</f>
        <v>http://babel.hathitrust.org/cgi/pt?id=uc1.b276176</v>
      </c>
      <c r="H1478" t="str">
        <f>HYPERLINK("http://catalog.hathitrust.org/Record/001371533")</f>
        <v>http://catalog.hathitrust.org/Record/001371533</v>
      </c>
      <c r="J1478" s="1">
        <v>1924</v>
      </c>
      <c r="K1478" t="s">
        <v>17625</v>
      </c>
      <c r="L1478" t="s">
        <v>17626</v>
      </c>
    </row>
    <row r="1479" spans="1:12">
      <c r="A1479" t="s">
        <v>17628</v>
      </c>
      <c r="B1479" s="1" t="s">
        <v>17629</v>
      </c>
      <c r="E1479">
        <v>1</v>
      </c>
      <c r="F1479">
        <v>1</v>
      </c>
      <c r="G1479" t="str">
        <f>HYPERLINK("http://babel.hathitrust.org/cgi/pt?id=mdp.39015031007753")</f>
        <v>http://babel.hathitrust.org/cgi/pt?id=mdp.39015031007753</v>
      </c>
      <c r="H1479" t="str">
        <f>HYPERLINK("http://catalog.hathitrust.org/Record/001371536")</f>
        <v>http://catalog.hathitrust.org/Record/001371536</v>
      </c>
      <c r="J1479" s="1">
        <v>1845</v>
      </c>
      <c r="K1479" t="s">
        <v>17630</v>
      </c>
      <c r="L1479" t="s">
        <v>17631</v>
      </c>
    </row>
    <row r="1480" spans="1:12">
      <c r="A1480" t="s">
        <v>17632</v>
      </c>
      <c r="B1480" s="1" t="s">
        <v>17633</v>
      </c>
      <c r="F1480">
        <v>1</v>
      </c>
      <c r="G1480" t="str">
        <f>HYPERLINK("http://babel.hathitrust.org/cgi/pt?id=mdp.39015006563376")</f>
        <v>http://babel.hathitrust.org/cgi/pt?id=mdp.39015006563376</v>
      </c>
      <c r="H1480" t="str">
        <f>HYPERLINK("http://catalog.hathitrust.org/Record/001371544")</f>
        <v>http://catalog.hathitrust.org/Record/001371544</v>
      </c>
      <c r="J1480" s="1">
        <v>1928</v>
      </c>
      <c r="K1480" t="s">
        <v>17634</v>
      </c>
      <c r="L1480" t="s">
        <v>17635</v>
      </c>
    </row>
    <row r="1481" spans="1:12">
      <c r="A1481" t="s">
        <v>17636</v>
      </c>
      <c r="B1481" s="1" t="s">
        <v>17633</v>
      </c>
      <c r="F1481">
        <v>1</v>
      </c>
      <c r="G1481" t="str">
        <f>HYPERLINK("http://babel.hathitrust.org/cgi/pt?id=mdp.39015053668664")</f>
        <v>http://babel.hathitrust.org/cgi/pt?id=mdp.39015053668664</v>
      </c>
      <c r="H1481" t="str">
        <f>HYPERLINK("http://catalog.hathitrust.org/Record/001371544")</f>
        <v>http://catalog.hathitrust.org/Record/001371544</v>
      </c>
      <c r="J1481" s="1">
        <v>1928</v>
      </c>
      <c r="K1481" t="s">
        <v>17634</v>
      </c>
      <c r="L1481" t="s">
        <v>17635</v>
      </c>
    </row>
    <row r="1482" spans="1:12">
      <c r="A1482" t="s">
        <v>17637</v>
      </c>
      <c r="B1482" s="1" t="s">
        <v>17638</v>
      </c>
      <c r="D1482">
        <v>1</v>
      </c>
      <c r="G1482" t="str">
        <f>HYPERLINK("http://babel.hathitrust.org/cgi/pt?id=mdp.39015053662824")</f>
        <v>http://babel.hathitrust.org/cgi/pt?id=mdp.39015053662824</v>
      </c>
      <c r="H1482" t="str">
        <f>HYPERLINK("http://catalog.hathitrust.org/Record/001371550")</f>
        <v>http://catalog.hathitrust.org/Record/001371550</v>
      </c>
      <c r="J1482" s="1">
        <v>1904</v>
      </c>
      <c r="K1482" t="s">
        <v>17639</v>
      </c>
      <c r="L1482" t="s">
        <v>19778</v>
      </c>
    </row>
    <row r="1483" spans="1:12">
      <c r="A1483" t="s">
        <v>17640</v>
      </c>
      <c r="B1483" s="1" t="s">
        <v>17638</v>
      </c>
      <c r="F1483">
        <v>1</v>
      </c>
      <c r="G1483" t="str">
        <f>HYPERLINK("http://babel.hathitrust.org/cgi/pt?id=uc1.b276193")</f>
        <v>http://babel.hathitrust.org/cgi/pt?id=uc1.b276193</v>
      </c>
      <c r="H1483" t="str">
        <f>HYPERLINK("http://catalog.hathitrust.org/Record/001371550")</f>
        <v>http://catalog.hathitrust.org/Record/001371550</v>
      </c>
      <c r="J1483" s="1">
        <v>1904</v>
      </c>
      <c r="K1483" t="s">
        <v>17639</v>
      </c>
      <c r="L1483" t="s">
        <v>19778</v>
      </c>
    </row>
    <row r="1484" spans="1:12">
      <c r="A1484" t="s">
        <v>17641</v>
      </c>
      <c r="B1484" s="1" t="s">
        <v>17519</v>
      </c>
      <c r="F1484">
        <v>1</v>
      </c>
      <c r="G1484" t="str">
        <f>HYPERLINK("http://babel.hathitrust.org/cgi/pt?id=mdp.39015053662816")</f>
        <v>http://babel.hathitrust.org/cgi/pt?id=mdp.39015053662816</v>
      </c>
      <c r="H1484" t="str">
        <f>HYPERLINK("http://catalog.hathitrust.org/Record/001371553")</f>
        <v>http://catalog.hathitrust.org/Record/001371553</v>
      </c>
      <c r="J1484" s="1">
        <v>1940</v>
      </c>
      <c r="K1484" t="s">
        <v>17520</v>
      </c>
      <c r="L1484" t="s">
        <v>17521</v>
      </c>
    </row>
    <row r="1485" spans="1:12">
      <c r="A1485" t="s">
        <v>17522</v>
      </c>
      <c r="B1485" s="1" t="s">
        <v>17519</v>
      </c>
      <c r="F1485">
        <v>1</v>
      </c>
      <c r="G1485" t="str">
        <f>HYPERLINK("http://babel.hathitrust.org/cgi/pt?id=mdp.39015066235378")</f>
        <v>http://babel.hathitrust.org/cgi/pt?id=mdp.39015066235378</v>
      </c>
      <c r="H1485" t="str">
        <f>HYPERLINK("http://catalog.hathitrust.org/Record/001371553")</f>
        <v>http://catalog.hathitrust.org/Record/001371553</v>
      </c>
      <c r="J1485" s="1">
        <v>1940</v>
      </c>
      <c r="K1485" t="s">
        <v>17520</v>
      </c>
      <c r="L1485" t="s">
        <v>17521</v>
      </c>
    </row>
    <row r="1486" spans="1:12">
      <c r="A1486" t="s">
        <v>17523</v>
      </c>
      <c r="B1486" s="1" t="s">
        <v>17524</v>
      </c>
      <c r="F1486">
        <v>1</v>
      </c>
      <c r="G1486" t="str">
        <f>HYPERLINK("http://babel.hathitrust.org/cgi/pt?id=mdp.39015005353514")</f>
        <v>http://babel.hathitrust.org/cgi/pt?id=mdp.39015005353514</v>
      </c>
      <c r="H1486" t="str">
        <f>HYPERLINK("http://catalog.hathitrust.org/Record/001371559")</f>
        <v>http://catalog.hathitrust.org/Record/001371559</v>
      </c>
      <c r="J1486" s="1">
        <v>1919</v>
      </c>
      <c r="K1486" t="s">
        <v>17525</v>
      </c>
      <c r="L1486" t="s">
        <v>17526</v>
      </c>
    </row>
    <row r="1487" spans="1:12">
      <c r="A1487" t="s">
        <v>17527</v>
      </c>
      <c r="B1487" s="1" t="s">
        <v>17524</v>
      </c>
      <c r="F1487">
        <v>1</v>
      </c>
      <c r="G1487" t="str">
        <f>HYPERLINK("http://babel.hathitrust.org/cgi/pt?id=uc1.b4500738")</f>
        <v>http://babel.hathitrust.org/cgi/pt?id=uc1.b4500738</v>
      </c>
      <c r="H1487" t="str">
        <f>HYPERLINK("http://catalog.hathitrust.org/Record/001371559")</f>
        <v>http://catalog.hathitrust.org/Record/001371559</v>
      </c>
      <c r="J1487" s="1">
        <v>1919</v>
      </c>
      <c r="K1487" t="s">
        <v>17525</v>
      </c>
      <c r="L1487" t="s">
        <v>17526</v>
      </c>
    </row>
    <row r="1488" spans="1:12">
      <c r="A1488" t="s">
        <v>17528</v>
      </c>
      <c r="B1488" s="1" t="s">
        <v>17524</v>
      </c>
      <c r="F1488">
        <v>1</v>
      </c>
      <c r="G1488" t="str">
        <f>HYPERLINK("http://babel.hathitrust.org/cgi/pt?id=uc2.ark:/13960/t1vd71h55")</f>
        <v>http://babel.hathitrust.org/cgi/pt?id=uc2.ark:/13960/t1vd71h55</v>
      </c>
      <c r="H1488" t="str">
        <f>HYPERLINK("http://catalog.hathitrust.org/Record/001371559")</f>
        <v>http://catalog.hathitrust.org/Record/001371559</v>
      </c>
      <c r="J1488" s="1">
        <v>1919</v>
      </c>
      <c r="K1488" t="s">
        <v>17525</v>
      </c>
      <c r="L1488" t="s">
        <v>17526</v>
      </c>
    </row>
    <row r="1489" spans="1:12">
      <c r="A1489" t="s">
        <v>17529</v>
      </c>
      <c r="B1489" s="1" t="s">
        <v>17530</v>
      </c>
      <c r="F1489">
        <v>1</v>
      </c>
      <c r="G1489" t="str">
        <f>HYPERLINK("http://babel.hathitrust.org/cgi/pt?id=mdp.39015019145799")</f>
        <v>http://babel.hathitrust.org/cgi/pt?id=mdp.39015019145799</v>
      </c>
      <c r="H1489" t="str">
        <f>HYPERLINK("http://catalog.hathitrust.org/Record/001371568")</f>
        <v>http://catalog.hathitrust.org/Record/001371568</v>
      </c>
      <c r="J1489" s="1">
        <v>1904</v>
      </c>
      <c r="K1489" t="s">
        <v>17531</v>
      </c>
      <c r="L1489" t="s">
        <v>17532</v>
      </c>
    </row>
    <row r="1490" spans="1:12">
      <c r="A1490" t="s">
        <v>17533</v>
      </c>
      <c r="B1490" s="1" t="s">
        <v>17534</v>
      </c>
      <c r="F1490">
        <v>1</v>
      </c>
      <c r="G1490" t="str">
        <f>HYPERLINK("http://babel.hathitrust.org/cgi/pt?id=njp.32101067684843")</f>
        <v>http://babel.hathitrust.org/cgi/pt?id=njp.32101067684843</v>
      </c>
      <c r="H1490" t="str">
        <f>HYPERLINK("http://catalog.hathitrust.org/Record/001371577")</f>
        <v>http://catalog.hathitrust.org/Record/001371577</v>
      </c>
      <c r="J1490" s="1">
        <v>1886</v>
      </c>
      <c r="K1490" t="s">
        <v>17535</v>
      </c>
      <c r="L1490" t="s">
        <v>17536</v>
      </c>
    </row>
    <row r="1491" spans="1:12">
      <c r="A1491" t="s">
        <v>17537</v>
      </c>
      <c r="B1491" s="1" t="s">
        <v>17538</v>
      </c>
      <c r="F1491">
        <v>1</v>
      </c>
      <c r="G1491" t="str">
        <f>HYPERLINK("http://babel.hathitrust.org/cgi/pt?id=mdp.39015011348243")</f>
        <v>http://babel.hathitrust.org/cgi/pt?id=mdp.39015011348243</v>
      </c>
      <c r="H1491" t="str">
        <f>HYPERLINK("http://catalog.hathitrust.org/Record/001371580")</f>
        <v>http://catalog.hathitrust.org/Record/001371580</v>
      </c>
      <c r="J1491" s="1">
        <v>1921</v>
      </c>
      <c r="K1491" t="s">
        <v>17539</v>
      </c>
      <c r="L1491" t="s">
        <v>18897</v>
      </c>
    </row>
    <row r="1492" spans="1:12">
      <c r="A1492" t="s">
        <v>17540</v>
      </c>
      <c r="B1492" s="1" t="s">
        <v>17541</v>
      </c>
      <c r="F1492">
        <v>1</v>
      </c>
      <c r="G1492" t="str">
        <f>HYPERLINK("http://babel.hathitrust.org/cgi/pt?id=mdp.39015031007928")</f>
        <v>http://babel.hathitrust.org/cgi/pt?id=mdp.39015031007928</v>
      </c>
      <c r="H1492" t="str">
        <f>HYPERLINK("http://catalog.hathitrust.org/Record/001371581")</f>
        <v>http://catalog.hathitrust.org/Record/001371581</v>
      </c>
      <c r="J1492" s="1">
        <v>1893</v>
      </c>
      <c r="K1492" t="s">
        <v>17542</v>
      </c>
      <c r="L1492" t="s">
        <v>20026</v>
      </c>
    </row>
    <row r="1493" spans="1:12">
      <c r="A1493" t="s">
        <v>17543</v>
      </c>
      <c r="B1493" s="1" t="s">
        <v>17541</v>
      </c>
      <c r="F1493">
        <v>1</v>
      </c>
      <c r="G1493" t="str">
        <f>HYPERLINK("http://babel.hathitrust.org/cgi/pt?id=uc1.b3315072")</f>
        <v>http://babel.hathitrust.org/cgi/pt?id=uc1.b3315072</v>
      </c>
      <c r="H1493" t="str">
        <f>HYPERLINK("http://catalog.hathitrust.org/Record/001371581")</f>
        <v>http://catalog.hathitrust.org/Record/001371581</v>
      </c>
      <c r="J1493" s="1">
        <v>1893</v>
      </c>
      <c r="K1493" t="s">
        <v>17542</v>
      </c>
      <c r="L1493" t="s">
        <v>20026</v>
      </c>
    </row>
    <row r="1494" spans="1:12">
      <c r="A1494" t="s">
        <v>17544</v>
      </c>
      <c r="B1494" s="1" t="s">
        <v>17541</v>
      </c>
      <c r="F1494">
        <v>1</v>
      </c>
      <c r="G1494" t="str">
        <f>HYPERLINK("http://babel.hathitrust.org/cgi/pt?id=uc2.ark:/13960/t28918w1r")</f>
        <v>http://babel.hathitrust.org/cgi/pt?id=uc2.ark:/13960/t28918w1r</v>
      </c>
      <c r="H1494" t="str">
        <f>HYPERLINK("http://catalog.hathitrust.org/Record/001371581")</f>
        <v>http://catalog.hathitrust.org/Record/001371581</v>
      </c>
      <c r="J1494" s="1">
        <v>1893</v>
      </c>
      <c r="K1494" t="s">
        <v>17542</v>
      </c>
      <c r="L1494" t="s">
        <v>20026</v>
      </c>
    </row>
    <row r="1495" spans="1:12">
      <c r="A1495" t="s">
        <v>17545</v>
      </c>
      <c r="B1495" s="1" t="s">
        <v>17546</v>
      </c>
      <c r="D1495">
        <v>1</v>
      </c>
      <c r="G1495" t="str">
        <f>HYPERLINK("http://babel.hathitrust.org/cgi/pt?id=hvd.32044020557104")</f>
        <v>http://babel.hathitrust.org/cgi/pt?id=hvd.32044020557104</v>
      </c>
      <c r="H1495" t="str">
        <f>HYPERLINK("http://catalog.hathitrust.org/Record/001371600")</f>
        <v>http://catalog.hathitrust.org/Record/001371600</v>
      </c>
      <c r="J1495" s="1">
        <v>1856</v>
      </c>
      <c r="K1495" t="s">
        <v>17547</v>
      </c>
      <c r="L1495" t="s">
        <v>17548</v>
      </c>
    </row>
    <row r="1496" spans="1:12">
      <c r="A1496" t="s">
        <v>17549</v>
      </c>
      <c r="B1496" s="1" t="s">
        <v>17550</v>
      </c>
      <c r="F1496">
        <v>1</v>
      </c>
      <c r="G1496" t="str">
        <f>HYPERLINK("http://babel.hathitrust.org/cgi/pt?id=mdp.39015012415058")</f>
        <v>http://babel.hathitrust.org/cgi/pt?id=mdp.39015012415058</v>
      </c>
      <c r="H1496" t="str">
        <f>HYPERLINK("http://catalog.hathitrust.org/Record/001371621")</f>
        <v>http://catalog.hathitrust.org/Record/001371621</v>
      </c>
      <c r="J1496" s="1">
        <v>1950</v>
      </c>
      <c r="K1496" t="s">
        <v>17551</v>
      </c>
      <c r="L1496" t="s">
        <v>17552</v>
      </c>
    </row>
    <row r="1497" spans="1:12">
      <c r="A1497" t="s">
        <v>17553</v>
      </c>
      <c r="B1497" s="1" t="s">
        <v>17554</v>
      </c>
      <c r="F1497">
        <v>1</v>
      </c>
      <c r="G1497" t="str">
        <f>HYPERLINK("http://babel.hathitrust.org/cgi/pt?id=mdp.39015031009031")</f>
        <v>http://babel.hathitrust.org/cgi/pt?id=mdp.39015031009031</v>
      </c>
      <c r="H1497" t="str">
        <f>HYPERLINK("http://catalog.hathitrust.org/Record/001371627")</f>
        <v>http://catalog.hathitrust.org/Record/001371627</v>
      </c>
      <c r="J1497" s="1">
        <v>1914</v>
      </c>
      <c r="K1497" t="s">
        <v>17555</v>
      </c>
      <c r="L1497" t="s">
        <v>17556</v>
      </c>
    </row>
    <row r="1498" spans="1:12">
      <c r="A1498" t="s">
        <v>17557</v>
      </c>
      <c r="B1498" s="1" t="s">
        <v>17558</v>
      </c>
      <c r="F1498">
        <v>1</v>
      </c>
      <c r="G1498" t="str">
        <f>HYPERLINK("http://babel.hathitrust.org/cgi/pt?id=loc.ark:/13960/t8pc3kq50")</f>
        <v>http://babel.hathitrust.org/cgi/pt?id=loc.ark:/13960/t8pc3kq50</v>
      </c>
      <c r="H1498" t="str">
        <f>HYPERLINK("http://catalog.hathitrust.org/Record/001371631")</f>
        <v>http://catalog.hathitrust.org/Record/001371631</v>
      </c>
      <c r="J1498" s="1">
        <v>1918</v>
      </c>
      <c r="K1498" t="s">
        <v>17559</v>
      </c>
      <c r="L1498" t="s">
        <v>17560</v>
      </c>
    </row>
    <row r="1499" spans="1:12">
      <c r="A1499" t="s">
        <v>17561</v>
      </c>
      <c r="B1499" s="1" t="s">
        <v>17558</v>
      </c>
      <c r="F1499">
        <v>1</v>
      </c>
      <c r="G1499" t="str">
        <f>HYPERLINK("http://babel.hathitrust.org/cgi/pt?id=mdp.39015031009015")</f>
        <v>http://babel.hathitrust.org/cgi/pt?id=mdp.39015031009015</v>
      </c>
      <c r="H1499" t="str">
        <f>HYPERLINK("http://catalog.hathitrust.org/Record/001371631")</f>
        <v>http://catalog.hathitrust.org/Record/001371631</v>
      </c>
      <c r="J1499" s="1">
        <v>1918</v>
      </c>
      <c r="K1499" t="s">
        <v>17559</v>
      </c>
      <c r="L1499" t="s">
        <v>17560</v>
      </c>
    </row>
    <row r="1500" spans="1:12">
      <c r="A1500" t="s">
        <v>17562</v>
      </c>
      <c r="B1500" s="1" t="s">
        <v>17558</v>
      </c>
      <c r="F1500">
        <v>1</v>
      </c>
      <c r="G1500" t="str">
        <f>HYPERLINK("http://babel.hathitrust.org/cgi/pt?id=uc1.b158095")</f>
        <v>http://babel.hathitrust.org/cgi/pt?id=uc1.b158095</v>
      </c>
      <c r="H1500" t="str">
        <f>HYPERLINK("http://catalog.hathitrust.org/Record/001371631")</f>
        <v>http://catalog.hathitrust.org/Record/001371631</v>
      </c>
      <c r="J1500" s="1">
        <v>1918</v>
      </c>
      <c r="K1500" t="s">
        <v>17559</v>
      </c>
      <c r="L1500" t="s">
        <v>17560</v>
      </c>
    </row>
    <row r="1501" spans="1:12">
      <c r="A1501" t="s">
        <v>17563</v>
      </c>
      <c r="B1501" s="1" t="s">
        <v>17558</v>
      </c>
      <c r="F1501">
        <v>1</v>
      </c>
      <c r="G1501" t="str">
        <f>HYPERLINK("http://babel.hathitrust.org/cgi/pt?id=uc2.ark:/13960/t71v5gf3m")</f>
        <v>http://babel.hathitrust.org/cgi/pt?id=uc2.ark:/13960/t71v5gf3m</v>
      </c>
      <c r="H1501" t="str">
        <f>HYPERLINK("http://catalog.hathitrust.org/Record/001371631")</f>
        <v>http://catalog.hathitrust.org/Record/001371631</v>
      </c>
      <c r="J1501" s="1">
        <v>1918</v>
      </c>
      <c r="K1501" t="s">
        <v>17559</v>
      </c>
      <c r="L1501" t="s">
        <v>17560</v>
      </c>
    </row>
    <row r="1502" spans="1:12">
      <c r="A1502" t="s">
        <v>17564</v>
      </c>
      <c r="B1502" s="1" t="s">
        <v>17565</v>
      </c>
      <c r="F1502">
        <v>1</v>
      </c>
      <c r="G1502" t="str">
        <f>HYPERLINK("http://babel.hathitrust.org/cgi/pt?id=mdp.39015016888409")</f>
        <v>http://babel.hathitrust.org/cgi/pt?id=mdp.39015016888409</v>
      </c>
      <c r="H1502" t="str">
        <f>HYPERLINK("http://catalog.hathitrust.org/Record/001371635")</f>
        <v>http://catalog.hathitrust.org/Record/001371635</v>
      </c>
      <c r="J1502" s="1">
        <v>1933</v>
      </c>
      <c r="K1502" t="s">
        <v>17566</v>
      </c>
      <c r="L1502" t="s">
        <v>17567</v>
      </c>
    </row>
    <row r="1503" spans="1:12">
      <c r="A1503" t="s">
        <v>17568</v>
      </c>
      <c r="B1503" s="1" t="s">
        <v>17565</v>
      </c>
      <c r="F1503">
        <v>1</v>
      </c>
      <c r="G1503" t="str">
        <f>HYPERLINK("http://babel.hathitrust.org/cgi/pt?id=mdp.39015066078018")</f>
        <v>http://babel.hathitrust.org/cgi/pt?id=mdp.39015066078018</v>
      </c>
      <c r="H1503" t="str">
        <f>HYPERLINK("http://catalog.hathitrust.org/Record/001371635")</f>
        <v>http://catalog.hathitrust.org/Record/001371635</v>
      </c>
      <c r="J1503" s="1">
        <v>1933</v>
      </c>
      <c r="K1503" t="s">
        <v>17566</v>
      </c>
      <c r="L1503" t="s">
        <v>17567</v>
      </c>
    </row>
    <row r="1504" spans="1:12">
      <c r="A1504" t="s">
        <v>17569</v>
      </c>
      <c r="B1504" s="1" t="s">
        <v>17565</v>
      </c>
      <c r="F1504">
        <v>1</v>
      </c>
      <c r="G1504" t="str">
        <f>HYPERLINK("http://babel.hathitrust.org/cgi/pt?id=uc1.b3512897")</f>
        <v>http://babel.hathitrust.org/cgi/pt?id=uc1.b3512897</v>
      </c>
      <c r="H1504" t="str">
        <f>HYPERLINK("http://catalog.hathitrust.org/Record/001371635")</f>
        <v>http://catalog.hathitrust.org/Record/001371635</v>
      </c>
      <c r="I1504" s="1" t="s">
        <v>20439</v>
      </c>
      <c r="J1504" s="1">
        <v>1933</v>
      </c>
      <c r="K1504" t="s">
        <v>17566</v>
      </c>
      <c r="L1504" t="s">
        <v>17567</v>
      </c>
    </row>
    <row r="1505" spans="1:12">
      <c r="A1505" t="s">
        <v>17570</v>
      </c>
      <c r="B1505" s="1" t="s">
        <v>17571</v>
      </c>
      <c r="F1505">
        <v>1</v>
      </c>
      <c r="G1505" t="str">
        <f>HYPERLINK("http://babel.hathitrust.org/cgi/pt?id=mdp.39015031009437")</f>
        <v>http://babel.hathitrust.org/cgi/pt?id=mdp.39015031009437</v>
      </c>
      <c r="H1505" t="str">
        <f>HYPERLINK("http://catalog.hathitrust.org/Record/001371644")</f>
        <v>http://catalog.hathitrust.org/Record/001371644</v>
      </c>
      <c r="J1505" s="1">
        <v>1910</v>
      </c>
      <c r="K1505" t="s">
        <v>17572</v>
      </c>
      <c r="L1505" t="s">
        <v>17573</v>
      </c>
    </row>
    <row r="1506" spans="1:12">
      <c r="A1506" t="s">
        <v>17574</v>
      </c>
      <c r="B1506" s="1" t="s">
        <v>17571</v>
      </c>
      <c r="F1506">
        <v>1</v>
      </c>
      <c r="G1506" t="str">
        <f>HYPERLINK("http://babel.hathitrust.org/cgi/pt?id=uc2.ark:/13960/t7kp8422f")</f>
        <v>http://babel.hathitrust.org/cgi/pt?id=uc2.ark:/13960/t7kp8422f</v>
      </c>
      <c r="H1506" t="str">
        <f>HYPERLINK("http://catalog.hathitrust.org/Record/001371644")</f>
        <v>http://catalog.hathitrust.org/Record/001371644</v>
      </c>
      <c r="J1506" s="1">
        <v>1910</v>
      </c>
      <c r="K1506" t="s">
        <v>17572</v>
      </c>
      <c r="L1506" t="s">
        <v>17573</v>
      </c>
    </row>
    <row r="1507" spans="1:12">
      <c r="A1507" t="s">
        <v>17575</v>
      </c>
      <c r="B1507" s="1" t="s">
        <v>17571</v>
      </c>
      <c r="F1507">
        <v>1</v>
      </c>
      <c r="G1507" t="str">
        <f>HYPERLINK("http://babel.hathitrust.org/cgi/pt?id=uva.x001085602")</f>
        <v>http://babel.hathitrust.org/cgi/pt?id=uva.x001085602</v>
      </c>
      <c r="H1507" t="str">
        <f>HYPERLINK("http://catalog.hathitrust.org/Record/001371644")</f>
        <v>http://catalog.hathitrust.org/Record/001371644</v>
      </c>
      <c r="J1507" s="1">
        <v>1910</v>
      </c>
      <c r="K1507" t="s">
        <v>17572</v>
      </c>
      <c r="L1507" t="s">
        <v>17573</v>
      </c>
    </row>
    <row r="1508" spans="1:12">
      <c r="A1508" t="s">
        <v>17576</v>
      </c>
      <c r="B1508" s="1" t="s">
        <v>17577</v>
      </c>
      <c r="F1508">
        <v>1</v>
      </c>
      <c r="G1508" t="str">
        <f>HYPERLINK("http://babel.hathitrust.org/cgi/pt?id=mdp.39015031009411")</f>
        <v>http://babel.hathitrust.org/cgi/pt?id=mdp.39015031009411</v>
      </c>
      <c r="H1508" t="str">
        <f>HYPERLINK("http://catalog.hathitrust.org/Record/001371650")</f>
        <v>http://catalog.hathitrust.org/Record/001371650</v>
      </c>
      <c r="J1508" s="1">
        <v>1912</v>
      </c>
      <c r="K1508" t="s">
        <v>17578</v>
      </c>
      <c r="L1508" t="s">
        <v>17579</v>
      </c>
    </row>
    <row r="1509" spans="1:12">
      <c r="A1509" t="s">
        <v>17580</v>
      </c>
      <c r="B1509" s="1" t="s">
        <v>17577</v>
      </c>
      <c r="F1509">
        <v>1</v>
      </c>
      <c r="G1509" t="str">
        <f>HYPERLINK("http://babel.hathitrust.org/cgi/pt?id=uc1.b3294885")</f>
        <v>http://babel.hathitrust.org/cgi/pt?id=uc1.b3294885</v>
      </c>
      <c r="H1509" t="str">
        <f>HYPERLINK("http://catalog.hathitrust.org/Record/001371650")</f>
        <v>http://catalog.hathitrust.org/Record/001371650</v>
      </c>
      <c r="J1509" s="1">
        <v>1912</v>
      </c>
      <c r="K1509" t="s">
        <v>17578</v>
      </c>
      <c r="L1509" t="s">
        <v>17579</v>
      </c>
    </row>
    <row r="1510" spans="1:12">
      <c r="A1510" t="s">
        <v>17581</v>
      </c>
      <c r="B1510" s="1" t="s">
        <v>17577</v>
      </c>
      <c r="F1510">
        <v>1</v>
      </c>
      <c r="G1510" t="str">
        <f>HYPERLINK("http://babel.hathitrust.org/cgi/pt?id=uc2.ark:/13960/t7tm7528v")</f>
        <v>http://babel.hathitrust.org/cgi/pt?id=uc2.ark:/13960/t7tm7528v</v>
      </c>
      <c r="H1510" t="str">
        <f>HYPERLINK("http://catalog.hathitrust.org/Record/001371650")</f>
        <v>http://catalog.hathitrust.org/Record/001371650</v>
      </c>
      <c r="J1510" s="1">
        <v>1912</v>
      </c>
      <c r="K1510" t="s">
        <v>17578</v>
      </c>
      <c r="L1510" t="s">
        <v>17579</v>
      </c>
    </row>
    <row r="1511" spans="1:12">
      <c r="A1511" t="s">
        <v>17582</v>
      </c>
      <c r="B1511" s="1" t="s">
        <v>17583</v>
      </c>
      <c r="F1511">
        <v>1</v>
      </c>
      <c r="G1511" t="str">
        <f>HYPERLINK("http://babel.hathitrust.org/cgi/pt?id=mdp.39015008569868")</f>
        <v>http://babel.hathitrust.org/cgi/pt?id=mdp.39015008569868</v>
      </c>
      <c r="H1511" t="str">
        <f>HYPERLINK("http://catalog.hathitrust.org/Record/001371656")</f>
        <v>http://catalog.hathitrust.org/Record/001371656</v>
      </c>
      <c r="J1511" s="1">
        <v>1909</v>
      </c>
      <c r="K1511" t="s">
        <v>17584</v>
      </c>
      <c r="L1511" t="s">
        <v>20739</v>
      </c>
    </row>
    <row r="1512" spans="1:12">
      <c r="A1512" t="s">
        <v>17460</v>
      </c>
      <c r="B1512" s="1" t="s">
        <v>17583</v>
      </c>
      <c r="F1512">
        <v>1</v>
      </c>
      <c r="G1512" t="str">
        <f>HYPERLINK("http://babel.hathitrust.org/cgi/pt?id=uc2.ark:/13960/t8ff3v30b")</f>
        <v>http://babel.hathitrust.org/cgi/pt?id=uc2.ark:/13960/t8ff3v30b</v>
      </c>
      <c r="H1512" t="str">
        <f>HYPERLINK("http://catalog.hathitrust.org/Record/001371656")</f>
        <v>http://catalog.hathitrust.org/Record/001371656</v>
      </c>
      <c r="J1512" s="1">
        <v>1909</v>
      </c>
      <c r="K1512" t="s">
        <v>17584</v>
      </c>
      <c r="L1512" t="s">
        <v>20739</v>
      </c>
    </row>
    <row r="1513" spans="1:12">
      <c r="A1513" t="s">
        <v>17461</v>
      </c>
      <c r="B1513" s="1" t="s">
        <v>17462</v>
      </c>
      <c r="F1513">
        <v>1</v>
      </c>
      <c r="G1513" t="str">
        <f>HYPERLINK("http://babel.hathitrust.org/cgi/pt?id=mdp.39015008698006")</f>
        <v>http://babel.hathitrust.org/cgi/pt?id=mdp.39015008698006</v>
      </c>
      <c r="H1513" t="str">
        <f>HYPERLINK("http://catalog.hathitrust.org/Record/001371685")</f>
        <v>http://catalog.hathitrust.org/Record/001371685</v>
      </c>
      <c r="J1513" s="1">
        <v>1934</v>
      </c>
      <c r="K1513" t="s">
        <v>17463</v>
      </c>
      <c r="L1513" t="s">
        <v>17464</v>
      </c>
    </row>
    <row r="1514" spans="1:12">
      <c r="A1514" t="s">
        <v>17465</v>
      </c>
      <c r="B1514" s="1" t="s">
        <v>17466</v>
      </c>
      <c r="F1514">
        <v>1</v>
      </c>
      <c r="G1514" t="str">
        <f>HYPERLINK("http://babel.hathitrust.org/cgi/pt?id=mdp.39015066078133")</f>
        <v>http://babel.hathitrust.org/cgi/pt?id=mdp.39015066078133</v>
      </c>
      <c r="H1514" t="str">
        <f>HYPERLINK("http://catalog.hathitrust.org/Record/001371687")</f>
        <v>http://catalog.hathitrust.org/Record/001371687</v>
      </c>
      <c r="J1514" s="1">
        <v>1940</v>
      </c>
      <c r="K1514" t="s">
        <v>17467</v>
      </c>
      <c r="L1514" t="s">
        <v>17468</v>
      </c>
    </row>
    <row r="1515" spans="1:12">
      <c r="A1515" t="s">
        <v>17469</v>
      </c>
      <c r="B1515" s="1" t="s">
        <v>17466</v>
      </c>
      <c r="F1515">
        <v>1</v>
      </c>
      <c r="G1515" t="str">
        <f>HYPERLINK("http://babel.hathitrust.org/cgi/pt?id=uc1.b4109156")</f>
        <v>http://babel.hathitrust.org/cgi/pt?id=uc1.b4109156</v>
      </c>
      <c r="H1515" t="str">
        <f>HYPERLINK("http://catalog.hathitrust.org/Record/001371687")</f>
        <v>http://catalog.hathitrust.org/Record/001371687</v>
      </c>
      <c r="J1515" s="1">
        <v>1940</v>
      </c>
      <c r="K1515" t="s">
        <v>17467</v>
      </c>
      <c r="L1515" t="s">
        <v>17468</v>
      </c>
    </row>
    <row r="1516" spans="1:12">
      <c r="A1516" t="s">
        <v>17470</v>
      </c>
      <c r="B1516" s="1" t="s">
        <v>17471</v>
      </c>
      <c r="F1516">
        <v>1</v>
      </c>
      <c r="G1516" t="str">
        <f>HYPERLINK("http://babel.hathitrust.org/cgi/pt?id=mdp.39015053661768")</f>
        <v>http://babel.hathitrust.org/cgi/pt?id=mdp.39015053661768</v>
      </c>
      <c r="H1516" t="str">
        <f>HYPERLINK("http://catalog.hathitrust.org/Record/001371728")</f>
        <v>http://catalog.hathitrust.org/Record/001371728</v>
      </c>
      <c r="J1516" s="1">
        <v>1908</v>
      </c>
      <c r="K1516" t="s">
        <v>17472</v>
      </c>
      <c r="L1516" t="s">
        <v>17473</v>
      </c>
    </row>
    <row r="1517" spans="1:12">
      <c r="A1517" t="s">
        <v>17474</v>
      </c>
      <c r="B1517" s="1" t="s">
        <v>17471</v>
      </c>
      <c r="F1517">
        <v>1</v>
      </c>
      <c r="G1517" t="str">
        <f>HYPERLINK("http://babel.hathitrust.org/cgi/pt?id=uc1.b31569")</f>
        <v>http://babel.hathitrust.org/cgi/pt?id=uc1.b31569</v>
      </c>
      <c r="H1517" t="str">
        <f>HYPERLINK("http://catalog.hathitrust.org/Record/001371728")</f>
        <v>http://catalog.hathitrust.org/Record/001371728</v>
      </c>
      <c r="J1517" s="1">
        <v>1908</v>
      </c>
      <c r="K1517" t="s">
        <v>17472</v>
      </c>
      <c r="L1517" t="s">
        <v>17473</v>
      </c>
    </row>
    <row r="1518" spans="1:12">
      <c r="A1518" t="s">
        <v>17475</v>
      </c>
      <c r="B1518" s="1" t="s">
        <v>17471</v>
      </c>
      <c r="F1518">
        <v>1</v>
      </c>
      <c r="G1518" t="str">
        <f>HYPERLINK("http://babel.hathitrust.org/cgi/pt?id=uc2.ark:/13960/t6m04133r")</f>
        <v>http://babel.hathitrust.org/cgi/pt?id=uc2.ark:/13960/t6m04133r</v>
      </c>
      <c r="H1518" t="str">
        <f>HYPERLINK("http://catalog.hathitrust.org/Record/001371728")</f>
        <v>http://catalog.hathitrust.org/Record/001371728</v>
      </c>
      <c r="J1518" s="1">
        <v>1908</v>
      </c>
      <c r="K1518" t="s">
        <v>17472</v>
      </c>
      <c r="L1518" t="s">
        <v>17473</v>
      </c>
    </row>
    <row r="1519" spans="1:12">
      <c r="A1519" t="s">
        <v>17476</v>
      </c>
      <c r="B1519" s="1" t="s">
        <v>17477</v>
      </c>
      <c r="F1519">
        <v>1</v>
      </c>
      <c r="G1519" t="str">
        <f>HYPERLINK("http://babel.hathitrust.org/cgi/pt?id=mdp.39015008297817")</f>
        <v>http://babel.hathitrust.org/cgi/pt?id=mdp.39015008297817</v>
      </c>
      <c r="H1519" t="str">
        <f>HYPERLINK("http://catalog.hathitrust.org/Record/001371740")</f>
        <v>http://catalog.hathitrust.org/Record/001371740</v>
      </c>
      <c r="J1519" s="1">
        <v>1895</v>
      </c>
      <c r="K1519" t="s">
        <v>17478</v>
      </c>
      <c r="L1519" t="s">
        <v>17479</v>
      </c>
    </row>
    <row r="1520" spans="1:12">
      <c r="A1520" t="s">
        <v>17480</v>
      </c>
      <c r="B1520" s="1" t="s">
        <v>17477</v>
      </c>
      <c r="F1520">
        <v>1</v>
      </c>
      <c r="G1520" t="str">
        <f>HYPERLINK("http://babel.hathitrust.org/cgi/pt?id=uc1.b31555")</f>
        <v>http://babel.hathitrust.org/cgi/pt?id=uc1.b31555</v>
      </c>
      <c r="H1520" t="str">
        <f>HYPERLINK("http://catalog.hathitrust.org/Record/001371740")</f>
        <v>http://catalog.hathitrust.org/Record/001371740</v>
      </c>
      <c r="J1520" s="1">
        <v>1895</v>
      </c>
      <c r="K1520" t="s">
        <v>17478</v>
      </c>
      <c r="L1520" t="s">
        <v>17479</v>
      </c>
    </row>
    <row r="1521" spans="1:12">
      <c r="A1521" t="s">
        <v>17481</v>
      </c>
      <c r="B1521" s="1" t="s">
        <v>17477</v>
      </c>
      <c r="F1521">
        <v>1</v>
      </c>
      <c r="G1521" t="str">
        <f>HYPERLINK("http://babel.hathitrust.org/cgi/pt?id=uc2.ark:/13960/t7pn90n88")</f>
        <v>http://babel.hathitrust.org/cgi/pt?id=uc2.ark:/13960/t7pn90n88</v>
      </c>
      <c r="H1521" t="str">
        <f>HYPERLINK("http://catalog.hathitrust.org/Record/001371740")</f>
        <v>http://catalog.hathitrust.org/Record/001371740</v>
      </c>
      <c r="J1521" s="1">
        <v>1895</v>
      </c>
      <c r="K1521" t="s">
        <v>17478</v>
      </c>
      <c r="L1521" t="s">
        <v>17479</v>
      </c>
    </row>
    <row r="1522" spans="1:12">
      <c r="A1522" t="s">
        <v>17482</v>
      </c>
      <c r="B1522" s="1" t="s">
        <v>17483</v>
      </c>
      <c r="F1522">
        <v>1</v>
      </c>
      <c r="G1522" t="str">
        <f>HYPERLINK("http://babel.hathitrust.org/cgi/pt?id=mdp.39015004300599")</f>
        <v>http://babel.hathitrust.org/cgi/pt?id=mdp.39015004300599</v>
      </c>
      <c r="H1522" t="str">
        <f>HYPERLINK("http://catalog.hathitrust.org/Record/001371758")</f>
        <v>http://catalog.hathitrust.org/Record/001371758</v>
      </c>
      <c r="J1522" s="1">
        <v>1917</v>
      </c>
      <c r="K1522" t="s">
        <v>17484</v>
      </c>
      <c r="L1522" t="s">
        <v>17485</v>
      </c>
    </row>
    <row r="1523" spans="1:12">
      <c r="A1523" t="s">
        <v>17486</v>
      </c>
      <c r="B1523" s="1" t="s">
        <v>17487</v>
      </c>
      <c r="D1523">
        <v>1</v>
      </c>
      <c r="G1523" t="str">
        <f>HYPERLINK("http://babel.hathitrust.org/cgi/pt?id=mdp.39015030768421")</f>
        <v>http://babel.hathitrust.org/cgi/pt?id=mdp.39015030768421</v>
      </c>
      <c r="H1523" t="str">
        <f>HYPERLINK("http://catalog.hathitrust.org/Record/001371951")</f>
        <v>http://catalog.hathitrust.org/Record/001371951</v>
      </c>
      <c r="J1523" s="1">
        <v>1904</v>
      </c>
      <c r="K1523" t="s">
        <v>17784</v>
      </c>
      <c r="L1523" t="s">
        <v>19253</v>
      </c>
    </row>
    <row r="1524" spans="1:12">
      <c r="A1524" t="s">
        <v>17488</v>
      </c>
      <c r="B1524" s="1" t="s">
        <v>17489</v>
      </c>
      <c r="E1524">
        <v>1</v>
      </c>
      <c r="G1524" t="str">
        <f>HYPERLINK("http://babel.hathitrust.org/cgi/pt?id=mdp.39015030768439")</f>
        <v>http://babel.hathitrust.org/cgi/pt?id=mdp.39015030768439</v>
      </c>
      <c r="H1524" t="str">
        <f>HYPERLINK("http://catalog.hathitrust.org/Record/001371952")</f>
        <v>http://catalog.hathitrust.org/Record/001371952</v>
      </c>
      <c r="J1524" s="1">
        <v>1903</v>
      </c>
      <c r="K1524" t="s">
        <v>17490</v>
      </c>
    </row>
    <row r="1525" spans="1:12">
      <c r="A1525" t="s">
        <v>17491</v>
      </c>
      <c r="B1525" s="1" t="s">
        <v>17492</v>
      </c>
      <c r="E1525">
        <v>1</v>
      </c>
      <c r="G1525" t="str">
        <f>HYPERLINK("http://babel.hathitrust.org/cgi/pt?id=mdp.39015002149782")</f>
        <v>http://babel.hathitrust.org/cgi/pt?id=mdp.39015002149782</v>
      </c>
      <c r="H1525" t="str">
        <f>HYPERLINK("http://catalog.hathitrust.org/Record/001371979")</f>
        <v>http://catalog.hathitrust.org/Record/001371979</v>
      </c>
      <c r="J1525" s="1">
        <v>1909</v>
      </c>
      <c r="K1525" t="s">
        <v>20206</v>
      </c>
    </row>
    <row r="1526" spans="1:12">
      <c r="A1526" t="s">
        <v>17493</v>
      </c>
      <c r="B1526" s="1" t="s">
        <v>17494</v>
      </c>
      <c r="F1526">
        <v>1</v>
      </c>
      <c r="G1526" t="str">
        <f>HYPERLINK("http://babel.hathitrust.org/cgi/pt?id=mdp.39015030934437")</f>
        <v>http://babel.hathitrust.org/cgi/pt?id=mdp.39015030934437</v>
      </c>
      <c r="H1526" t="str">
        <f>HYPERLINK("http://catalog.hathitrust.org/Record/001372051")</f>
        <v>http://catalog.hathitrust.org/Record/001372051</v>
      </c>
      <c r="J1526" s="1">
        <v>1878</v>
      </c>
      <c r="K1526" t="s">
        <v>17495</v>
      </c>
    </row>
    <row r="1527" spans="1:12">
      <c r="A1527" t="s">
        <v>17496</v>
      </c>
      <c r="B1527" s="1" t="s">
        <v>17494</v>
      </c>
      <c r="F1527">
        <v>1</v>
      </c>
      <c r="G1527" t="str">
        <f>HYPERLINK("http://babel.hathitrust.org/cgi/pt?id=nyp.33433076020225")</f>
        <v>http://babel.hathitrust.org/cgi/pt?id=nyp.33433076020225</v>
      </c>
      <c r="H1527" t="str">
        <f>HYPERLINK("http://catalog.hathitrust.org/Record/001372051")</f>
        <v>http://catalog.hathitrust.org/Record/001372051</v>
      </c>
      <c r="I1527" s="1" t="s">
        <v>17497</v>
      </c>
      <c r="J1527" s="1">
        <v>1878</v>
      </c>
      <c r="K1527" t="s">
        <v>17495</v>
      </c>
    </row>
    <row r="1528" spans="1:12">
      <c r="A1528" t="s">
        <v>17498</v>
      </c>
      <c r="B1528" s="1" t="s">
        <v>17494</v>
      </c>
      <c r="F1528">
        <v>1</v>
      </c>
      <c r="G1528" t="str">
        <f>HYPERLINK("http://babel.hathitrust.org/cgi/pt?id=uc1.b251360")</f>
        <v>http://babel.hathitrust.org/cgi/pt?id=uc1.b251360</v>
      </c>
      <c r="H1528" t="str">
        <f>HYPERLINK("http://catalog.hathitrust.org/Record/001372051")</f>
        <v>http://catalog.hathitrust.org/Record/001372051</v>
      </c>
      <c r="J1528" s="1">
        <v>1878</v>
      </c>
      <c r="K1528" t="s">
        <v>17495</v>
      </c>
    </row>
    <row r="1529" spans="1:12">
      <c r="A1529" t="s">
        <v>17499</v>
      </c>
      <c r="B1529" s="1" t="s">
        <v>17500</v>
      </c>
      <c r="F1529">
        <v>1</v>
      </c>
      <c r="G1529" t="str">
        <f>HYPERLINK("http://babel.hathitrust.org/cgi/pt?id=hvd.hw37nc")</f>
        <v>http://babel.hathitrust.org/cgi/pt?id=hvd.hw37nc</v>
      </c>
      <c r="H1529" t="str">
        <f t="shared" ref="H1529:H1540" si="29">HYPERLINK("http://catalog.hathitrust.org/Record/001372131")</f>
        <v>http://catalog.hathitrust.org/Record/001372131</v>
      </c>
      <c r="I1529" s="1" t="s">
        <v>20916</v>
      </c>
      <c r="J1529" s="1">
        <v>1839</v>
      </c>
      <c r="K1529" t="s">
        <v>17501</v>
      </c>
    </row>
    <row r="1530" spans="1:12">
      <c r="A1530" t="s">
        <v>17502</v>
      </c>
      <c r="B1530" s="1" t="s">
        <v>17500</v>
      </c>
      <c r="F1530">
        <v>1</v>
      </c>
      <c r="G1530" t="str">
        <f>HYPERLINK("http://babel.hathitrust.org/cgi/pt?id=hvd.hw37nd")</f>
        <v>http://babel.hathitrust.org/cgi/pt?id=hvd.hw37nd</v>
      </c>
      <c r="H1530" t="str">
        <f t="shared" si="29"/>
        <v>http://catalog.hathitrust.org/Record/001372131</v>
      </c>
      <c r="I1530" s="1" t="s">
        <v>20755</v>
      </c>
      <c r="J1530" s="1">
        <v>1839</v>
      </c>
      <c r="K1530" t="s">
        <v>17501</v>
      </c>
    </row>
    <row r="1531" spans="1:12">
      <c r="A1531" t="s">
        <v>17503</v>
      </c>
      <c r="B1531" s="1" t="s">
        <v>17500</v>
      </c>
      <c r="F1531">
        <v>1</v>
      </c>
      <c r="G1531" t="str">
        <f>HYPERLINK("http://babel.hathitrust.org/cgi/pt?id=hvd.hw37ne")</f>
        <v>http://babel.hathitrust.org/cgi/pt?id=hvd.hw37ne</v>
      </c>
      <c r="H1531" t="str">
        <f t="shared" si="29"/>
        <v>http://catalog.hathitrust.org/Record/001372131</v>
      </c>
      <c r="I1531" s="1" t="s">
        <v>20920</v>
      </c>
      <c r="J1531" s="1">
        <v>1839</v>
      </c>
      <c r="K1531" t="s">
        <v>17501</v>
      </c>
    </row>
    <row r="1532" spans="1:12">
      <c r="A1532" t="s">
        <v>17504</v>
      </c>
      <c r="B1532" s="1" t="s">
        <v>17500</v>
      </c>
      <c r="F1532">
        <v>1</v>
      </c>
      <c r="G1532" t="str">
        <f>HYPERLINK("http://babel.hathitrust.org/cgi/pt?id=hvd.hw37nf")</f>
        <v>http://babel.hathitrust.org/cgi/pt?id=hvd.hw37nf</v>
      </c>
      <c r="H1532" t="str">
        <f t="shared" si="29"/>
        <v>http://catalog.hathitrust.org/Record/001372131</v>
      </c>
      <c r="I1532" s="1" t="s">
        <v>20916</v>
      </c>
      <c r="J1532" s="1">
        <v>1839</v>
      </c>
      <c r="K1532" t="s">
        <v>17501</v>
      </c>
    </row>
    <row r="1533" spans="1:12">
      <c r="A1533" t="s">
        <v>17505</v>
      </c>
      <c r="B1533" s="1" t="s">
        <v>17500</v>
      </c>
      <c r="F1533">
        <v>1</v>
      </c>
      <c r="G1533" t="str">
        <f>HYPERLINK("http://babel.hathitrust.org/cgi/pt?id=hvd.hw37ng")</f>
        <v>http://babel.hathitrust.org/cgi/pt?id=hvd.hw37ng</v>
      </c>
      <c r="H1533" t="str">
        <f t="shared" si="29"/>
        <v>http://catalog.hathitrust.org/Record/001372131</v>
      </c>
      <c r="I1533" s="1" t="s">
        <v>20755</v>
      </c>
      <c r="J1533" s="1">
        <v>1839</v>
      </c>
      <c r="K1533" t="s">
        <v>17501</v>
      </c>
    </row>
    <row r="1534" spans="1:12">
      <c r="A1534" t="s">
        <v>17506</v>
      </c>
      <c r="B1534" s="1" t="s">
        <v>17500</v>
      </c>
      <c r="F1534">
        <v>1</v>
      </c>
      <c r="G1534" t="str">
        <f>HYPERLINK("http://babel.hathitrust.org/cgi/pt?id=hvd.hw37nh")</f>
        <v>http://babel.hathitrust.org/cgi/pt?id=hvd.hw37nh</v>
      </c>
      <c r="H1534" t="str">
        <f t="shared" si="29"/>
        <v>http://catalog.hathitrust.org/Record/001372131</v>
      </c>
      <c r="I1534" s="1" t="s">
        <v>20920</v>
      </c>
      <c r="J1534" s="1">
        <v>1839</v>
      </c>
      <c r="K1534" t="s">
        <v>17501</v>
      </c>
    </row>
    <row r="1535" spans="1:12">
      <c r="A1535" t="s">
        <v>17507</v>
      </c>
      <c r="B1535" s="1" t="s">
        <v>17500</v>
      </c>
      <c r="F1535">
        <v>1</v>
      </c>
      <c r="G1535" t="str">
        <f>HYPERLINK("http://babel.hathitrust.org/cgi/pt?id=hvd.hwpac7")</f>
        <v>http://babel.hathitrust.org/cgi/pt?id=hvd.hwpac7</v>
      </c>
      <c r="H1535" t="str">
        <f t="shared" si="29"/>
        <v>http://catalog.hathitrust.org/Record/001372131</v>
      </c>
      <c r="I1535" s="1" t="s">
        <v>20916</v>
      </c>
      <c r="J1535" s="1">
        <v>1839</v>
      </c>
      <c r="K1535" t="s">
        <v>17501</v>
      </c>
    </row>
    <row r="1536" spans="1:12">
      <c r="A1536" t="s">
        <v>17508</v>
      </c>
      <c r="B1536" s="1" t="s">
        <v>17500</v>
      </c>
      <c r="F1536">
        <v>1</v>
      </c>
      <c r="G1536" t="str">
        <f>HYPERLINK("http://babel.hathitrust.org/cgi/pt?id=mdp.39015074634513")</f>
        <v>http://babel.hathitrust.org/cgi/pt?id=mdp.39015074634513</v>
      </c>
      <c r="H1536" t="str">
        <f t="shared" si="29"/>
        <v>http://catalog.hathitrust.org/Record/001372131</v>
      </c>
      <c r="I1536" s="1" t="s">
        <v>20920</v>
      </c>
      <c r="J1536" s="1">
        <v>1839</v>
      </c>
      <c r="K1536" t="s">
        <v>17501</v>
      </c>
    </row>
    <row r="1537" spans="1:12">
      <c r="A1537" t="s">
        <v>17509</v>
      </c>
      <c r="B1537" s="1" t="s">
        <v>17500</v>
      </c>
      <c r="F1537">
        <v>1</v>
      </c>
      <c r="G1537" t="str">
        <f>HYPERLINK("http://babel.hathitrust.org/cgi/pt?id=mdp.39015074634521")</f>
        <v>http://babel.hathitrust.org/cgi/pt?id=mdp.39015074634521</v>
      </c>
      <c r="H1537" t="str">
        <f t="shared" si="29"/>
        <v>http://catalog.hathitrust.org/Record/001372131</v>
      </c>
      <c r="I1537" s="1" t="s">
        <v>20755</v>
      </c>
      <c r="J1537" s="1">
        <v>1839</v>
      </c>
      <c r="K1537" t="s">
        <v>17501</v>
      </c>
    </row>
    <row r="1538" spans="1:12">
      <c r="A1538" t="s">
        <v>17510</v>
      </c>
      <c r="B1538" s="1" t="s">
        <v>17500</v>
      </c>
      <c r="F1538">
        <v>1</v>
      </c>
      <c r="G1538" t="str">
        <f>HYPERLINK("http://babel.hathitrust.org/cgi/pt?id=mdp.39015074634695")</f>
        <v>http://babel.hathitrust.org/cgi/pt?id=mdp.39015074634695</v>
      </c>
      <c r="H1538" t="str">
        <f t="shared" si="29"/>
        <v>http://catalog.hathitrust.org/Record/001372131</v>
      </c>
      <c r="I1538" s="1" t="s">
        <v>20916</v>
      </c>
      <c r="J1538" s="1">
        <v>1839</v>
      </c>
      <c r="K1538" t="s">
        <v>17501</v>
      </c>
    </row>
    <row r="1539" spans="1:12">
      <c r="A1539" t="s">
        <v>17511</v>
      </c>
      <c r="B1539" s="1" t="s">
        <v>17500</v>
      </c>
      <c r="F1539">
        <v>1</v>
      </c>
      <c r="G1539" t="str">
        <f>HYPERLINK("http://babel.hathitrust.org/cgi/pt?id=uc2.ark:/13960/t8gf0pg5s")</f>
        <v>http://babel.hathitrust.org/cgi/pt?id=uc2.ark:/13960/t8gf0pg5s</v>
      </c>
      <c r="H1539" t="str">
        <f t="shared" si="29"/>
        <v>http://catalog.hathitrust.org/Record/001372131</v>
      </c>
      <c r="I1539" s="1" t="s">
        <v>20755</v>
      </c>
      <c r="J1539" s="1">
        <v>1839</v>
      </c>
      <c r="K1539" t="s">
        <v>17501</v>
      </c>
    </row>
    <row r="1540" spans="1:12">
      <c r="A1540" t="s">
        <v>17512</v>
      </c>
      <c r="B1540" s="1" t="s">
        <v>17500</v>
      </c>
      <c r="F1540">
        <v>1</v>
      </c>
      <c r="G1540" t="str">
        <f>HYPERLINK("http://babel.hathitrust.org/cgi/pt?id=uc2.ark:/13960/t9k35p26j")</f>
        <v>http://babel.hathitrust.org/cgi/pt?id=uc2.ark:/13960/t9k35p26j</v>
      </c>
      <c r="H1540" t="str">
        <f t="shared" si="29"/>
        <v>http://catalog.hathitrust.org/Record/001372131</v>
      </c>
      <c r="I1540" s="1" t="s">
        <v>20920</v>
      </c>
      <c r="J1540" s="1">
        <v>1839</v>
      </c>
      <c r="K1540" t="s">
        <v>17501</v>
      </c>
    </row>
    <row r="1541" spans="1:12">
      <c r="A1541" t="s">
        <v>17513</v>
      </c>
      <c r="B1541" s="1" t="s">
        <v>17514</v>
      </c>
      <c r="F1541">
        <v>1</v>
      </c>
      <c r="G1541" t="str">
        <f>HYPERLINK("http://babel.hathitrust.org/cgi/pt?id=mdp.39015028765124")</f>
        <v>http://babel.hathitrust.org/cgi/pt?id=mdp.39015028765124</v>
      </c>
      <c r="H1541" t="str">
        <f>HYPERLINK("http://catalog.hathitrust.org/Record/001372132")</f>
        <v>http://catalog.hathitrust.org/Record/001372132</v>
      </c>
      <c r="I1541" s="1" t="s">
        <v>20916</v>
      </c>
      <c r="J1541" s="1">
        <v>1858</v>
      </c>
      <c r="K1541" t="s">
        <v>17515</v>
      </c>
      <c r="L1541" t="s">
        <v>17516</v>
      </c>
    </row>
    <row r="1542" spans="1:12">
      <c r="A1542" t="s">
        <v>17517</v>
      </c>
      <c r="B1542" s="1" t="s">
        <v>17514</v>
      </c>
      <c r="F1542">
        <v>1</v>
      </c>
      <c r="G1542" t="str">
        <f>HYPERLINK("http://babel.hathitrust.org/cgi/pt?id=mdp.39015028765132")</f>
        <v>http://babel.hathitrust.org/cgi/pt?id=mdp.39015028765132</v>
      </c>
      <c r="H1542" t="str">
        <f>HYPERLINK("http://catalog.hathitrust.org/Record/001372132")</f>
        <v>http://catalog.hathitrust.org/Record/001372132</v>
      </c>
      <c r="I1542" s="1" t="s">
        <v>20755</v>
      </c>
      <c r="J1542" s="1">
        <v>1858</v>
      </c>
      <c r="K1542" t="s">
        <v>17515</v>
      </c>
      <c r="L1542" t="s">
        <v>17516</v>
      </c>
    </row>
    <row r="1543" spans="1:12">
      <c r="A1543" t="s">
        <v>17518</v>
      </c>
      <c r="B1543" s="1" t="s">
        <v>17514</v>
      </c>
      <c r="F1543">
        <v>1</v>
      </c>
      <c r="G1543" t="str">
        <f>HYPERLINK("http://babel.hathitrust.org/cgi/pt?id=mdp.39015028765876")</f>
        <v>http://babel.hathitrust.org/cgi/pt?id=mdp.39015028765876</v>
      </c>
      <c r="H1543" t="str">
        <f>HYPERLINK("http://catalog.hathitrust.org/Record/001372132")</f>
        <v>http://catalog.hathitrust.org/Record/001372132</v>
      </c>
      <c r="I1543" s="1" t="s">
        <v>20920</v>
      </c>
      <c r="J1543" s="1">
        <v>1858</v>
      </c>
      <c r="K1543" t="s">
        <v>17515</v>
      </c>
      <c r="L1543" t="s">
        <v>17516</v>
      </c>
    </row>
    <row r="1544" spans="1:12">
      <c r="A1544" t="s">
        <v>17396</v>
      </c>
      <c r="B1544" s="1" t="s">
        <v>17514</v>
      </c>
      <c r="F1544">
        <v>1</v>
      </c>
      <c r="G1544" t="str">
        <f>HYPERLINK("http://babel.hathitrust.org/cgi/pt?id=umn.31951001602774w")</f>
        <v>http://babel.hathitrust.org/cgi/pt?id=umn.31951001602774w</v>
      </c>
      <c r="H1544" t="str">
        <f>HYPERLINK("http://catalog.hathitrust.org/Record/001372132")</f>
        <v>http://catalog.hathitrust.org/Record/001372132</v>
      </c>
      <c r="I1544" s="1" t="s">
        <v>17397</v>
      </c>
      <c r="J1544" s="1">
        <v>1858</v>
      </c>
      <c r="K1544" t="s">
        <v>17515</v>
      </c>
      <c r="L1544" t="s">
        <v>17516</v>
      </c>
    </row>
    <row r="1545" spans="1:12">
      <c r="A1545" t="s">
        <v>17398</v>
      </c>
      <c r="B1545" s="1" t="s">
        <v>17399</v>
      </c>
      <c r="F1545">
        <v>1</v>
      </c>
      <c r="G1545" t="str">
        <f>HYPERLINK("http://babel.hathitrust.org/cgi/pt?id=mdp.39015016457320")</f>
        <v>http://babel.hathitrust.org/cgi/pt?id=mdp.39015016457320</v>
      </c>
      <c r="H1545" t="str">
        <f>HYPERLINK("http://catalog.hathitrust.org/Record/001372133")</f>
        <v>http://catalog.hathitrust.org/Record/001372133</v>
      </c>
      <c r="I1545" s="1" t="s">
        <v>20755</v>
      </c>
      <c r="J1545" s="1">
        <v>1844</v>
      </c>
      <c r="K1545" t="s">
        <v>17400</v>
      </c>
      <c r="L1545" t="s">
        <v>17516</v>
      </c>
    </row>
    <row r="1546" spans="1:12">
      <c r="A1546" t="s">
        <v>17401</v>
      </c>
      <c r="B1546" s="1" t="s">
        <v>17399</v>
      </c>
      <c r="F1546">
        <v>1</v>
      </c>
      <c r="G1546" t="str">
        <f>HYPERLINK("http://babel.hathitrust.org/cgi/pt?id=mdp.39015016457338")</f>
        <v>http://babel.hathitrust.org/cgi/pt?id=mdp.39015016457338</v>
      </c>
      <c r="H1546" t="str">
        <f>HYPERLINK("http://catalog.hathitrust.org/Record/001372133")</f>
        <v>http://catalog.hathitrust.org/Record/001372133</v>
      </c>
      <c r="I1546" s="1" t="s">
        <v>20916</v>
      </c>
      <c r="J1546" s="1">
        <v>1844</v>
      </c>
      <c r="K1546" t="s">
        <v>17400</v>
      </c>
      <c r="L1546" t="s">
        <v>17516</v>
      </c>
    </row>
    <row r="1547" spans="1:12">
      <c r="A1547" t="s">
        <v>17402</v>
      </c>
      <c r="B1547" s="1" t="s">
        <v>17403</v>
      </c>
      <c r="E1547">
        <v>1</v>
      </c>
      <c r="G1547" t="str">
        <f>HYPERLINK("http://babel.hathitrust.org/cgi/pt?id=mdp.39015016456165")</f>
        <v>http://babel.hathitrust.org/cgi/pt?id=mdp.39015016456165</v>
      </c>
      <c r="H1547" t="str">
        <f t="shared" ref="H1547:H1553" si="30">HYPERLINK("http://catalog.hathitrust.org/Record/001372227")</f>
        <v>http://catalog.hathitrust.org/Record/001372227</v>
      </c>
      <c r="I1547" s="1" t="s">
        <v>17405</v>
      </c>
      <c r="J1547" s="1">
        <v>1912</v>
      </c>
      <c r="K1547" t="s">
        <v>17404</v>
      </c>
      <c r="L1547" t="s">
        <v>17406</v>
      </c>
    </row>
    <row r="1548" spans="1:12">
      <c r="A1548" t="s">
        <v>17407</v>
      </c>
      <c r="B1548" s="1" t="s">
        <v>17403</v>
      </c>
      <c r="E1548">
        <v>1</v>
      </c>
      <c r="G1548" t="str">
        <f>HYPERLINK("http://babel.hathitrust.org/cgi/pt?id=mdp.39015016456322")</f>
        <v>http://babel.hathitrust.org/cgi/pt?id=mdp.39015016456322</v>
      </c>
      <c r="H1548" t="str">
        <f t="shared" si="30"/>
        <v>http://catalog.hathitrust.org/Record/001372227</v>
      </c>
      <c r="I1548" s="1" t="s">
        <v>17408</v>
      </c>
      <c r="J1548" s="1">
        <v>1912</v>
      </c>
      <c r="K1548" t="s">
        <v>17404</v>
      </c>
      <c r="L1548" t="s">
        <v>17406</v>
      </c>
    </row>
    <row r="1549" spans="1:12">
      <c r="A1549" t="s">
        <v>17409</v>
      </c>
      <c r="B1549" s="1" t="s">
        <v>17403</v>
      </c>
      <c r="E1549">
        <v>1</v>
      </c>
      <c r="G1549" t="str">
        <f>HYPERLINK("http://babel.hathitrust.org/cgi/pt?id=mdp.39015016456330")</f>
        <v>http://babel.hathitrust.org/cgi/pt?id=mdp.39015016456330</v>
      </c>
      <c r="H1549" t="str">
        <f t="shared" si="30"/>
        <v>http://catalog.hathitrust.org/Record/001372227</v>
      </c>
      <c r="I1549" s="1" t="s">
        <v>17410</v>
      </c>
      <c r="J1549" s="1">
        <v>1912</v>
      </c>
      <c r="K1549" t="s">
        <v>17404</v>
      </c>
      <c r="L1549" t="s">
        <v>17406</v>
      </c>
    </row>
    <row r="1550" spans="1:12">
      <c r="A1550" t="s">
        <v>17411</v>
      </c>
      <c r="B1550" s="1" t="s">
        <v>17403</v>
      </c>
      <c r="E1550">
        <v>1</v>
      </c>
      <c r="G1550" t="str">
        <f>HYPERLINK("http://babel.hathitrust.org/cgi/pt?id=mdp.39015016456348")</f>
        <v>http://babel.hathitrust.org/cgi/pt?id=mdp.39015016456348</v>
      </c>
      <c r="H1550" t="str">
        <f t="shared" si="30"/>
        <v>http://catalog.hathitrust.org/Record/001372227</v>
      </c>
      <c r="I1550" s="1" t="s">
        <v>17412</v>
      </c>
      <c r="J1550" s="1">
        <v>1912</v>
      </c>
      <c r="K1550" t="s">
        <v>17404</v>
      </c>
      <c r="L1550" t="s">
        <v>17406</v>
      </c>
    </row>
    <row r="1551" spans="1:12">
      <c r="A1551" t="s">
        <v>17413</v>
      </c>
      <c r="B1551" s="1" t="s">
        <v>17403</v>
      </c>
      <c r="E1551">
        <v>1</v>
      </c>
      <c r="G1551" t="str">
        <f>HYPERLINK("http://babel.hathitrust.org/cgi/pt?id=mdp.39015016456355")</f>
        <v>http://babel.hathitrust.org/cgi/pt?id=mdp.39015016456355</v>
      </c>
      <c r="H1551" t="str">
        <f t="shared" si="30"/>
        <v>http://catalog.hathitrust.org/Record/001372227</v>
      </c>
      <c r="I1551" s="1" t="s">
        <v>17414</v>
      </c>
      <c r="J1551" s="1">
        <v>1912</v>
      </c>
      <c r="K1551" t="s">
        <v>17404</v>
      </c>
      <c r="L1551" t="s">
        <v>17406</v>
      </c>
    </row>
    <row r="1552" spans="1:12">
      <c r="A1552" t="s">
        <v>17415</v>
      </c>
      <c r="B1552" s="1" t="s">
        <v>17403</v>
      </c>
      <c r="E1552">
        <v>1</v>
      </c>
      <c r="G1552" t="str">
        <f>HYPERLINK("http://babel.hathitrust.org/cgi/pt?id=mdp.39015016456363")</f>
        <v>http://babel.hathitrust.org/cgi/pt?id=mdp.39015016456363</v>
      </c>
      <c r="H1552" t="str">
        <f t="shared" si="30"/>
        <v>http://catalog.hathitrust.org/Record/001372227</v>
      </c>
      <c r="I1552" s="1" t="s">
        <v>17416</v>
      </c>
      <c r="J1552" s="1">
        <v>1912</v>
      </c>
      <c r="K1552" t="s">
        <v>17404</v>
      </c>
      <c r="L1552" t="s">
        <v>17406</v>
      </c>
    </row>
    <row r="1553" spans="1:12">
      <c r="A1553" t="s">
        <v>17417</v>
      </c>
      <c r="B1553" s="1" t="s">
        <v>17403</v>
      </c>
      <c r="E1553">
        <v>1</v>
      </c>
      <c r="G1553" t="str">
        <f>HYPERLINK("http://babel.hathitrust.org/cgi/pt?id=mdp.39015016456413")</f>
        <v>http://babel.hathitrust.org/cgi/pt?id=mdp.39015016456413</v>
      </c>
      <c r="H1553" t="str">
        <f t="shared" si="30"/>
        <v>http://catalog.hathitrust.org/Record/001372227</v>
      </c>
      <c r="I1553" s="1" t="s">
        <v>17418</v>
      </c>
      <c r="J1553" s="1">
        <v>1912</v>
      </c>
      <c r="K1553" t="s">
        <v>17404</v>
      </c>
      <c r="L1553" t="s">
        <v>17406</v>
      </c>
    </row>
    <row r="1554" spans="1:12">
      <c r="A1554" t="s">
        <v>17419</v>
      </c>
      <c r="B1554" s="1" t="s">
        <v>17420</v>
      </c>
      <c r="F1554">
        <v>1</v>
      </c>
      <c r="G1554" t="str">
        <f>HYPERLINK("http://babel.hathitrust.org/cgi/pt?id=mdp.39015008900246")</f>
        <v>http://babel.hathitrust.org/cgi/pt?id=mdp.39015008900246</v>
      </c>
      <c r="H1554" t="str">
        <f>HYPERLINK("http://catalog.hathitrust.org/Record/001372316")</f>
        <v>http://catalog.hathitrust.org/Record/001372316</v>
      </c>
      <c r="J1554" s="1">
        <v>1915</v>
      </c>
      <c r="K1554" t="s">
        <v>17421</v>
      </c>
      <c r="L1554" t="s">
        <v>17422</v>
      </c>
    </row>
    <row r="1555" spans="1:12">
      <c r="A1555" t="s">
        <v>17423</v>
      </c>
      <c r="B1555" s="1" t="s">
        <v>17420</v>
      </c>
      <c r="F1555">
        <v>1</v>
      </c>
      <c r="G1555" t="str">
        <f>HYPERLINK("http://babel.hathitrust.org/cgi/pt?id=uc1.b161365")</f>
        <v>http://babel.hathitrust.org/cgi/pt?id=uc1.b161365</v>
      </c>
      <c r="H1555" t="str">
        <f>HYPERLINK("http://catalog.hathitrust.org/Record/001372316")</f>
        <v>http://catalog.hathitrust.org/Record/001372316</v>
      </c>
      <c r="J1555" s="1">
        <v>1915</v>
      </c>
      <c r="K1555" t="s">
        <v>17421</v>
      </c>
      <c r="L1555" t="s">
        <v>17422</v>
      </c>
    </row>
    <row r="1556" spans="1:12">
      <c r="A1556" t="s">
        <v>17424</v>
      </c>
      <c r="B1556" s="1" t="s">
        <v>17420</v>
      </c>
      <c r="F1556">
        <v>1</v>
      </c>
      <c r="G1556" t="str">
        <f>HYPERLINK("http://babel.hathitrust.org/cgi/pt?id=uc2.ark:/13960/t09w0c62r")</f>
        <v>http://babel.hathitrust.org/cgi/pt?id=uc2.ark:/13960/t09w0c62r</v>
      </c>
      <c r="H1556" t="str">
        <f>HYPERLINK("http://catalog.hathitrust.org/Record/001372316")</f>
        <v>http://catalog.hathitrust.org/Record/001372316</v>
      </c>
      <c r="J1556" s="1">
        <v>1915</v>
      </c>
      <c r="K1556" t="s">
        <v>17421</v>
      </c>
      <c r="L1556" t="s">
        <v>17422</v>
      </c>
    </row>
    <row r="1557" spans="1:12">
      <c r="A1557" t="s">
        <v>17425</v>
      </c>
      <c r="B1557" s="1" t="s">
        <v>17426</v>
      </c>
      <c r="F1557">
        <v>1</v>
      </c>
      <c r="G1557" t="str">
        <f>HYPERLINK("http://babel.hathitrust.org/cgi/pt?id=mdp.39015025043160")</f>
        <v>http://babel.hathitrust.org/cgi/pt?id=mdp.39015025043160</v>
      </c>
      <c r="H1557" t="str">
        <f>HYPERLINK("http://catalog.hathitrust.org/Record/001372334")</f>
        <v>http://catalog.hathitrust.org/Record/001372334</v>
      </c>
      <c r="J1557" s="1">
        <v>1911</v>
      </c>
      <c r="K1557" t="s">
        <v>17427</v>
      </c>
      <c r="L1557" t="s">
        <v>17428</v>
      </c>
    </row>
    <row r="1558" spans="1:12">
      <c r="A1558" t="s">
        <v>17429</v>
      </c>
      <c r="B1558" s="1" t="s">
        <v>17430</v>
      </c>
      <c r="F1558">
        <v>1</v>
      </c>
      <c r="G1558" t="str">
        <f>HYPERLINK("http://babel.hathitrust.org/cgi/pt?id=mdp.39015005284123")</f>
        <v>http://babel.hathitrust.org/cgi/pt?id=mdp.39015005284123</v>
      </c>
      <c r="H1558" t="str">
        <f>HYPERLINK("http://catalog.hathitrust.org/Record/001372646")</f>
        <v>http://catalog.hathitrust.org/Record/001372646</v>
      </c>
      <c r="J1558" s="1">
        <v>1935</v>
      </c>
      <c r="K1558" t="s">
        <v>17431</v>
      </c>
      <c r="L1558" t="s">
        <v>17432</v>
      </c>
    </row>
    <row r="1559" spans="1:12">
      <c r="A1559" t="s">
        <v>17433</v>
      </c>
      <c r="B1559" s="1" t="s">
        <v>17430</v>
      </c>
      <c r="F1559">
        <v>1</v>
      </c>
      <c r="G1559" t="str">
        <f>HYPERLINK("http://babel.hathitrust.org/cgi/pt?id=mdp.39015048473899")</f>
        <v>http://babel.hathitrust.org/cgi/pt?id=mdp.39015048473899</v>
      </c>
      <c r="H1559" t="str">
        <f>HYPERLINK("http://catalog.hathitrust.org/Record/001372646")</f>
        <v>http://catalog.hathitrust.org/Record/001372646</v>
      </c>
      <c r="J1559" s="1">
        <v>1935</v>
      </c>
      <c r="K1559" t="s">
        <v>17431</v>
      </c>
      <c r="L1559" t="s">
        <v>17432</v>
      </c>
    </row>
    <row r="1560" spans="1:12">
      <c r="A1560" t="s">
        <v>17434</v>
      </c>
      <c r="B1560" s="1" t="s">
        <v>17430</v>
      </c>
      <c r="F1560">
        <v>1</v>
      </c>
      <c r="G1560" t="str">
        <f>HYPERLINK("http://babel.hathitrust.org/cgi/pt?id=uc1.b4109177")</f>
        <v>http://babel.hathitrust.org/cgi/pt?id=uc1.b4109177</v>
      </c>
      <c r="H1560" t="str">
        <f>HYPERLINK("http://catalog.hathitrust.org/Record/001372646")</f>
        <v>http://catalog.hathitrust.org/Record/001372646</v>
      </c>
      <c r="J1560" s="1">
        <v>1935</v>
      </c>
      <c r="K1560" t="s">
        <v>17431</v>
      </c>
      <c r="L1560" t="s">
        <v>17432</v>
      </c>
    </row>
    <row r="1561" spans="1:12">
      <c r="A1561" t="s">
        <v>17435</v>
      </c>
      <c r="B1561" s="1" t="s">
        <v>17436</v>
      </c>
      <c r="F1561">
        <v>1</v>
      </c>
      <c r="G1561" t="str">
        <f>HYPERLINK("http://babel.hathitrust.org/cgi/pt?id=mdp.39015030834348")</f>
        <v>http://babel.hathitrust.org/cgi/pt?id=mdp.39015030834348</v>
      </c>
      <c r="H1561" t="str">
        <f>HYPERLINK("http://catalog.hathitrust.org/Record/001372964")</f>
        <v>http://catalog.hathitrust.org/Record/001372964</v>
      </c>
      <c r="J1561" s="1">
        <v>1941</v>
      </c>
      <c r="K1561" t="s">
        <v>17437</v>
      </c>
      <c r="L1561" t="s">
        <v>17438</v>
      </c>
    </row>
    <row r="1562" spans="1:12">
      <c r="A1562" t="s">
        <v>17439</v>
      </c>
      <c r="B1562" s="1" t="s">
        <v>17436</v>
      </c>
      <c r="F1562">
        <v>1</v>
      </c>
      <c r="G1562" t="str">
        <f>HYPERLINK("http://babel.hathitrust.org/cgi/pt?id=uc1.b3393788")</f>
        <v>http://babel.hathitrust.org/cgi/pt?id=uc1.b3393788</v>
      </c>
      <c r="H1562" t="str">
        <f>HYPERLINK("http://catalog.hathitrust.org/Record/001372964")</f>
        <v>http://catalog.hathitrust.org/Record/001372964</v>
      </c>
      <c r="J1562" s="1">
        <v>1941</v>
      </c>
      <c r="K1562" t="s">
        <v>17437</v>
      </c>
      <c r="L1562" t="s">
        <v>17438</v>
      </c>
    </row>
    <row r="1563" spans="1:12">
      <c r="A1563" t="s">
        <v>17440</v>
      </c>
      <c r="B1563" s="1" t="s">
        <v>17441</v>
      </c>
      <c r="F1563">
        <v>1</v>
      </c>
      <c r="G1563" t="str">
        <f>HYPERLINK("http://babel.hathitrust.org/cgi/pt?id=mdp.39015005495687")</f>
        <v>http://babel.hathitrust.org/cgi/pt?id=mdp.39015005495687</v>
      </c>
      <c r="H1563" t="str">
        <f>HYPERLINK("http://catalog.hathitrust.org/Record/001372967")</f>
        <v>http://catalog.hathitrust.org/Record/001372967</v>
      </c>
      <c r="J1563" s="1">
        <v>1941</v>
      </c>
      <c r="K1563" t="s">
        <v>17442</v>
      </c>
      <c r="L1563" t="s">
        <v>17438</v>
      </c>
    </row>
    <row r="1564" spans="1:12">
      <c r="A1564" t="s">
        <v>17443</v>
      </c>
      <c r="B1564" s="1" t="s">
        <v>17441</v>
      </c>
      <c r="F1564">
        <v>1</v>
      </c>
      <c r="G1564" t="str">
        <f>HYPERLINK("http://babel.hathitrust.org/cgi/pt?id=uc1.b3393345")</f>
        <v>http://babel.hathitrust.org/cgi/pt?id=uc1.b3393345</v>
      </c>
      <c r="H1564" t="str">
        <f>HYPERLINK("http://catalog.hathitrust.org/Record/001372967")</f>
        <v>http://catalog.hathitrust.org/Record/001372967</v>
      </c>
      <c r="J1564" s="1">
        <v>1941</v>
      </c>
      <c r="K1564" t="s">
        <v>17442</v>
      </c>
      <c r="L1564" t="s">
        <v>17438</v>
      </c>
    </row>
    <row r="1565" spans="1:12">
      <c r="A1565" t="s">
        <v>17444</v>
      </c>
      <c r="B1565" s="1" t="s">
        <v>17445</v>
      </c>
      <c r="F1565">
        <v>1</v>
      </c>
      <c r="G1565" t="str">
        <f>HYPERLINK("http://babel.hathitrust.org/cgi/pt?id=mdp.39015004721745")</f>
        <v>http://babel.hathitrust.org/cgi/pt?id=mdp.39015004721745</v>
      </c>
      <c r="H1565" t="str">
        <f>HYPERLINK("http://catalog.hathitrust.org/Record/001373070")</f>
        <v>http://catalog.hathitrust.org/Record/001373070</v>
      </c>
      <c r="J1565" s="1">
        <v>1912</v>
      </c>
      <c r="K1565" t="s">
        <v>17446</v>
      </c>
      <c r="L1565" t="s">
        <v>17447</v>
      </c>
    </row>
    <row r="1566" spans="1:12">
      <c r="A1566" t="s">
        <v>17448</v>
      </c>
      <c r="B1566" s="1" t="s">
        <v>17445</v>
      </c>
      <c r="F1566">
        <v>1</v>
      </c>
      <c r="G1566" t="str">
        <f>HYPERLINK("http://babel.hathitrust.org/cgi/pt?id=mdp.39015019152522")</f>
        <v>http://babel.hathitrust.org/cgi/pt?id=mdp.39015019152522</v>
      </c>
      <c r="H1566" t="str">
        <f>HYPERLINK("http://catalog.hathitrust.org/Record/001373070")</f>
        <v>http://catalog.hathitrust.org/Record/001373070</v>
      </c>
      <c r="J1566" s="1">
        <v>1912</v>
      </c>
      <c r="K1566" t="s">
        <v>17446</v>
      </c>
      <c r="L1566" t="s">
        <v>17447</v>
      </c>
    </row>
    <row r="1567" spans="1:12">
      <c r="A1567" t="s">
        <v>17449</v>
      </c>
      <c r="B1567" s="1" t="s">
        <v>17445</v>
      </c>
      <c r="F1567">
        <v>1</v>
      </c>
      <c r="G1567" t="str">
        <f>HYPERLINK("http://babel.hathitrust.org/cgi/pt?id=uc1.b4109930")</f>
        <v>http://babel.hathitrust.org/cgi/pt?id=uc1.b4109930</v>
      </c>
      <c r="H1567" t="str">
        <f>HYPERLINK("http://catalog.hathitrust.org/Record/001373070")</f>
        <v>http://catalog.hathitrust.org/Record/001373070</v>
      </c>
      <c r="J1567" s="1">
        <v>1912</v>
      </c>
      <c r="K1567" t="s">
        <v>17446</v>
      </c>
      <c r="L1567" t="s">
        <v>17447</v>
      </c>
    </row>
    <row r="1568" spans="1:12">
      <c r="A1568" t="s">
        <v>17450</v>
      </c>
      <c r="B1568" s="1" t="s">
        <v>17445</v>
      </c>
      <c r="F1568">
        <v>1</v>
      </c>
      <c r="G1568" t="str">
        <f>HYPERLINK("http://babel.hathitrust.org/cgi/pt?id=uc2.ark:/13960/t9z039j8v")</f>
        <v>http://babel.hathitrust.org/cgi/pt?id=uc2.ark:/13960/t9z039j8v</v>
      </c>
      <c r="H1568" t="str">
        <f>HYPERLINK("http://catalog.hathitrust.org/Record/001373070")</f>
        <v>http://catalog.hathitrust.org/Record/001373070</v>
      </c>
      <c r="J1568" s="1">
        <v>1912</v>
      </c>
      <c r="K1568" t="s">
        <v>17446</v>
      </c>
      <c r="L1568" t="s">
        <v>17447</v>
      </c>
    </row>
    <row r="1569" spans="1:12">
      <c r="A1569" t="s">
        <v>17451</v>
      </c>
      <c r="B1569" s="1" t="s">
        <v>17452</v>
      </c>
      <c r="F1569">
        <v>1</v>
      </c>
      <c r="G1569" t="str">
        <f>HYPERLINK("http://babel.hathitrust.org/cgi/pt?id=mdp.39015053661412")</f>
        <v>http://babel.hathitrust.org/cgi/pt?id=mdp.39015053661412</v>
      </c>
      <c r="H1569" t="str">
        <f>HYPERLINK("http://catalog.hathitrust.org/Record/001373330")</f>
        <v>http://catalog.hathitrust.org/Record/001373330</v>
      </c>
      <c r="J1569" s="1">
        <v>1919</v>
      </c>
      <c r="K1569" t="s">
        <v>17453</v>
      </c>
      <c r="L1569" t="s">
        <v>17454</v>
      </c>
    </row>
    <row r="1570" spans="1:12">
      <c r="A1570" t="s">
        <v>17455</v>
      </c>
      <c r="B1570" s="1" t="s">
        <v>17456</v>
      </c>
      <c r="F1570">
        <v>1</v>
      </c>
      <c r="G1570" t="str">
        <f>HYPERLINK("http://babel.hathitrust.org/cgi/pt?id=mdp.39015053663277")</f>
        <v>http://babel.hathitrust.org/cgi/pt?id=mdp.39015053663277</v>
      </c>
      <c r="H1570" t="str">
        <f>HYPERLINK("http://catalog.hathitrust.org/Record/001373730")</f>
        <v>http://catalog.hathitrust.org/Record/001373730</v>
      </c>
      <c r="J1570" s="1">
        <v>1920</v>
      </c>
      <c r="K1570" t="s">
        <v>17457</v>
      </c>
      <c r="L1570" t="s">
        <v>20760</v>
      </c>
    </row>
    <row r="1571" spans="1:12">
      <c r="A1571" t="s">
        <v>17458</v>
      </c>
      <c r="B1571" s="1" t="s">
        <v>17459</v>
      </c>
      <c r="F1571">
        <v>1</v>
      </c>
      <c r="G1571" t="str">
        <f>HYPERLINK("http://babel.hathitrust.org/cgi/pt?id=coo.31924012960930")</f>
        <v>http://babel.hathitrust.org/cgi/pt?id=coo.31924012960930</v>
      </c>
      <c r="H1571" t="str">
        <f t="shared" ref="H1571:H1579" si="31">HYPERLINK("http://catalog.hathitrust.org/Record/001373782")</f>
        <v>http://catalog.hathitrust.org/Record/001373782</v>
      </c>
      <c r="I1571" s="1" t="s">
        <v>20916</v>
      </c>
      <c r="J1571" s="1">
        <v>1902</v>
      </c>
      <c r="K1571" t="s">
        <v>17332</v>
      </c>
      <c r="L1571" t="s">
        <v>20707</v>
      </c>
    </row>
    <row r="1572" spans="1:12">
      <c r="A1572" t="s">
        <v>17333</v>
      </c>
      <c r="B1572" s="1" t="s">
        <v>17459</v>
      </c>
      <c r="F1572">
        <v>1</v>
      </c>
      <c r="G1572" t="str">
        <f>HYPERLINK("http://babel.hathitrust.org/cgi/pt?id=coo.31924065004651")</f>
        <v>http://babel.hathitrust.org/cgi/pt?id=coo.31924065004651</v>
      </c>
      <c r="H1572" t="str">
        <f t="shared" si="31"/>
        <v>http://catalog.hathitrust.org/Record/001373782</v>
      </c>
      <c r="I1572" s="1" t="s">
        <v>20755</v>
      </c>
      <c r="J1572" s="1">
        <v>1902</v>
      </c>
      <c r="K1572" t="s">
        <v>17332</v>
      </c>
      <c r="L1572" t="s">
        <v>20707</v>
      </c>
    </row>
    <row r="1573" spans="1:12">
      <c r="A1573" t="s">
        <v>17334</v>
      </c>
      <c r="B1573" s="1" t="s">
        <v>17459</v>
      </c>
      <c r="F1573">
        <v>1</v>
      </c>
      <c r="G1573" t="str">
        <f>HYPERLINK("http://babel.hathitrust.org/cgi/pt?id=mdp.39015024832357")</f>
        <v>http://babel.hathitrust.org/cgi/pt?id=mdp.39015024832357</v>
      </c>
      <c r="H1573" t="str">
        <f t="shared" si="31"/>
        <v>http://catalog.hathitrust.org/Record/001373782</v>
      </c>
      <c r="I1573" s="1" t="s">
        <v>20755</v>
      </c>
      <c r="J1573" s="1">
        <v>1902</v>
      </c>
      <c r="K1573" t="s">
        <v>17332</v>
      </c>
      <c r="L1573" t="s">
        <v>20707</v>
      </c>
    </row>
    <row r="1574" spans="1:12">
      <c r="A1574" t="s">
        <v>17335</v>
      </c>
      <c r="B1574" s="1" t="s">
        <v>17459</v>
      </c>
      <c r="F1574">
        <v>1</v>
      </c>
      <c r="G1574" t="str">
        <f>HYPERLINK("http://babel.hathitrust.org/cgi/pt?id=mdp.39015024832373")</f>
        <v>http://babel.hathitrust.org/cgi/pt?id=mdp.39015024832373</v>
      </c>
      <c r="H1574" t="str">
        <f t="shared" si="31"/>
        <v>http://catalog.hathitrust.org/Record/001373782</v>
      </c>
      <c r="I1574" s="1" t="s">
        <v>20916</v>
      </c>
      <c r="J1574" s="1">
        <v>1902</v>
      </c>
      <c r="K1574" t="s">
        <v>17332</v>
      </c>
      <c r="L1574" t="s">
        <v>20707</v>
      </c>
    </row>
    <row r="1575" spans="1:12">
      <c r="A1575" t="s">
        <v>17336</v>
      </c>
      <c r="B1575" s="1" t="s">
        <v>17459</v>
      </c>
      <c r="E1575">
        <v>1</v>
      </c>
      <c r="F1575">
        <v>1</v>
      </c>
      <c r="G1575" t="str">
        <f>HYPERLINK("http://babel.hathitrust.org/cgi/pt?id=nyp.33433074834775")</f>
        <v>http://babel.hathitrust.org/cgi/pt?id=nyp.33433074834775</v>
      </c>
      <c r="H1575" t="str">
        <f t="shared" si="31"/>
        <v>http://catalog.hathitrust.org/Record/001373782</v>
      </c>
      <c r="I1575" s="1" t="s">
        <v>20796</v>
      </c>
      <c r="J1575" s="1">
        <v>1902</v>
      </c>
      <c r="K1575" t="s">
        <v>17332</v>
      </c>
      <c r="L1575" t="s">
        <v>20707</v>
      </c>
    </row>
    <row r="1576" spans="1:12">
      <c r="A1576" t="s">
        <v>17337</v>
      </c>
      <c r="B1576" s="1" t="s">
        <v>17459</v>
      </c>
      <c r="E1576">
        <v>1</v>
      </c>
      <c r="F1576">
        <v>1</v>
      </c>
      <c r="G1576" t="str">
        <f>HYPERLINK("http://babel.hathitrust.org/cgi/pt?id=nyp.33433074834783")</f>
        <v>http://babel.hathitrust.org/cgi/pt?id=nyp.33433074834783</v>
      </c>
      <c r="H1576" t="str">
        <f t="shared" si="31"/>
        <v>http://catalog.hathitrust.org/Record/001373782</v>
      </c>
      <c r="I1576" s="1" t="s">
        <v>20799</v>
      </c>
      <c r="J1576" s="1">
        <v>1902</v>
      </c>
      <c r="K1576" t="s">
        <v>17332</v>
      </c>
      <c r="L1576" t="s">
        <v>20707</v>
      </c>
    </row>
    <row r="1577" spans="1:12">
      <c r="A1577" t="s">
        <v>17338</v>
      </c>
      <c r="B1577" s="1" t="s">
        <v>17459</v>
      </c>
      <c r="F1577">
        <v>1</v>
      </c>
      <c r="G1577" t="str">
        <f>HYPERLINK("http://babel.hathitrust.org/cgi/pt?id=uc2.ark:/13960/t2w37rt99")</f>
        <v>http://babel.hathitrust.org/cgi/pt?id=uc2.ark:/13960/t2w37rt99</v>
      </c>
      <c r="H1577" t="str">
        <f t="shared" si="31"/>
        <v>http://catalog.hathitrust.org/Record/001373782</v>
      </c>
      <c r="I1577" s="1" t="s">
        <v>20755</v>
      </c>
      <c r="J1577" s="1">
        <v>1902</v>
      </c>
      <c r="K1577" t="s">
        <v>17332</v>
      </c>
      <c r="L1577" t="s">
        <v>20707</v>
      </c>
    </row>
    <row r="1578" spans="1:12">
      <c r="A1578" t="s">
        <v>17339</v>
      </c>
      <c r="B1578" s="1" t="s">
        <v>17459</v>
      </c>
      <c r="F1578">
        <v>1</v>
      </c>
      <c r="G1578" t="str">
        <f>HYPERLINK("http://babel.hathitrust.org/cgi/pt?id=umn.31951002333503h")</f>
        <v>http://babel.hathitrust.org/cgi/pt?id=umn.31951002333503h</v>
      </c>
      <c r="H1578" t="str">
        <f t="shared" si="31"/>
        <v>http://catalog.hathitrust.org/Record/001373782</v>
      </c>
      <c r="I1578" s="1" t="s">
        <v>20916</v>
      </c>
      <c r="J1578" s="1">
        <v>1902</v>
      </c>
      <c r="K1578" t="s">
        <v>17332</v>
      </c>
      <c r="L1578" t="s">
        <v>20707</v>
      </c>
    </row>
    <row r="1579" spans="1:12">
      <c r="A1579" t="s">
        <v>17340</v>
      </c>
      <c r="B1579" s="1" t="s">
        <v>17459</v>
      </c>
      <c r="F1579">
        <v>1</v>
      </c>
      <c r="G1579" t="str">
        <f>HYPERLINK("http://babel.hathitrust.org/cgi/pt?id=umn.31951002333504f")</f>
        <v>http://babel.hathitrust.org/cgi/pt?id=umn.31951002333504f</v>
      </c>
      <c r="H1579" t="str">
        <f t="shared" si="31"/>
        <v>http://catalog.hathitrust.org/Record/001373782</v>
      </c>
      <c r="I1579" s="1" t="s">
        <v>20755</v>
      </c>
      <c r="J1579" s="1">
        <v>1902</v>
      </c>
      <c r="K1579" t="s">
        <v>17332</v>
      </c>
      <c r="L1579" t="s">
        <v>20707</v>
      </c>
    </row>
    <row r="1580" spans="1:12">
      <c r="A1580" t="s">
        <v>17341</v>
      </c>
      <c r="B1580" s="1" t="s">
        <v>17342</v>
      </c>
      <c r="F1580">
        <v>1</v>
      </c>
      <c r="G1580" t="str">
        <f>HYPERLINK("http://babel.hathitrust.org/cgi/pt?id=mdp.39015015386264")</f>
        <v>http://babel.hathitrust.org/cgi/pt?id=mdp.39015015386264</v>
      </c>
      <c r="H1580" t="str">
        <f>HYPERLINK("http://catalog.hathitrust.org/Record/001373949")</f>
        <v>http://catalog.hathitrust.org/Record/001373949</v>
      </c>
      <c r="J1580" s="1">
        <v>1914</v>
      </c>
      <c r="K1580" t="s">
        <v>17343</v>
      </c>
      <c r="L1580" t="s">
        <v>17344</v>
      </c>
    </row>
    <row r="1581" spans="1:12">
      <c r="A1581" t="s">
        <v>17345</v>
      </c>
      <c r="B1581" s="1" t="s">
        <v>17342</v>
      </c>
      <c r="F1581">
        <v>1</v>
      </c>
      <c r="G1581" t="str">
        <f>HYPERLINK("http://babel.hathitrust.org/cgi/pt?id=nyp.33433074795810")</f>
        <v>http://babel.hathitrust.org/cgi/pt?id=nyp.33433074795810</v>
      </c>
      <c r="H1581" t="str">
        <f>HYPERLINK("http://catalog.hathitrust.org/Record/001373949")</f>
        <v>http://catalog.hathitrust.org/Record/001373949</v>
      </c>
      <c r="J1581" s="1">
        <v>1914</v>
      </c>
      <c r="K1581" t="s">
        <v>17343</v>
      </c>
      <c r="L1581" t="s">
        <v>17344</v>
      </c>
    </row>
    <row r="1582" spans="1:12">
      <c r="A1582" t="s">
        <v>17346</v>
      </c>
      <c r="B1582" s="1" t="s">
        <v>17347</v>
      </c>
      <c r="F1582">
        <v>1</v>
      </c>
      <c r="G1582" t="str">
        <f>HYPERLINK("http://babel.hathitrust.org/cgi/pt?id=mdp.39015030766128")</f>
        <v>http://babel.hathitrust.org/cgi/pt?id=mdp.39015030766128</v>
      </c>
      <c r="H1582" t="str">
        <f>HYPERLINK("http://catalog.hathitrust.org/Record/001374208")</f>
        <v>http://catalog.hathitrust.org/Record/001374208</v>
      </c>
      <c r="J1582" s="1">
        <v>1912</v>
      </c>
      <c r="K1582" t="s">
        <v>17348</v>
      </c>
      <c r="L1582" t="s">
        <v>17349</v>
      </c>
    </row>
    <row r="1583" spans="1:12">
      <c r="A1583" t="s">
        <v>17350</v>
      </c>
      <c r="B1583" s="1" t="s">
        <v>17347</v>
      </c>
      <c r="F1583">
        <v>1</v>
      </c>
      <c r="G1583" t="str">
        <f>HYPERLINK("http://babel.hathitrust.org/cgi/pt?id=uc1.b31465")</f>
        <v>http://babel.hathitrust.org/cgi/pt?id=uc1.b31465</v>
      </c>
      <c r="H1583" t="str">
        <f>HYPERLINK("http://catalog.hathitrust.org/Record/001374208")</f>
        <v>http://catalog.hathitrust.org/Record/001374208</v>
      </c>
      <c r="J1583" s="1">
        <v>1912</v>
      </c>
      <c r="K1583" t="s">
        <v>17348</v>
      </c>
      <c r="L1583" t="s">
        <v>17349</v>
      </c>
    </row>
    <row r="1584" spans="1:12">
      <c r="A1584" t="s">
        <v>17351</v>
      </c>
      <c r="B1584" s="1" t="s">
        <v>17347</v>
      </c>
      <c r="F1584">
        <v>1</v>
      </c>
      <c r="G1584" t="str">
        <f>HYPERLINK("http://babel.hathitrust.org/cgi/pt?id=uc2.ark:/13960/t8sb4077m")</f>
        <v>http://babel.hathitrust.org/cgi/pt?id=uc2.ark:/13960/t8sb4077m</v>
      </c>
      <c r="H1584" t="str">
        <f>HYPERLINK("http://catalog.hathitrust.org/Record/001374208")</f>
        <v>http://catalog.hathitrust.org/Record/001374208</v>
      </c>
      <c r="J1584" s="1">
        <v>1912</v>
      </c>
      <c r="K1584" t="s">
        <v>17348</v>
      </c>
      <c r="L1584" t="s">
        <v>17349</v>
      </c>
    </row>
    <row r="1585" spans="1:12">
      <c r="A1585" t="s">
        <v>17352</v>
      </c>
      <c r="B1585" s="1" t="s">
        <v>17353</v>
      </c>
      <c r="F1585">
        <v>1</v>
      </c>
      <c r="G1585" t="str">
        <f>HYPERLINK("http://babel.hathitrust.org/cgi/pt?id=mdp.39015030766409")</f>
        <v>http://babel.hathitrust.org/cgi/pt?id=mdp.39015030766409</v>
      </c>
      <c r="H1585" t="str">
        <f>HYPERLINK("http://catalog.hathitrust.org/Record/001374245")</f>
        <v>http://catalog.hathitrust.org/Record/001374245</v>
      </c>
      <c r="J1585" s="1">
        <v>1912</v>
      </c>
      <c r="K1585" t="s">
        <v>17354</v>
      </c>
      <c r="L1585" t="s">
        <v>17355</v>
      </c>
    </row>
    <row r="1586" spans="1:12">
      <c r="A1586" t="s">
        <v>17356</v>
      </c>
      <c r="B1586" s="1" t="s">
        <v>17357</v>
      </c>
      <c r="F1586">
        <v>1</v>
      </c>
      <c r="G1586" t="str">
        <f>HYPERLINK("http://babel.hathitrust.org/cgi/pt?id=loc.ark:/13960/t2f76z28d")</f>
        <v>http://babel.hathitrust.org/cgi/pt?id=loc.ark:/13960/t2f76z28d</v>
      </c>
      <c r="H1586" t="str">
        <f>HYPERLINK("http://catalog.hathitrust.org/Record/001374257")</f>
        <v>http://catalog.hathitrust.org/Record/001374257</v>
      </c>
      <c r="J1586" s="1">
        <v>1895</v>
      </c>
      <c r="K1586" t="s">
        <v>17358</v>
      </c>
      <c r="L1586" t="s">
        <v>17359</v>
      </c>
    </row>
    <row r="1587" spans="1:12">
      <c r="A1587" t="s">
        <v>17360</v>
      </c>
      <c r="B1587" s="1" t="s">
        <v>17357</v>
      </c>
      <c r="F1587">
        <v>1</v>
      </c>
      <c r="G1587" t="str">
        <f>HYPERLINK("http://babel.hathitrust.org/cgi/pt?id=mdp.39015030766391")</f>
        <v>http://babel.hathitrust.org/cgi/pt?id=mdp.39015030766391</v>
      </c>
      <c r="H1587" t="str">
        <f>HYPERLINK("http://catalog.hathitrust.org/Record/001374257")</f>
        <v>http://catalog.hathitrust.org/Record/001374257</v>
      </c>
      <c r="J1587" s="1">
        <v>1895</v>
      </c>
      <c r="K1587" t="s">
        <v>17358</v>
      </c>
      <c r="L1587" t="s">
        <v>17359</v>
      </c>
    </row>
    <row r="1588" spans="1:12">
      <c r="A1588" t="s">
        <v>17361</v>
      </c>
      <c r="B1588" s="1" t="s">
        <v>17357</v>
      </c>
      <c r="F1588">
        <v>1</v>
      </c>
      <c r="G1588" t="str">
        <f>HYPERLINK("http://babel.hathitrust.org/cgi/pt?id=nyp.33433074907860")</f>
        <v>http://babel.hathitrust.org/cgi/pt?id=nyp.33433074907860</v>
      </c>
      <c r="H1588" t="str">
        <f>HYPERLINK("http://catalog.hathitrust.org/Record/001374257")</f>
        <v>http://catalog.hathitrust.org/Record/001374257</v>
      </c>
      <c r="J1588" s="1">
        <v>1895</v>
      </c>
      <c r="K1588" t="s">
        <v>17358</v>
      </c>
      <c r="L1588" t="s">
        <v>17359</v>
      </c>
    </row>
    <row r="1589" spans="1:12">
      <c r="A1589" t="s">
        <v>17362</v>
      </c>
      <c r="B1589" s="1" t="s">
        <v>17357</v>
      </c>
      <c r="F1589">
        <v>1</v>
      </c>
      <c r="G1589" t="str">
        <f>HYPERLINK("http://babel.hathitrust.org/cgi/pt?id=uc1.b3129438")</f>
        <v>http://babel.hathitrust.org/cgi/pt?id=uc1.b3129438</v>
      </c>
      <c r="H1589" t="str">
        <f>HYPERLINK("http://catalog.hathitrust.org/Record/001374257")</f>
        <v>http://catalog.hathitrust.org/Record/001374257</v>
      </c>
      <c r="J1589" s="1">
        <v>1895</v>
      </c>
      <c r="K1589" t="s">
        <v>17358</v>
      </c>
      <c r="L1589" t="s">
        <v>17359</v>
      </c>
    </row>
    <row r="1590" spans="1:12">
      <c r="A1590" t="s">
        <v>17363</v>
      </c>
      <c r="B1590" s="1" t="s">
        <v>17357</v>
      </c>
      <c r="F1590">
        <v>1</v>
      </c>
      <c r="G1590" t="str">
        <f>HYPERLINK("http://babel.hathitrust.org/cgi/pt?id=uc2.ark:/13960/t7mp53t7g")</f>
        <v>http://babel.hathitrust.org/cgi/pt?id=uc2.ark:/13960/t7mp53t7g</v>
      </c>
      <c r="H1590" t="str">
        <f>HYPERLINK("http://catalog.hathitrust.org/Record/001374257")</f>
        <v>http://catalog.hathitrust.org/Record/001374257</v>
      </c>
      <c r="J1590" s="1">
        <v>1895</v>
      </c>
      <c r="K1590" t="s">
        <v>17358</v>
      </c>
      <c r="L1590" t="s">
        <v>17359</v>
      </c>
    </row>
    <row r="1591" spans="1:12">
      <c r="A1591" t="s">
        <v>17364</v>
      </c>
      <c r="B1591" s="1" t="s">
        <v>17365</v>
      </c>
      <c r="F1591">
        <v>1</v>
      </c>
      <c r="G1591" t="str">
        <f>HYPERLINK("http://babel.hathitrust.org/cgi/pt?id=mdp.39015012881630")</f>
        <v>http://babel.hathitrust.org/cgi/pt?id=mdp.39015012881630</v>
      </c>
      <c r="H1591" t="str">
        <f>HYPERLINK("http://catalog.hathitrust.org/Record/001374288")</f>
        <v>http://catalog.hathitrust.org/Record/001374288</v>
      </c>
      <c r="I1591" s="1" t="s">
        <v>20755</v>
      </c>
      <c r="J1591" s="1">
        <v>1831</v>
      </c>
      <c r="K1591" t="s">
        <v>17366</v>
      </c>
      <c r="L1591" t="s">
        <v>19675</v>
      </c>
    </row>
    <row r="1592" spans="1:12">
      <c r="A1592" t="s">
        <v>17367</v>
      </c>
      <c r="B1592" s="1" t="s">
        <v>17365</v>
      </c>
      <c r="F1592">
        <v>1</v>
      </c>
      <c r="G1592" t="str">
        <f>HYPERLINK("http://babel.hathitrust.org/cgi/pt?id=mdp.39015014278405")</f>
        <v>http://babel.hathitrust.org/cgi/pt?id=mdp.39015014278405</v>
      </c>
      <c r="H1592" t="str">
        <f>HYPERLINK("http://catalog.hathitrust.org/Record/001374288")</f>
        <v>http://catalog.hathitrust.org/Record/001374288</v>
      </c>
      <c r="I1592" s="1" t="s">
        <v>20920</v>
      </c>
      <c r="J1592" s="1">
        <v>1831</v>
      </c>
      <c r="K1592" t="s">
        <v>17366</v>
      </c>
      <c r="L1592" t="s">
        <v>19675</v>
      </c>
    </row>
    <row r="1593" spans="1:12">
      <c r="A1593" t="s">
        <v>17368</v>
      </c>
      <c r="B1593" s="1" t="s">
        <v>17365</v>
      </c>
      <c r="F1593">
        <v>1</v>
      </c>
      <c r="G1593" t="str">
        <f>HYPERLINK("http://babel.hathitrust.org/cgi/pt?id=mdp.39015016918313")</f>
        <v>http://babel.hathitrust.org/cgi/pt?id=mdp.39015016918313</v>
      </c>
      <c r="H1593" t="str">
        <f>HYPERLINK("http://catalog.hathitrust.org/Record/001374288")</f>
        <v>http://catalog.hathitrust.org/Record/001374288</v>
      </c>
      <c r="I1593" s="1" t="s">
        <v>20916</v>
      </c>
      <c r="J1593" s="1">
        <v>1831</v>
      </c>
      <c r="K1593" t="s">
        <v>17366</v>
      </c>
      <c r="L1593" t="s">
        <v>19675</v>
      </c>
    </row>
    <row r="1594" spans="1:12">
      <c r="A1594" t="s">
        <v>17369</v>
      </c>
      <c r="B1594" s="1" t="s">
        <v>17365</v>
      </c>
      <c r="F1594">
        <v>1</v>
      </c>
      <c r="G1594" t="str">
        <f>HYPERLINK("http://babel.hathitrust.org/cgi/pt?id=nyp.33433081603056")</f>
        <v>http://babel.hathitrust.org/cgi/pt?id=nyp.33433081603056</v>
      </c>
      <c r="H1594" t="str">
        <f>HYPERLINK("http://catalog.hathitrust.org/Record/001374288")</f>
        <v>http://catalog.hathitrust.org/Record/001374288</v>
      </c>
      <c r="I1594" s="1" t="s">
        <v>20799</v>
      </c>
      <c r="J1594" s="1">
        <v>1831</v>
      </c>
      <c r="K1594" t="s">
        <v>17366</v>
      </c>
      <c r="L1594" t="s">
        <v>19675</v>
      </c>
    </row>
    <row r="1595" spans="1:12">
      <c r="A1595" t="s">
        <v>17370</v>
      </c>
      <c r="B1595" s="1" t="s">
        <v>17365</v>
      </c>
      <c r="F1595">
        <v>1</v>
      </c>
      <c r="G1595" t="str">
        <f>HYPERLINK("http://babel.hathitrust.org/cgi/pt?id=nyp.33433081603064")</f>
        <v>http://babel.hathitrust.org/cgi/pt?id=nyp.33433081603064</v>
      </c>
      <c r="H1595" t="str">
        <f>HYPERLINK("http://catalog.hathitrust.org/Record/001374288")</f>
        <v>http://catalog.hathitrust.org/Record/001374288</v>
      </c>
      <c r="I1595" s="1" t="s">
        <v>20801</v>
      </c>
      <c r="J1595" s="1">
        <v>1831</v>
      </c>
      <c r="K1595" t="s">
        <v>17366</v>
      </c>
      <c r="L1595" t="s">
        <v>19675</v>
      </c>
    </row>
    <row r="1596" spans="1:12">
      <c r="A1596" t="s">
        <v>17371</v>
      </c>
      <c r="B1596" s="1" t="s">
        <v>17372</v>
      </c>
      <c r="F1596">
        <v>1</v>
      </c>
      <c r="G1596" t="str">
        <f>HYPERLINK("http://babel.hathitrust.org/cgi/pt?id=mdp.39015028538497")</f>
        <v>http://babel.hathitrust.org/cgi/pt?id=mdp.39015028538497</v>
      </c>
      <c r="H1596" t="str">
        <f>HYPERLINK("http://catalog.hathitrust.org/Record/001374311")</f>
        <v>http://catalog.hathitrust.org/Record/001374311</v>
      </c>
      <c r="J1596" s="1">
        <v>1955</v>
      </c>
      <c r="K1596" t="s">
        <v>17373</v>
      </c>
      <c r="L1596" t="s">
        <v>17374</v>
      </c>
    </row>
    <row r="1597" spans="1:12">
      <c r="A1597" t="s">
        <v>17375</v>
      </c>
      <c r="B1597" s="1" t="s">
        <v>17376</v>
      </c>
      <c r="F1597">
        <v>1</v>
      </c>
      <c r="G1597" t="str">
        <f>HYPERLINK("http://babel.hathitrust.org/cgi/pt?id=loc.ark:/13960/t0tq6gz60")</f>
        <v>http://babel.hathitrust.org/cgi/pt?id=loc.ark:/13960/t0tq6gz60</v>
      </c>
      <c r="H1597" t="str">
        <f>HYPERLINK("http://catalog.hathitrust.org/Record/001374362")</f>
        <v>http://catalog.hathitrust.org/Record/001374362</v>
      </c>
      <c r="J1597" s="1">
        <v>1914</v>
      </c>
      <c r="K1597" t="s">
        <v>17377</v>
      </c>
      <c r="L1597" t="s">
        <v>17378</v>
      </c>
    </row>
    <row r="1598" spans="1:12">
      <c r="A1598" t="s">
        <v>17379</v>
      </c>
      <c r="B1598" s="1" t="s">
        <v>17376</v>
      </c>
      <c r="F1598">
        <v>1</v>
      </c>
      <c r="G1598" t="str">
        <f>HYPERLINK("http://babel.hathitrust.org/cgi/pt?id=mdp.39015030940673")</f>
        <v>http://babel.hathitrust.org/cgi/pt?id=mdp.39015030940673</v>
      </c>
      <c r="H1598" t="str">
        <f>HYPERLINK("http://catalog.hathitrust.org/Record/001374362")</f>
        <v>http://catalog.hathitrust.org/Record/001374362</v>
      </c>
      <c r="J1598" s="1">
        <v>1914</v>
      </c>
      <c r="K1598" t="s">
        <v>17377</v>
      </c>
      <c r="L1598" t="s">
        <v>17378</v>
      </c>
    </row>
    <row r="1599" spans="1:12">
      <c r="A1599" t="s">
        <v>17380</v>
      </c>
      <c r="B1599" s="1" t="s">
        <v>17376</v>
      </c>
      <c r="F1599">
        <v>1</v>
      </c>
      <c r="G1599" t="str">
        <f>HYPERLINK("http://babel.hathitrust.org/cgi/pt?id=uc1.b3528495")</f>
        <v>http://babel.hathitrust.org/cgi/pt?id=uc1.b3528495</v>
      </c>
      <c r="H1599" t="str">
        <f>HYPERLINK("http://catalog.hathitrust.org/Record/001374362")</f>
        <v>http://catalog.hathitrust.org/Record/001374362</v>
      </c>
      <c r="I1599" s="1" t="s">
        <v>19240</v>
      </c>
      <c r="J1599" s="1">
        <v>1914</v>
      </c>
      <c r="K1599" t="s">
        <v>17377</v>
      </c>
      <c r="L1599" t="s">
        <v>17378</v>
      </c>
    </row>
    <row r="1600" spans="1:12">
      <c r="A1600" t="s">
        <v>17381</v>
      </c>
      <c r="B1600" s="1" t="s">
        <v>17376</v>
      </c>
      <c r="F1600">
        <v>1</v>
      </c>
      <c r="G1600" t="str">
        <f>HYPERLINK("http://babel.hathitrust.org/cgi/pt?id=uc2.ark:/13960/t7np25x3w")</f>
        <v>http://babel.hathitrust.org/cgi/pt?id=uc2.ark:/13960/t7np25x3w</v>
      </c>
      <c r="H1600" t="str">
        <f>HYPERLINK("http://catalog.hathitrust.org/Record/001374362")</f>
        <v>http://catalog.hathitrust.org/Record/001374362</v>
      </c>
      <c r="I1600" s="1" t="s">
        <v>19240</v>
      </c>
      <c r="J1600" s="1">
        <v>1914</v>
      </c>
      <c r="K1600" t="s">
        <v>17377</v>
      </c>
      <c r="L1600" t="s">
        <v>17378</v>
      </c>
    </row>
    <row r="1601" spans="1:12">
      <c r="A1601" t="s">
        <v>17382</v>
      </c>
      <c r="B1601" s="1" t="s">
        <v>17383</v>
      </c>
      <c r="F1601">
        <v>1</v>
      </c>
      <c r="G1601" t="str">
        <f>HYPERLINK("http://babel.hathitrust.org/cgi/pt?id=mdp.39015066118046")</f>
        <v>http://babel.hathitrust.org/cgi/pt?id=mdp.39015066118046</v>
      </c>
      <c r="H1601" t="str">
        <f>HYPERLINK("http://catalog.hathitrust.org/Record/001374384")</f>
        <v>http://catalog.hathitrust.org/Record/001374384</v>
      </c>
      <c r="J1601" s="1">
        <v>1915</v>
      </c>
      <c r="K1601" t="s">
        <v>17384</v>
      </c>
      <c r="L1601" t="s">
        <v>17385</v>
      </c>
    </row>
    <row r="1602" spans="1:12">
      <c r="A1602" t="s">
        <v>17386</v>
      </c>
      <c r="B1602" s="1" t="s">
        <v>17387</v>
      </c>
      <c r="F1602">
        <v>1</v>
      </c>
      <c r="G1602" t="str">
        <f>HYPERLINK("http://babel.hathitrust.org/cgi/pt?id=uc1.b3527803")</f>
        <v>http://babel.hathitrust.org/cgi/pt?id=uc1.b3527803</v>
      </c>
      <c r="H1602" t="str">
        <f>HYPERLINK("http://catalog.hathitrust.org/Record/001374514")</f>
        <v>http://catalog.hathitrust.org/Record/001374514</v>
      </c>
      <c r="J1602" s="1">
        <v>1958</v>
      </c>
      <c r="K1602" t="s">
        <v>17388</v>
      </c>
      <c r="L1602" t="s">
        <v>17389</v>
      </c>
    </row>
    <row r="1603" spans="1:12">
      <c r="A1603" t="s">
        <v>17390</v>
      </c>
      <c r="B1603" s="1" t="s">
        <v>17391</v>
      </c>
      <c r="F1603">
        <v>1</v>
      </c>
      <c r="G1603" t="str">
        <f>HYPERLINK("http://babel.hathitrust.org/cgi/pt?id=mdp.39015004731900")</f>
        <v>http://babel.hathitrust.org/cgi/pt?id=mdp.39015004731900</v>
      </c>
      <c r="H1603" t="str">
        <f>HYPERLINK("http://catalog.hathitrust.org/Record/001374541")</f>
        <v>http://catalog.hathitrust.org/Record/001374541</v>
      </c>
      <c r="J1603" s="1">
        <v>1963</v>
      </c>
      <c r="K1603" t="s">
        <v>17392</v>
      </c>
      <c r="L1603" t="s">
        <v>17393</v>
      </c>
    </row>
    <row r="1604" spans="1:12">
      <c r="A1604" t="s">
        <v>17394</v>
      </c>
      <c r="B1604" s="1" t="s">
        <v>17395</v>
      </c>
      <c r="F1604">
        <v>1</v>
      </c>
      <c r="G1604" t="str">
        <f>HYPERLINK("http://babel.hathitrust.org/cgi/pt?id=mdp.39015024886809")</f>
        <v>http://babel.hathitrust.org/cgi/pt?id=mdp.39015024886809</v>
      </c>
      <c r="H1604" t="str">
        <f>HYPERLINK("http://catalog.hathitrust.org/Record/001374676")</f>
        <v>http://catalog.hathitrust.org/Record/001374676</v>
      </c>
      <c r="J1604" s="1">
        <v>1953</v>
      </c>
      <c r="K1604" t="s">
        <v>17275</v>
      </c>
      <c r="L1604" t="s">
        <v>17276</v>
      </c>
    </row>
    <row r="1605" spans="1:12">
      <c r="A1605" t="s">
        <v>17277</v>
      </c>
      <c r="B1605" s="1" t="s">
        <v>17395</v>
      </c>
      <c r="F1605">
        <v>1</v>
      </c>
      <c r="G1605" t="str">
        <f>HYPERLINK("http://babel.hathitrust.org/cgi/pt?id=uc1.b3527454")</f>
        <v>http://babel.hathitrust.org/cgi/pt?id=uc1.b3527454</v>
      </c>
      <c r="H1605" t="str">
        <f>HYPERLINK("http://catalog.hathitrust.org/Record/001374676")</f>
        <v>http://catalog.hathitrust.org/Record/001374676</v>
      </c>
      <c r="J1605" s="1">
        <v>1953</v>
      </c>
      <c r="K1605" t="s">
        <v>17275</v>
      </c>
      <c r="L1605" t="s">
        <v>17276</v>
      </c>
    </row>
    <row r="1606" spans="1:12">
      <c r="A1606" t="s">
        <v>17278</v>
      </c>
      <c r="B1606" s="1" t="s">
        <v>17279</v>
      </c>
      <c r="F1606">
        <v>1</v>
      </c>
      <c r="G1606" t="str">
        <f>HYPERLINK("http://babel.hathitrust.org/cgi/pt?id=miun.afw4084.0001.001")</f>
        <v>http://babel.hathitrust.org/cgi/pt?id=miun.afw4084.0001.001</v>
      </c>
      <c r="H1606" t="str">
        <f>HYPERLINK("http://catalog.hathitrust.org/Record/001374683")</f>
        <v>http://catalog.hathitrust.org/Record/001374683</v>
      </c>
      <c r="J1606" s="1">
        <v>1914</v>
      </c>
      <c r="K1606" t="s">
        <v>17280</v>
      </c>
      <c r="L1606" t="s">
        <v>17281</v>
      </c>
    </row>
    <row r="1607" spans="1:12">
      <c r="A1607" t="s">
        <v>17282</v>
      </c>
      <c r="B1607" s="1" t="s">
        <v>17283</v>
      </c>
      <c r="F1607">
        <v>1</v>
      </c>
      <c r="G1607" t="str">
        <f>HYPERLINK("http://babel.hathitrust.org/cgi/pt?id=mdp.39015040775077")</f>
        <v>http://babel.hathitrust.org/cgi/pt?id=mdp.39015040775077</v>
      </c>
      <c r="H1607" t="str">
        <f>HYPERLINK("http://catalog.hathitrust.org/Record/001374744")</f>
        <v>http://catalog.hathitrust.org/Record/001374744</v>
      </c>
      <c r="I1607" s="1" t="s">
        <v>20916</v>
      </c>
      <c r="J1607" s="1">
        <v>1959</v>
      </c>
      <c r="K1607" t="s">
        <v>17284</v>
      </c>
      <c r="L1607" t="s">
        <v>19204</v>
      </c>
    </row>
    <row r="1608" spans="1:12">
      <c r="A1608" t="s">
        <v>17285</v>
      </c>
      <c r="B1608" s="1" t="s">
        <v>17283</v>
      </c>
      <c r="F1608">
        <v>1</v>
      </c>
      <c r="G1608" t="str">
        <f>HYPERLINK("http://babel.hathitrust.org/cgi/pt?id=mdp.39015066082762")</f>
        <v>http://babel.hathitrust.org/cgi/pt?id=mdp.39015066082762</v>
      </c>
      <c r="H1608" t="str">
        <f>HYPERLINK("http://catalog.hathitrust.org/Record/001374744")</f>
        <v>http://catalog.hathitrust.org/Record/001374744</v>
      </c>
      <c r="I1608" s="1" t="s">
        <v>20755</v>
      </c>
      <c r="J1608" s="1">
        <v>1959</v>
      </c>
      <c r="K1608" t="s">
        <v>17284</v>
      </c>
      <c r="L1608" t="s">
        <v>19204</v>
      </c>
    </row>
    <row r="1609" spans="1:12">
      <c r="A1609" t="s">
        <v>17286</v>
      </c>
      <c r="B1609" s="1" t="s">
        <v>17283</v>
      </c>
      <c r="F1609">
        <v>1</v>
      </c>
      <c r="G1609" t="str">
        <f>HYPERLINK("http://babel.hathitrust.org/cgi/pt?id=uc1.b3864930")</f>
        <v>http://babel.hathitrust.org/cgi/pt?id=uc1.b3864930</v>
      </c>
      <c r="H1609" t="str">
        <f>HYPERLINK("http://catalog.hathitrust.org/Record/001374744")</f>
        <v>http://catalog.hathitrust.org/Record/001374744</v>
      </c>
      <c r="I1609" s="1" t="s">
        <v>20799</v>
      </c>
      <c r="J1609" s="1">
        <v>1959</v>
      </c>
      <c r="K1609" t="s">
        <v>17284</v>
      </c>
      <c r="L1609" t="s">
        <v>19204</v>
      </c>
    </row>
    <row r="1610" spans="1:12">
      <c r="A1610" t="s">
        <v>17287</v>
      </c>
      <c r="B1610" s="1" t="s">
        <v>17288</v>
      </c>
      <c r="F1610">
        <v>1</v>
      </c>
      <c r="G1610" t="str">
        <f>HYPERLINK("http://babel.hathitrust.org/cgi/pt?id=mdp.39015016867122")</f>
        <v>http://babel.hathitrust.org/cgi/pt?id=mdp.39015016867122</v>
      </c>
      <c r="H1610" t="str">
        <f>HYPERLINK("http://catalog.hathitrust.org/Record/001374761")</f>
        <v>http://catalog.hathitrust.org/Record/001374761</v>
      </c>
      <c r="J1610" s="1">
        <v>1933</v>
      </c>
      <c r="K1610" t="s">
        <v>17289</v>
      </c>
      <c r="L1610" t="s">
        <v>17290</v>
      </c>
    </row>
    <row r="1611" spans="1:12">
      <c r="A1611" t="s">
        <v>17291</v>
      </c>
      <c r="B1611" s="1" t="s">
        <v>17292</v>
      </c>
      <c r="F1611">
        <v>1</v>
      </c>
      <c r="G1611" t="str">
        <f>HYPERLINK("http://babel.hathitrust.org/cgi/pt?id=mdp.39015031220315")</f>
        <v>http://babel.hathitrust.org/cgi/pt?id=mdp.39015031220315</v>
      </c>
      <c r="H1611" t="str">
        <f>HYPERLINK("http://catalog.hathitrust.org/Record/001374784")</f>
        <v>http://catalog.hathitrust.org/Record/001374784</v>
      </c>
      <c r="J1611" s="1">
        <v>1922</v>
      </c>
      <c r="K1611" t="s">
        <v>17293</v>
      </c>
      <c r="L1611" t="s">
        <v>17294</v>
      </c>
    </row>
    <row r="1612" spans="1:12">
      <c r="A1612" t="s">
        <v>17295</v>
      </c>
      <c r="B1612" s="1" t="s">
        <v>17292</v>
      </c>
      <c r="F1612">
        <v>1</v>
      </c>
      <c r="G1612" t="str">
        <f>HYPERLINK("http://babel.hathitrust.org/cgi/pt?id=uc2.ark:/13960/t9n302457")</f>
        <v>http://babel.hathitrust.org/cgi/pt?id=uc2.ark:/13960/t9n302457</v>
      </c>
      <c r="H1612" t="str">
        <f>HYPERLINK("http://catalog.hathitrust.org/Record/001374784")</f>
        <v>http://catalog.hathitrust.org/Record/001374784</v>
      </c>
      <c r="J1612" s="1">
        <v>1922</v>
      </c>
      <c r="K1612" t="s">
        <v>17293</v>
      </c>
      <c r="L1612" t="s">
        <v>17294</v>
      </c>
    </row>
    <row r="1613" spans="1:12">
      <c r="A1613" t="s">
        <v>17296</v>
      </c>
      <c r="B1613" s="1" t="s">
        <v>17297</v>
      </c>
      <c r="F1613">
        <v>1</v>
      </c>
      <c r="G1613" t="str">
        <f>HYPERLINK("http://babel.hathitrust.org/cgi/pt?id=mdp.39015030940772")</f>
        <v>http://babel.hathitrust.org/cgi/pt?id=mdp.39015030940772</v>
      </c>
      <c r="H1613" t="str">
        <f>HYPERLINK("http://catalog.hathitrust.org/Record/001374885")</f>
        <v>http://catalog.hathitrust.org/Record/001374885</v>
      </c>
      <c r="J1613" s="1">
        <v>1914</v>
      </c>
      <c r="K1613" t="s">
        <v>17298</v>
      </c>
      <c r="L1613" t="s">
        <v>17299</v>
      </c>
    </row>
    <row r="1614" spans="1:12">
      <c r="A1614" t="s">
        <v>17300</v>
      </c>
      <c r="B1614" s="1" t="s">
        <v>17297</v>
      </c>
      <c r="F1614">
        <v>1</v>
      </c>
      <c r="G1614" t="str">
        <f>HYPERLINK("http://babel.hathitrust.org/cgi/pt?id=uc1.b312299")</f>
        <v>http://babel.hathitrust.org/cgi/pt?id=uc1.b312299</v>
      </c>
      <c r="H1614" t="str">
        <f>HYPERLINK("http://catalog.hathitrust.org/Record/001374885")</f>
        <v>http://catalog.hathitrust.org/Record/001374885</v>
      </c>
      <c r="J1614" s="1">
        <v>1914</v>
      </c>
      <c r="K1614" t="s">
        <v>17298</v>
      </c>
      <c r="L1614" t="s">
        <v>17299</v>
      </c>
    </row>
    <row r="1615" spans="1:12">
      <c r="A1615" t="s">
        <v>17301</v>
      </c>
      <c r="B1615" s="1" t="s">
        <v>17302</v>
      </c>
      <c r="E1615">
        <v>1</v>
      </c>
      <c r="G1615" t="str">
        <f>HYPERLINK("http://babel.hathitrust.org/cgi/pt?id=mdp.39015000544059")</f>
        <v>http://babel.hathitrust.org/cgi/pt?id=mdp.39015000544059</v>
      </c>
      <c r="H1615" t="str">
        <f>HYPERLINK("http://catalog.hathitrust.org/Record/001376353")</f>
        <v>http://catalog.hathitrust.org/Record/001376353</v>
      </c>
      <c r="J1615" s="1">
        <v>1889</v>
      </c>
      <c r="K1615" t="s">
        <v>19795</v>
      </c>
      <c r="L1615" t="s">
        <v>19796</v>
      </c>
    </row>
    <row r="1616" spans="1:12">
      <c r="A1616" t="s">
        <v>17303</v>
      </c>
      <c r="B1616" s="1" t="s">
        <v>17304</v>
      </c>
      <c r="E1616">
        <v>1</v>
      </c>
      <c r="G1616" t="str">
        <f>HYPERLINK("http://babel.hathitrust.org/cgi/pt?id=uc1.b167694")</f>
        <v>http://babel.hathitrust.org/cgi/pt?id=uc1.b167694</v>
      </c>
      <c r="H1616" t="str">
        <f>HYPERLINK("http://catalog.hathitrust.org/Record/001376354")</f>
        <v>http://catalog.hathitrust.org/Record/001376354</v>
      </c>
      <c r="J1616" s="1">
        <v>1921</v>
      </c>
      <c r="K1616" t="s">
        <v>17305</v>
      </c>
      <c r="L1616" t="s">
        <v>17306</v>
      </c>
    </row>
    <row r="1617" spans="1:12">
      <c r="A1617" t="s">
        <v>17307</v>
      </c>
      <c r="B1617" s="1" t="s">
        <v>17308</v>
      </c>
      <c r="E1617">
        <v>1</v>
      </c>
      <c r="G1617" t="str">
        <f>HYPERLINK("http://babel.hathitrust.org/cgi/pt?id=uc1.b4104918")</f>
        <v>http://babel.hathitrust.org/cgi/pt?id=uc1.b4104918</v>
      </c>
      <c r="H1617" t="str">
        <f>HYPERLINK("http://catalog.hathitrust.org/Record/001376355")</f>
        <v>http://catalog.hathitrust.org/Record/001376355</v>
      </c>
      <c r="I1617" s="1" t="s">
        <v>20916</v>
      </c>
      <c r="J1617" s="1">
        <v>1900</v>
      </c>
      <c r="K1617" t="s">
        <v>17309</v>
      </c>
      <c r="L1617" t="s">
        <v>17310</v>
      </c>
    </row>
    <row r="1618" spans="1:12">
      <c r="A1618" t="s">
        <v>17311</v>
      </c>
      <c r="B1618" s="1" t="s">
        <v>17308</v>
      </c>
      <c r="E1618">
        <v>1</v>
      </c>
      <c r="G1618" t="str">
        <f>HYPERLINK("http://babel.hathitrust.org/cgi/pt?id=uc1.b4104919")</f>
        <v>http://babel.hathitrust.org/cgi/pt?id=uc1.b4104919</v>
      </c>
      <c r="H1618" t="str">
        <f>HYPERLINK("http://catalog.hathitrust.org/Record/001376355")</f>
        <v>http://catalog.hathitrust.org/Record/001376355</v>
      </c>
      <c r="I1618" s="1" t="s">
        <v>20755</v>
      </c>
      <c r="J1618" s="1">
        <v>1900</v>
      </c>
      <c r="K1618" t="s">
        <v>17309</v>
      </c>
      <c r="L1618" t="s">
        <v>17310</v>
      </c>
    </row>
    <row r="1619" spans="1:12">
      <c r="A1619" t="s">
        <v>17312</v>
      </c>
      <c r="B1619" s="1" t="s">
        <v>17313</v>
      </c>
      <c r="F1619">
        <v>1</v>
      </c>
      <c r="G1619" t="str">
        <f>HYPERLINK("http://babel.hathitrust.org/cgi/pt?id=mdp.39015007059234")</f>
        <v>http://babel.hathitrust.org/cgi/pt?id=mdp.39015007059234</v>
      </c>
      <c r="H1619" t="str">
        <f>HYPERLINK("http://catalog.hathitrust.org/Record/001376775")</f>
        <v>http://catalog.hathitrust.org/Record/001376775</v>
      </c>
      <c r="J1619" s="1">
        <v>1920</v>
      </c>
      <c r="K1619" t="s">
        <v>17314</v>
      </c>
      <c r="L1619" t="s">
        <v>17315</v>
      </c>
    </row>
    <row r="1620" spans="1:12">
      <c r="A1620" t="s">
        <v>17316</v>
      </c>
      <c r="B1620" s="1" t="s">
        <v>17317</v>
      </c>
      <c r="E1620">
        <v>1</v>
      </c>
      <c r="G1620" t="str">
        <f>HYPERLINK("http://babel.hathitrust.org/cgi/pt?id=uc1.$b375779")</f>
        <v>http://babel.hathitrust.org/cgi/pt?id=uc1.$b375779</v>
      </c>
      <c r="H1620" t="str">
        <f>HYPERLINK("http://catalog.hathitrust.org/Record/001379154")</f>
        <v>http://catalog.hathitrust.org/Record/001379154</v>
      </c>
      <c r="I1620" s="1" t="s">
        <v>20796</v>
      </c>
      <c r="J1620" s="1">
        <v>1887</v>
      </c>
      <c r="K1620" t="s">
        <v>17318</v>
      </c>
      <c r="L1620" t="s">
        <v>17319</v>
      </c>
    </row>
    <row r="1621" spans="1:12">
      <c r="A1621" t="s">
        <v>17320</v>
      </c>
      <c r="B1621" s="1" t="s">
        <v>17317</v>
      </c>
      <c r="E1621">
        <v>1</v>
      </c>
      <c r="G1621" t="str">
        <f>HYPERLINK("http://babel.hathitrust.org/cgi/pt?id=uc1.b275098")</f>
        <v>http://babel.hathitrust.org/cgi/pt?id=uc1.b275098</v>
      </c>
      <c r="H1621" t="str">
        <f>HYPERLINK("http://catalog.hathitrust.org/Record/001379154")</f>
        <v>http://catalog.hathitrust.org/Record/001379154</v>
      </c>
      <c r="I1621" s="1" t="s">
        <v>20799</v>
      </c>
      <c r="J1621" s="1">
        <v>1887</v>
      </c>
      <c r="K1621" t="s">
        <v>17318</v>
      </c>
      <c r="L1621" t="s">
        <v>17319</v>
      </c>
    </row>
    <row r="1622" spans="1:12">
      <c r="A1622" t="s">
        <v>17321</v>
      </c>
      <c r="B1622" s="1" t="s">
        <v>17322</v>
      </c>
      <c r="E1622">
        <v>1</v>
      </c>
      <c r="G1622" t="str">
        <f>HYPERLINK("http://babel.hathitrust.org/cgi/pt?id=mdp.39015065773866")</f>
        <v>http://babel.hathitrust.org/cgi/pt?id=mdp.39015065773866</v>
      </c>
      <c r="H1622" t="str">
        <f>HYPERLINK("http://catalog.hathitrust.org/Record/001392097")</f>
        <v>http://catalog.hathitrust.org/Record/001392097</v>
      </c>
      <c r="J1622" s="1">
        <v>1893</v>
      </c>
      <c r="K1622" t="s">
        <v>17323</v>
      </c>
      <c r="L1622" t="s">
        <v>19253</v>
      </c>
    </row>
    <row r="1623" spans="1:12">
      <c r="A1623" t="s">
        <v>17324</v>
      </c>
      <c r="B1623" s="1" t="s">
        <v>17325</v>
      </c>
      <c r="E1623">
        <v>1</v>
      </c>
      <c r="G1623" t="str">
        <f>HYPERLINK("http://babel.hathitrust.org/cgi/pt?id=uc2.ark:/13960/t79s1t89p")</f>
        <v>http://babel.hathitrust.org/cgi/pt?id=uc2.ark:/13960/t79s1t89p</v>
      </c>
      <c r="H1623" t="str">
        <f>HYPERLINK("http://catalog.hathitrust.org/Record/001392098")</f>
        <v>http://catalog.hathitrust.org/Record/001392098</v>
      </c>
      <c r="J1623" s="1">
        <v>1911</v>
      </c>
      <c r="K1623" t="s">
        <v>17326</v>
      </c>
      <c r="L1623" t="s">
        <v>19253</v>
      </c>
    </row>
    <row r="1624" spans="1:12">
      <c r="A1624" t="s">
        <v>17327</v>
      </c>
      <c r="B1624" s="1" t="s">
        <v>17328</v>
      </c>
      <c r="E1624">
        <v>1</v>
      </c>
      <c r="G1624" t="str">
        <f>HYPERLINK("http://babel.hathitrust.org/cgi/pt?id=mdp.39015059372667")</f>
        <v>http://babel.hathitrust.org/cgi/pt?id=mdp.39015059372667</v>
      </c>
      <c r="H1624" t="str">
        <f>HYPERLINK("http://catalog.hathitrust.org/Record/001397715")</f>
        <v>http://catalog.hathitrust.org/Record/001397715</v>
      </c>
      <c r="J1624" s="1">
        <v>1854</v>
      </c>
      <c r="K1624" t="s">
        <v>17329</v>
      </c>
      <c r="L1624" t="s">
        <v>17330</v>
      </c>
    </row>
    <row r="1625" spans="1:12">
      <c r="A1625" t="s">
        <v>17331</v>
      </c>
      <c r="B1625" s="1" t="s">
        <v>17223</v>
      </c>
      <c r="F1625">
        <v>1</v>
      </c>
      <c r="G1625" t="str">
        <f>HYPERLINK("http://babel.hathitrust.org/cgi/pt?id=mdp.39015011268276")</f>
        <v>http://babel.hathitrust.org/cgi/pt?id=mdp.39015011268276</v>
      </c>
      <c r="H1625" t="str">
        <f>HYPERLINK("http://catalog.hathitrust.org/Record/001397743")</f>
        <v>http://catalog.hathitrust.org/Record/001397743</v>
      </c>
      <c r="J1625" s="1">
        <v>1962</v>
      </c>
      <c r="K1625" t="s">
        <v>17224</v>
      </c>
      <c r="L1625" t="s">
        <v>17225</v>
      </c>
    </row>
    <row r="1626" spans="1:12">
      <c r="A1626" t="s">
        <v>17226</v>
      </c>
      <c r="B1626" s="1" t="s">
        <v>17227</v>
      </c>
      <c r="F1626">
        <v>1</v>
      </c>
      <c r="G1626" t="str">
        <f>HYPERLINK("http://babel.hathitrust.org/cgi/pt?id=uc1.b3861024")</f>
        <v>http://babel.hathitrust.org/cgi/pt?id=uc1.b3861024</v>
      </c>
      <c r="H1626" t="str">
        <f>HYPERLINK("http://catalog.hathitrust.org/Record/001397770")</f>
        <v>http://catalog.hathitrust.org/Record/001397770</v>
      </c>
      <c r="J1626" s="1">
        <v>1922</v>
      </c>
      <c r="K1626" t="s">
        <v>17228</v>
      </c>
      <c r="L1626" t="s">
        <v>19321</v>
      </c>
    </row>
    <row r="1627" spans="1:12">
      <c r="A1627" t="s">
        <v>17229</v>
      </c>
      <c r="B1627" s="1" t="s">
        <v>17230</v>
      </c>
      <c r="F1627">
        <v>1</v>
      </c>
      <c r="G1627" t="str">
        <f>HYPERLINK("http://babel.hathitrust.org/cgi/pt?id=loc.ark:/13960/t05x2xb7f")</f>
        <v>http://babel.hathitrust.org/cgi/pt?id=loc.ark:/13960/t05x2xb7f</v>
      </c>
      <c r="H1627" t="str">
        <f>HYPERLINK("http://catalog.hathitrust.org/Record/001397779")</f>
        <v>http://catalog.hathitrust.org/Record/001397779</v>
      </c>
      <c r="J1627" s="1">
        <v>1891</v>
      </c>
      <c r="K1627" t="s">
        <v>20830</v>
      </c>
      <c r="L1627" t="s">
        <v>20831</v>
      </c>
    </row>
    <row r="1628" spans="1:12">
      <c r="A1628" t="s">
        <v>17231</v>
      </c>
      <c r="B1628" s="1" t="s">
        <v>17230</v>
      </c>
      <c r="F1628">
        <v>1</v>
      </c>
      <c r="G1628" t="str">
        <f>HYPERLINK("http://babel.hathitrust.org/cgi/pt?id=mdp.39015031008025")</f>
        <v>http://babel.hathitrust.org/cgi/pt?id=mdp.39015031008025</v>
      </c>
      <c r="H1628" t="str">
        <f>HYPERLINK("http://catalog.hathitrust.org/Record/001397779")</f>
        <v>http://catalog.hathitrust.org/Record/001397779</v>
      </c>
      <c r="J1628" s="1">
        <v>1891</v>
      </c>
      <c r="K1628" t="s">
        <v>20830</v>
      </c>
      <c r="L1628" t="s">
        <v>20831</v>
      </c>
    </row>
    <row r="1629" spans="1:12">
      <c r="A1629" t="s">
        <v>17232</v>
      </c>
      <c r="B1629" s="1" t="s">
        <v>17230</v>
      </c>
      <c r="F1629">
        <v>1</v>
      </c>
      <c r="G1629" t="str">
        <f>HYPERLINK("http://babel.hathitrust.org/cgi/pt?id=nyp.33433074840087")</f>
        <v>http://babel.hathitrust.org/cgi/pt?id=nyp.33433074840087</v>
      </c>
      <c r="H1629" t="str">
        <f>HYPERLINK("http://catalog.hathitrust.org/Record/001397779")</f>
        <v>http://catalog.hathitrust.org/Record/001397779</v>
      </c>
      <c r="J1629" s="1">
        <v>1891</v>
      </c>
      <c r="K1629" t="s">
        <v>20830</v>
      </c>
      <c r="L1629" t="s">
        <v>20831</v>
      </c>
    </row>
    <row r="1630" spans="1:12">
      <c r="A1630" t="s">
        <v>17233</v>
      </c>
      <c r="B1630" s="1" t="s">
        <v>17234</v>
      </c>
      <c r="F1630">
        <v>1</v>
      </c>
      <c r="G1630" t="str">
        <f>HYPERLINK("http://babel.hathitrust.org/cgi/pt?id=mdp.39015031008033")</f>
        <v>http://babel.hathitrust.org/cgi/pt?id=mdp.39015031008033</v>
      </c>
      <c r="H1630" t="str">
        <f>HYPERLINK("http://catalog.hathitrust.org/Record/001397780")</f>
        <v>http://catalog.hathitrust.org/Record/001397780</v>
      </c>
      <c r="J1630" s="1">
        <v>1917</v>
      </c>
      <c r="K1630" t="s">
        <v>17235</v>
      </c>
      <c r="L1630" t="s">
        <v>17236</v>
      </c>
    </row>
    <row r="1631" spans="1:12">
      <c r="A1631" t="s">
        <v>17237</v>
      </c>
      <c r="B1631" s="1" t="s">
        <v>17238</v>
      </c>
      <c r="E1631">
        <v>1</v>
      </c>
      <c r="G1631" t="str">
        <f>HYPERLINK("http://babel.hathitrust.org/cgi/pt?id=mdp.39015009203343")</f>
        <v>http://babel.hathitrust.org/cgi/pt?id=mdp.39015009203343</v>
      </c>
      <c r="H1631" t="str">
        <f>HYPERLINK("http://catalog.hathitrust.org/Record/001397859")</f>
        <v>http://catalog.hathitrust.org/Record/001397859</v>
      </c>
      <c r="J1631" s="1">
        <v>1901</v>
      </c>
      <c r="K1631" t="s">
        <v>17239</v>
      </c>
    </row>
    <row r="1632" spans="1:12">
      <c r="A1632" t="s">
        <v>17240</v>
      </c>
      <c r="B1632" s="1" t="s">
        <v>17241</v>
      </c>
      <c r="F1632">
        <v>1</v>
      </c>
      <c r="G1632" t="str">
        <f>HYPERLINK("http://babel.hathitrust.org/cgi/pt?id=mdp.39015001599813")</f>
        <v>http://babel.hathitrust.org/cgi/pt?id=mdp.39015001599813</v>
      </c>
      <c r="H1632" t="str">
        <f>HYPERLINK("http://catalog.hathitrust.org/Record/001398411")</f>
        <v>http://catalog.hathitrust.org/Record/001398411</v>
      </c>
      <c r="J1632" s="1">
        <v>1912</v>
      </c>
      <c r="K1632" t="s">
        <v>17242</v>
      </c>
      <c r="L1632" t="s">
        <v>17243</v>
      </c>
    </row>
    <row r="1633" spans="1:12">
      <c r="A1633" t="s">
        <v>17244</v>
      </c>
      <c r="B1633" s="1" t="s">
        <v>17245</v>
      </c>
      <c r="E1633">
        <v>1</v>
      </c>
      <c r="G1633" t="str">
        <f>HYPERLINK("http://babel.hathitrust.org/cgi/pt?id=mdp.39015073326483")</f>
        <v>http://babel.hathitrust.org/cgi/pt?id=mdp.39015073326483</v>
      </c>
      <c r="H1633" t="str">
        <f>HYPERLINK("http://catalog.hathitrust.org/Record/001413164")</f>
        <v>http://catalog.hathitrust.org/Record/001413164</v>
      </c>
      <c r="J1633" s="1">
        <v>1891</v>
      </c>
      <c r="K1633" t="s">
        <v>17246</v>
      </c>
      <c r="L1633" t="s">
        <v>17247</v>
      </c>
    </row>
    <row r="1634" spans="1:12">
      <c r="A1634" t="s">
        <v>17248</v>
      </c>
      <c r="B1634" s="1" t="s">
        <v>17249</v>
      </c>
      <c r="E1634">
        <v>1</v>
      </c>
      <c r="G1634" t="str">
        <f>HYPERLINK("http://babel.hathitrust.org/cgi/pt?id=njp.32101068767431")</f>
        <v>http://babel.hathitrust.org/cgi/pt?id=njp.32101068767431</v>
      </c>
      <c r="H1634" t="str">
        <f>HYPERLINK("http://catalog.hathitrust.org/Record/001413176")</f>
        <v>http://catalog.hathitrust.org/Record/001413176</v>
      </c>
      <c r="J1634" s="1">
        <v>1915</v>
      </c>
      <c r="K1634" t="s">
        <v>17250</v>
      </c>
      <c r="L1634" t="s">
        <v>17251</v>
      </c>
    </row>
    <row r="1635" spans="1:12">
      <c r="A1635" t="s">
        <v>17252</v>
      </c>
      <c r="B1635" s="1" t="s">
        <v>17253</v>
      </c>
      <c r="F1635">
        <v>1</v>
      </c>
      <c r="G1635" t="str">
        <f>HYPERLINK("http://babel.hathitrust.org/cgi/pt?id=mdp.39015034585532")</f>
        <v>http://babel.hathitrust.org/cgi/pt?id=mdp.39015034585532</v>
      </c>
      <c r="H1635" t="str">
        <f>HYPERLINK("http://catalog.hathitrust.org/Record/001416811")</f>
        <v>http://catalog.hathitrust.org/Record/001416811</v>
      </c>
      <c r="J1635" s="1">
        <v>1938</v>
      </c>
      <c r="K1635" t="s">
        <v>17254</v>
      </c>
      <c r="L1635" t="s">
        <v>17255</v>
      </c>
    </row>
    <row r="1636" spans="1:12">
      <c r="A1636" t="s">
        <v>17256</v>
      </c>
      <c r="B1636" s="1" t="s">
        <v>17253</v>
      </c>
      <c r="F1636">
        <v>1</v>
      </c>
      <c r="G1636" t="str">
        <f>HYPERLINK("http://babel.hathitrust.org/cgi/pt?id=uc1.b4512105")</f>
        <v>http://babel.hathitrust.org/cgi/pt?id=uc1.b4512105</v>
      </c>
      <c r="H1636" t="str">
        <f>HYPERLINK("http://catalog.hathitrust.org/Record/001416811")</f>
        <v>http://catalog.hathitrust.org/Record/001416811</v>
      </c>
      <c r="J1636" s="1">
        <v>1938</v>
      </c>
      <c r="K1636" t="s">
        <v>17254</v>
      </c>
      <c r="L1636" t="s">
        <v>17255</v>
      </c>
    </row>
    <row r="1637" spans="1:12">
      <c r="A1637" t="s">
        <v>17257</v>
      </c>
      <c r="B1637" s="1" t="s">
        <v>17258</v>
      </c>
      <c r="E1637">
        <v>1</v>
      </c>
      <c r="G1637" t="str">
        <f>HYPERLINK("http://babel.hathitrust.org/cgi/pt?id=umn.31951002185365d")</f>
        <v>http://babel.hathitrust.org/cgi/pt?id=umn.31951002185365d</v>
      </c>
      <c r="H1637" t="str">
        <f>HYPERLINK("http://catalog.hathitrust.org/Record/001417041")</f>
        <v>http://catalog.hathitrust.org/Record/001417041</v>
      </c>
      <c r="I1637" s="1" t="s">
        <v>20920</v>
      </c>
      <c r="J1637" s="1">
        <v>1839</v>
      </c>
      <c r="K1637" t="s">
        <v>17259</v>
      </c>
      <c r="L1637" t="s">
        <v>20485</v>
      </c>
    </row>
    <row r="1638" spans="1:12">
      <c r="A1638" t="s">
        <v>17260</v>
      </c>
      <c r="B1638" s="1" t="s">
        <v>17258</v>
      </c>
      <c r="E1638">
        <v>1</v>
      </c>
      <c r="G1638" t="str">
        <f>HYPERLINK("http://babel.hathitrust.org/cgi/pt?id=umn.31951002185366b")</f>
        <v>http://babel.hathitrust.org/cgi/pt?id=umn.31951002185366b</v>
      </c>
      <c r="H1638" t="str">
        <f>HYPERLINK("http://catalog.hathitrust.org/Record/001417041")</f>
        <v>http://catalog.hathitrust.org/Record/001417041</v>
      </c>
      <c r="I1638" s="1" t="s">
        <v>20679</v>
      </c>
      <c r="J1638" s="1">
        <v>1839</v>
      </c>
      <c r="K1638" t="s">
        <v>17259</v>
      </c>
      <c r="L1638" t="s">
        <v>20485</v>
      </c>
    </row>
    <row r="1639" spans="1:12">
      <c r="A1639" t="s">
        <v>17261</v>
      </c>
      <c r="B1639" s="1" t="s">
        <v>17262</v>
      </c>
      <c r="E1639">
        <v>1</v>
      </c>
      <c r="G1639" t="str">
        <f>HYPERLINK("http://babel.hathitrust.org/cgi/pt?id=mdp.39015027552432")</f>
        <v>http://babel.hathitrust.org/cgi/pt?id=mdp.39015027552432</v>
      </c>
      <c r="H1639" t="str">
        <f>HYPERLINK("http://catalog.hathitrust.org/Record/001418165")</f>
        <v>http://catalog.hathitrust.org/Record/001418165</v>
      </c>
      <c r="J1639" s="1">
        <v>1915</v>
      </c>
      <c r="K1639" t="s">
        <v>17263</v>
      </c>
      <c r="L1639" t="s">
        <v>17406</v>
      </c>
    </row>
    <row r="1640" spans="1:12">
      <c r="A1640" t="s">
        <v>17264</v>
      </c>
      <c r="B1640" s="1" t="s">
        <v>17265</v>
      </c>
      <c r="D1640">
        <v>1</v>
      </c>
      <c r="G1640" t="str">
        <f>HYPERLINK("http://babel.hathitrust.org/cgi/pt?id=mdp.39015004794387")</f>
        <v>http://babel.hathitrust.org/cgi/pt?id=mdp.39015004794387</v>
      </c>
      <c r="H1640" t="str">
        <f>HYPERLINK("http://catalog.hathitrust.org/Record/001418198")</f>
        <v>http://catalog.hathitrust.org/Record/001418198</v>
      </c>
      <c r="J1640" s="1">
        <v>1884</v>
      </c>
      <c r="K1640" t="s">
        <v>17266</v>
      </c>
      <c r="L1640" t="s">
        <v>20256</v>
      </c>
    </row>
    <row r="1641" spans="1:12">
      <c r="A1641" t="s">
        <v>17267</v>
      </c>
      <c r="B1641" s="1" t="s">
        <v>17268</v>
      </c>
      <c r="D1641">
        <v>1</v>
      </c>
      <c r="G1641" t="str">
        <f>HYPERLINK("http://babel.hathitrust.org/cgi/pt?id=mdp.39015065700703")</f>
        <v>http://babel.hathitrust.org/cgi/pt?id=mdp.39015065700703</v>
      </c>
      <c r="H1641" t="str">
        <f>HYPERLINK("http://catalog.hathitrust.org/Record/001418203")</f>
        <v>http://catalog.hathitrust.org/Record/001418203</v>
      </c>
      <c r="J1641" s="1">
        <v>1905</v>
      </c>
      <c r="K1641" t="s">
        <v>17269</v>
      </c>
      <c r="L1641" t="s">
        <v>20256</v>
      </c>
    </row>
    <row r="1642" spans="1:12">
      <c r="A1642" t="s">
        <v>17270</v>
      </c>
      <c r="B1642" s="1" t="s">
        <v>17271</v>
      </c>
      <c r="D1642">
        <v>1</v>
      </c>
      <c r="G1642" t="str">
        <f>HYPERLINK("http://babel.hathitrust.org/cgi/pt?id=uc1.b27214")</f>
        <v>http://babel.hathitrust.org/cgi/pt?id=uc1.b27214</v>
      </c>
      <c r="H1642" t="str">
        <f>HYPERLINK("http://catalog.hathitrust.org/Record/001421970")</f>
        <v>http://catalog.hathitrust.org/Record/001421970</v>
      </c>
      <c r="J1642" s="1">
        <v>1893</v>
      </c>
      <c r="K1642" t="s">
        <v>17272</v>
      </c>
      <c r="L1642" t="s">
        <v>20925</v>
      </c>
    </row>
    <row r="1643" spans="1:12">
      <c r="A1643" t="s">
        <v>17273</v>
      </c>
      <c r="B1643" s="1" t="s">
        <v>17274</v>
      </c>
      <c r="F1643">
        <v>1</v>
      </c>
      <c r="G1643" t="str">
        <f>HYPERLINK("http://babel.hathitrust.org/cgi/pt?id=nyp.33433074835004")</f>
        <v>http://babel.hathitrust.org/cgi/pt?id=nyp.33433074835004</v>
      </c>
      <c r="H1643" t="str">
        <f>HYPERLINK("http://catalog.hathitrust.org/Record/001422830")</f>
        <v>http://catalog.hathitrust.org/Record/001422830</v>
      </c>
      <c r="J1643" s="1">
        <v>1785</v>
      </c>
      <c r="K1643" t="s">
        <v>17150</v>
      </c>
      <c r="L1643" t="s">
        <v>17151</v>
      </c>
    </row>
    <row r="1644" spans="1:12">
      <c r="A1644" t="s">
        <v>17152</v>
      </c>
      <c r="B1644" s="1" t="s">
        <v>17274</v>
      </c>
      <c r="F1644">
        <v>1</v>
      </c>
      <c r="G1644" t="str">
        <f>HYPERLINK("http://babel.hathitrust.org/cgi/pt?id=nyp.33433082508734")</f>
        <v>http://babel.hathitrust.org/cgi/pt?id=nyp.33433082508734</v>
      </c>
      <c r="H1644" t="str">
        <f>HYPERLINK("http://catalog.hathitrust.org/Record/001422830")</f>
        <v>http://catalog.hathitrust.org/Record/001422830</v>
      </c>
      <c r="J1644" s="1">
        <v>1785</v>
      </c>
      <c r="K1644" t="s">
        <v>17150</v>
      </c>
      <c r="L1644" t="s">
        <v>17151</v>
      </c>
    </row>
    <row r="1645" spans="1:12">
      <c r="A1645" t="s">
        <v>17153</v>
      </c>
      <c r="B1645" s="1" t="s">
        <v>17154</v>
      </c>
      <c r="F1645">
        <v>1</v>
      </c>
      <c r="G1645" t="str">
        <f>HYPERLINK("http://babel.hathitrust.org/cgi/pt?id=mdp.39015024521638")</f>
        <v>http://babel.hathitrust.org/cgi/pt?id=mdp.39015024521638</v>
      </c>
      <c r="H1645" t="str">
        <f>HYPERLINK("http://catalog.hathitrust.org/Record/001423804")</f>
        <v>http://catalog.hathitrust.org/Record/001423804</v>
      </c>
      <c r="J1645" s="1">
        <v>1904</v>
      </c>
      <c r="K1645" t="s">
        <v>17155</v>
      </c>
      <c r="L1645" t="s">
        <v>17156</v>
      </c>
    </row>
    <row r="1646" spans="1:12">
      <c r="A1646" t="s">
        <v>17157</v>
      </c>
      <c r="B1646" s="1" t="s">
        <v>17158</v>
      </c>
      <c r="F1646">
        <v>1</v>
      </c>
      <c r="G1646" t="str">
        <f>HYPERLINK("http://babel.hathitrust.org/cgi/pt?id=uc2.ark:/13960/t7tm72p95")</f>
        <v>http://babel.hathitrust.org/cgi/pt?id=uc2.ark:/13960/t7tm72p95</v>
      </c>
      <c r="H1646" t="str">
        <f>HYPERLINK("http://catalog.hathitrust.org/Record/001424849")</f>
        <v>http://catalog.hathitrust.org/Record/001424849</v>
      </c>
      <c r="J1646" s="1">
        <v>1891</v>
      </c>
      <c r="K1646" t="s">
        <v>17159</v>
      </c>
      <c r="L1646" t="s">
        <v>20670</v>
      </c>
    </row>
    <row r="1647" spans="1:12">
      <c r="A1647" t="s">
        <v>17160</v>
      </c>
      <c r="B1647" s="1" t="s">
        <v>17161</v>
      </c>
      <c r="E1647">
        <v>1</v>
      </c>
      <c r="G1647" t="str">
        <f>HYPERLINK("http://babel.hathitrust.org/cgi/pt?id=mdp.39015014699634")</f>
        <v>http://babel.hathitrust.org/cgi/pt?id=mdp.39015014699634</v>
      </c>
      <c r="H1647" t="str">
        <f>HYPERLINK("http://catalog.hathitrust.org/Record/001425894")</f>
        <v>http://catalog.hathitrust.org/Record/001425894</v>
      </c>
      <c r="J1647" s="1">
        <v>1896</v>
      </c>
      <c r="K1647" t="s">
        <v>17162</v>
      </c>
      <c r="L1647" t="s">
        <v>20331</v>
      </c>
    </row>
    <row r="1648" spans="1:12">
      <c r="A1648" t="s">
        <v>17163</v>
      </c>
      <c r="B1648" s="1" t="s">
        <v>17164</v>
      </c>
      <c r="F1648">
        <v>1</v>
      </c>
      <c r="G1648" t="str">
        <f>HYPERLINK("http://babel.hathitrust.org/cgi/pt?id=mdp.39015030595063")</f>
        <v>http://babel.hathitrust.org/cgi/pt?id=mdp.39015030595063</v>
      </c>
      <c r="H1648" t="str">
        <f>HYPERLINK("http://catalog.hathitrust.org/Record/001426862")</f>
        <v>http://catalog.hathitrust.org/Record/001426862</v>
      </c>
      <c r="J1648" s="1">
        <v>1863</v>
      </c>
      <c r="K1648" t="s">
        <v>17165</v>
      </c>
      <c r="L1648" t="s">
        <v>20065</v>
      </c>
    </row>
    <row r="1649" spans="1:12">
      <c r="A1649" t="s">
        <v>17166</v>
      </c>
      <c r="B1649" s="1" t="s">
        <v>17167</v>
      </c>
      <c r="F1649">
        <v>1</v>
      </c>
      <c r="G1649" t="str">
        <f>HYPERLINK("http://babel.hathitrust.org/cgi/pt?id=uc2.ark:/13960/t78s4p89v")</f>
        <v>http://babel.hathitrust.org/cgi/pt?id=uc2.ark:/13960/t78s4p89v</v>
      </c>
      <c r="H1649" t="str">
        <f>HYPERLINK("http://catalog.hathitrust.org/Record/001427314")</f>
        <v>http://catalog.hathitrust.org/Record/001427314</v>
      </c>
      <c r="J1649" s="1">
        <v>1818</v>
      </c>
      <c r="K1649" t="s">
        <v>17168</v>
      </c>
      <c r="L1649" t="s">
        <v>17169</v>
      </c>
    </row>
    <row r="1650" spans="1:12">
      <c r="A1650" t="s">
        <v>17170</v>
      </c>
      <c r="B1650" s="1" t="s">
        <v>17171</v>
      </c>
      <c r="D1650">
        <v>1</v>
      </c>
      <c r="G1650" t="str">
        <f>HYPERLINK("http://babel.hathitrust.org/cgi/pt?id=mdp.39015003296970")</f>
        <v>http://babel.hathitrust.org/cgi/pt?id=mdp.39015003296970</v>
      </c>
      <c r="H1650" t="str">
        <f t="shared" ref="H1650:H1655" si="32">HYPERLINK("http://catalog.hathitrust.org/Record/001434875")</f>
        <v>http://catalog.hathitrust.org/Record/001434875</v>
      </c>
      <c r="I1650" s="1" t="s">
        <v>20681</v>
      </c>
      <c r="J1650" s="1">
        <v>1774</v>
      </c>
      <c r="K1650" t="s">
        <v>17172</v>
      </c>
      <c r="L1650" t="s">
        <v>17173</v>
      </c>
    </row>
    <row r="1651" spans="1:12">
      <c r="A1651" t="s">
        <v>17174</v>
      </c>
      <c r="B1651" s="1" t="s">
        <v>17171</v>
      </c>
      <c r="D1651">
        <v>1</v>
      </c>
      <c r="G1651" t="str">
        <f>HYPERLINK("http://babel.hathitrust.org/cgi/pt?id=mdp.39015003296996")</f>
        <v>http://babel.hathitrust.org/cgi/pt?id=mdp.39015003296996</v>
      </c>
      <c r="H1651" t="str">
        <f t="shared" si="32"/>
        <v>http://catalog.hathitrust.org/Record/001434875</v>
      </c>
      <c r="I1651" s="1" t="s">
        <v>21018</v>
      </c>
      <c r="J1651" s="1">
        <v>1774</v>
      </c>
      <c r="K1651" t="s">
        <v>17172</v>
      </c>
      <c r="L1651" t="s">
        <v>17173</v>
      </c>
    </row>
    <row r="1652" spans="1:12">
      <c r="A1652" t="s">
        <v>17175</v>
      </c>
      <c r="B1652" s="1" t="s">
        <v>17171</v>
      </c>
      <c r="D1652">
        <v>1</v>
      </c>
      <c r="G1652" t="str">
        <f>HYPERLINK("http://babel.hathitrust.org/cgi/pt?id=mdp.39015003297200")</f>
        <v>http://babel.hathitrust.org/cgi/pt?id=mdp.39015003297200</v>
      </c>
      <c r="H1652" t="str">
        <f t="shared" si="32"/>
        <v>http://catalog.hathitrust.org/Record/001434875</v>
      </c>
      <c r="I1652" s="1" t="s">
        <v>20916</v>
      </c>
      <c r="J1652" s="1">
        <v>1774</v>
      </c>
      <c r="K1652" t="s">
        <v>17172</v>
      </c>
      <c r="L1652" t="s">
        <v>17173</v>
      </c>
    </row>
    <row r="1653" spans="1:12">
      <c r="A1653" t="s">
        <v>17176</v>
      </c>
      <c r="B1653" s="1" t="s">
        <v>17171</v>
      </c>
      <c r="D1653">
        <v>1</v>
      </c>
      <c r="G1653" t="str">
        <f>HYPERLINK("http://babel.hathitrust.org/cgi/pt?id=mdp.39015003297226")</f>
        <v>http://babel.hathitrust.org/cgi/pt?id=mdp.39015003297226</v>
      </c>
      <c r="H1653" t="str">
        <f t="shared" si="32"/>
        <v>http://catalog.hathitrust.org/Record/001434875</v>
      </c>
      <c r="I1653" s="1" t="s">
        <v>20755</v>
      </c>
      <c r="J1653" s="1">
        <v>1774</v>
      </c>
      <c r="K1653" t="s">
        <v>17172</v>
      </c>
      <c r="L1653" t="s">
        <v>17173</v>
      </c>
    </row>
    <row r="1654" spans="1:12">
      <c r="A1654" t="s">
        <v>17177</v>
      </c>
      <c r="B1654" s="1" t="s">
        <v>17171</v>
      </c>
      <c r="D1654">
        <v>1</v>
      </c>
      <c r="G1654" t="str">
        <f>HYPERLINK("http://babel.hathitrust.org/cgi/pt?id=mdp.39015003297242")</f>
        <v>http://babel.hathitrust.org/cgi/pt?id=mdp.39015003297242</v>
      </c>
      <c r="H1654" t="str">
        <f t="shared" si="32"/>
        <v>http://catalog.hathitrust.org/Record/001434875</v>
      </c>
      <c r="I1654" s="1" t="s">
        <v>20920</v>
      </c>
      <c r="J1654" s="1">
        <v>1774</v>
      </c>
      <c r="K1654" t="s">
        <v>17172</v>
      </c>
      <c r="L1654" t="s">
        <v>17173</v>
      </c>
    </row>
    <row r="1655" spans="1:12">
      <c r="A1655" t="s">
        <v>17178</v>
      </c>
      <c r="B1655" s="1" t="s">
        <v>17171</v>
      </c>
      <c r="D1655">
        <v>1</v>
      </c>
      <c r="G1655" t="str">
        <f>HYPERLINK("http://babel.hathitrust.org/cgi/pt?id=mdp.39015003297267")</f>
        <v>http://babel.hathitrust.org/cgi/pt?id=mdp.39015003297267</v>
      </c>
      <c r="H1655" t="str">
        <f t="shared" si="32"/>
        <v>http://catalog.hathitrust.org/Record/001434875</v>
      </c>
      <c r="I1655" s="1" t="s">
        <v>20679</v>
      </c>
      <c r="J1655" s="1">
        <v>1774</v>
      </c>
      <c r="K1655" t="s">
        <v>17172</v>
      </c>
      <c r="L1655" t="s">
        <v>17173</v>
      </c>
    </row>
    <row r="1656" spans="1:12">
      <c r="A1656" t="s">
        <v>17179</v>
      </c>
      <c r="B1656" s="1" t="s">
        <v>17180</v>
      </c>
      <c r="F1656">
        <v>1</v>
      </c>
      <c r="G1656" t="str">
        <f>HYPERLINK("http://babel.hathitrust.org/cgi/pt?id=mdp.39015055278918")</f>
        <v>http://babel.hathitrust.org/cgi/pt?id=mdp.39015055278918</v>
      </c>
      <c r="H1656" t="str">
        <f>HYPERLINK("http://catalog.hathitrust.org/Record/001435158")</f>
        <v>http://catalog.hathitrust.org/Record/001435158</v>
      </c>
      <c r="J1656" s="1">
        <v>1926</v>
      </c>
      <c r="K1656" t="s">
        <v>17181</v>
      </c>
      <c r="L1656" t="s">
        <v>19886</v>
      </c>
    </row>
    <row r="1657" spans="1:12">
      <c r="A1657" t="s">
        <v>17182</v>
      </c>
      <c r="B1657" s="1" t="s">
        <v>17183</v>
      </c>
      <c r="C1657">
        <v>1</v>
      </c>
      <c r="F1657">
        <v>1</v>
      </c>
      <c r="G1657" t="str">
        <f>HYPERLINK("http://babel.hathitrust.org/cgi/pt?id=hvd.hwssft")</f>
        <v>http://babel.hathitrust.org/cgi/pt?id=hvd.hwssft</v>
      </c>
      <c r="H1657" t="str">
        <f>HYPERLINK("http://catalog.hathitrust.org/Record/001435190")</f>
        <v>http://catalog.hathitrust.org/Record/001435190</v>
      </c>
      <c r="J1657" s="1">
        <v>1845</v>
      </c>
      <c r="K1657" t="s">
        <v>17184</v>
      </c>
      <c r="L1657" t="s">
        <v>20553</v>
      </c>
    </row>
    <row r="1658" spans="1:12">
      <c r="A1658" t="s">
        <v>17185</v>
      </c>
      <c r="B1658" s="1" t="s">
        <v>17183</v>
      </c>
      <c r="F1658">
        <v>1</v>
      </c>
      <c r="G1658" t="str">
        <f>HYPERLINK("http://babel.hathitrust.org/cgi/pt?id=mdp.39015002343559")</f>
        <v>http://babel.hathitrust.org/cgi/pt?id=mdp.39015002343559</v>
      </c>
      <c r="H1658" t="str">
        <f>HYPERLINK("http://catalog.hathitrust.org/Record/001435190")</f>
        <v>http://catalog.hathitrust.org/Record/001435190</v>
      </c>
      <c r="J1658" s="1">
        <v>1845</v>
      </c>
      <c r="K1658" t="s">
        <v>17184</v>
      </c>
      <c r="L1658" t="s">
        <v>20553</v>
      </c>
    </row>
    <row r="1659" spans="1:12">
      <c r="A1659" t="s">
        <v>17186</v>
      </c>
      <c r="B1659" s="1" t="s">
        <v>17183</v>
      </c>
      <c r="F1659">
        <v>1</v>
      </c>
      <c r="G1659" t="str">
        <f>HYPERLINK("http://babel.hathitrust.org/cgi/pt?id=uc1.b3889621")</f>
        <v>http://babel.hathitrust.org/cgi/pt?id=uc1.b3889621</v>
      </c>
      <c r="H1659" t="str">
        <f>HYPERLINK("http://catalog.hathitrust.org/Record/001435190")</f>
        <v>http://catalog.hathitrust.org/Record/001435190</v>
      </c>
      <c r="J1659" s="1">
        <v>1845</v>
      </c>
      <c r="K1659" t="s">
        <v>17184</v>
      </c>
      <c r="L1659" t="s">
        <v>20553</v>
      </c>
    </row>
    <row r="1660" spans="1:12">
      <c r="A1660" t="s">
        <v>17187</v>
      </c>
      <c r="B1660" s="1" t="s">
        <v>17188</v>
      </c>
      <c r="F1660">
        <v>1</v>
      </c>
      <c r="G1660" t="str">
        <f>HYPERLINK("http://babel.hathitrust.org/cgi/pt?id=mdp.39015031032348")</f>
        <v>http://babel.hathitrust.org/cgi/pt?id=mdp.39015031032348</v>
      </c>
      <c r="H1660" t="str">
        <f>HYPERLINK("http://catalog.hathitrust.org/Record/001435236")</f>
        <v>http://catalog.hathitrust.org/Record/001435236</v>
      </c>
      <c r="J1660" s="1">
        <v>1919</v>
      </c>
      <c r="K1660" t="s">
        <v>17189</v>
      </c>
      <c r="L1660" t="s">
        <v>17190</v>
      </c>
    </row>
    <row r="1661" spans="1:12">
      <c r="A1661" t="s">
        <v>17191</v>
      </c>
      <c r="B1661" s="1" t="s">
        <v>17192</v>
      </c>
      <c r="E1661">
        <v>1</v>
      </c>
      <c r="G1661" t="str">
        <f>HYPERLINK("http://babel.hathitrust.org/cgi/pt?id=mdp.39015009444152")</f>
        <v>http://babel.hathitrust.org/cgi/pt?id=mdp.39015009444152</v>
      </c>
      <c r="H1661" t="str">
        <f>HYPERLINK("http://catalog.hathitrust.org/Record/001435282")</f>
        <v>http://catalog.hathitrust.org/Record/001435282</v>
      </c>
      <c r="J1661" s="1">
        <v>1916</v>
      </c>
      <c r="K1661" t="s">
        <v>17193</v>
      </c>
      <c r="L1661" t="s">
        <v>17194</v>
      </c>
    </row>
    <row r="1662" spans="1:12">
      <c r="A1662" t="s">
        <v>17195</v>
      </c>
      <c r="B1662" s="1" t="s">
        <v>17196</v>
      </c>
      <c r="F1662">
        <v>1</v>
      </c>
      <c r="G1662" t="str">
        <f>HYPERLINK("http://babel.hathitrust.org/cgi/pt?id=mdp.39015023562666")</f>
        <v>http://babel.hathitrust.org/cgi/pt?id=mdp.39015023562666</v>
      </c>
      <c r="H1662" t="str">
        <f>HYPERLINK("http://catalog.hathitrust.org/Record/001435337")</f>
        <v>http://catalog.hathitrust.org/Record/001435337</v>
      </c>
      <c r="I1662" s="1" t="s">
        <v>17198</v>
      </c>
      <c r="J1662" s="1">
        <v>1906</v>
      </c>
      <c r="K1662" t="s">
        <v>17197</v>
      </c>
      <c r="L1662" t="s">
        <v>20279</v>
      </c>
    </row>
    <row r="1663" spans="1:12">
      <c r="A1663" t="s">
        <v>17199</v>
      </c>
      <c r="B1663" s="1" t="s">
        <v>17196</v>
      </c>
      <c r="F1663">
        <v>1</v>
      </c>
      <c r="G1663" t="str">
        <f>HYPERLINK("http://babel.hathitrust.org/cgi/pt?id=mdp.39015031071478")</f>
        <v>http://babel.hathitrust.org/cgi/pt?id=mdp.39015031071478</v>
      </c>
      <c r="H1663" t="str">
        <f>HYPERLINK("http://catalog.hathitrust.org/Record/001435337")</f>
        <v>http://catalog.hathitrust.org/Record/001435337</v>
      </c>
      <c r="J1663" s="1">
        <v>1906</v>
      </c>
      <c r="K1663" t="s">
        <v>17197</v>
      </c>
      <c r="L1663" t="s">
        <v>20279</v>
      </c>
    </row>
    <row r="1664" spans="1:12">
      <c r="A1664" t="s">
        <v>17200</v>
      </c>
      <c r="B1664" s="1" t="s">
        <v>17201</v>
      </c>
      <c r="F1664">
        <v>1</v>
      </c>
      <c r="G1664" t="str">
        <f>HYPERLINK("http://babel.hathitrust.org/cgi/pt?id=miun.agc6557.0001.001")</f>
        <v>http://babel.hathitrust.org/cgi/pt?id=miun.agc6557.0001.001</v>
      </c>
      <c r="H1664" t="str">
        <f>HYPERLINK("http://catalog.hathitrust.org/Record/001435347")</f>
        <v>http://catalog.hathitrust.org/Record/001435347</v>
      </c>
      <c r="J1664" s="1">
        <v>1857</v>
      </c>
      <c r="K1664" t="s">
        <v>17202</v>
      </c>
      <c r="L1664" t="s">
        <v>17203</v>
      </c>
    </row>
    <row r="1665" spans="1:12">
      <c r="A1665" t="s">
        <v>17204</v>
      </c>
      <c r="B1665" s="1" t="s">
        <v>17205</v>
      </c>
      <c r="F1665">
        <v>1</v>
      </c>
      <c r="G1665" t="str">
        <f>HYPERLINK("http://babel.hathitrust.org/cgi/pt?id=njp.32101025873256")</f>
        <v>http://babel.hathitrust.org/cgi/pt?id=njp.32101025873256</v>
      </c>
      <c r="H1665" t="str">
        <f>HYPERLINK("http://catalog.hathitrust.org/Record/001435351")</f>
        <v>http://catalog.hathitrust.org/Record/001435351</v>
      </c>
      <c r="J1665" s="1">
        <v>1890</v>
      </c>
      <c r="K1665" t="s">
        <v>17206</v>
      </c>
      <c r="L1665" t="s">
        <v>18477</v>
      </c>
    </row>
    <row r="1666" spans="1:12">
      <c r="A1666" t="s">
        <v>17207</v>
      </c>
      <c r="B1666" s="1" t="s">
        <v>17205</v>
      </c>
      <c r="F1666">
        <v>1</v>
      </c>
      <c r="G1666" t="str">
        <f>HYPERLINK("http://babel.hathitrust.org/cgi/pt?id=uc1.b638792")</f>
        <v>http://babel.hathitrust.org/cgi/pt?id=uc1.b638792</v>
      </c>
      <c r="H1666" t="str">
        <f>HYPERLINK("http://catalog.hathitrust.org/Record/001435351")</f>
        <v>http://catalog.hathitrust.org/Record/001435351</v>
      </c>
      <c r="J1666" s="1">
        <v>1890</v>
      </c>
      <c r="K1666" t="s">
        <v>17206</v>
      </c>
      <c r="L1666" t="s">
        <v>18477</v>
      </c>
    </row>
    <row r="1667" spans="1:12">
      <c r="A1667" t="s">
        <v>17208</v>
      </c>
      <c r="B1667" s="1" t="s">
        <v>17209</v>
      </c>
      <c r="E1667">
        <v>1</v>
      </c>
      <c r="G1667" t="str">
        <f>HYPERLINK("http://babel.hathitrust.org/cgi/pt?id=mdp.39015016471404")</f>
        <v>http://babel.hathitrust.org/cgi/pt?id=mdp.39015016471404</v>
      </c>
      <c r="H1667" t="str">
        <f>HYPERLINK("http://catalog.hathitrust.org/Record/001435375")</f>
        <v>http://catalog.hathitrust.org/Record/001435375</v>
      </c>
      <c r="J1667" s="1">
        <v>1820</v>
      </c>
      <c r="K1667" t="s">
        <v>17210</v>
      </c>
      <c r="L1667" t="s">
        <v>17211</v>
      </c>
    </row>
    <row r="1668" spans="1:12">
      <c r="A1668" t="s">
        <v>17212</v>
      </c>
      <c r="B1668" s="1" t="s">
        <v>17213</v>
      </c>
      <c r="D1668">
        <v>1</v>
      </c>
      <c r="G1668" t="str">
        <f>HYPERLINK("http://babel.hathitrust.org/cgi/pt?id=mdp.39015013507929")</f>
        <v>http://babel.hathitrust.org/cgi/pt?id=mdp.39015013507929</v>
      </c>
      <c r="H1668" t="str">
        <f t="shared" ref="H1668:H1673" si="33">HYPERLINK("http://catalog.hathitrust.org/Record/001435376")</f>
        <v>http://catalog.hathitrust.org/Record/001435376</v>
      </c>
      <c r="J1668" s="1">
        <v>1918</v>
      </c>
      <c r="K1668" t="s">
        <v>17214</v>
      </c>
      <c r="L1668" t="s">
        <v>17215</v>
      </c>
    </row>
    <row r="1669" spans="1:12">
      <c r="A1669" t="s">
        <v>17216</v>
      </c>
      <c r="B1669" s="1" t="s">
        <v>17213</v>
      </c>
      <c r="F1669">
        <v>1</v>
      </c>
      <c r="G1669" t="str">
        <f>HYPERLINK("http://babel.hathitrust.org/cgi/pt?id=mdp.39015025339725")</f>
        <v>http://babel.hathitrust.org/cgi/pt?id=mdp.39015025339725</v>
      </c>
      <c r="H1669" t="str">
        <f t="shared" si="33"/>
        <v>http://catalog.hathitrust.org/Record/001435376</v>
      </c>
      <c r="J1669" s="1">
        <v>1918</v>
      </c>
      <c r="K1669" t="s">
        <v>17214</v>
      </c>
      <c r="L1669" t="s">
        <v>17215</v>
      </c>
    </row>
    <row r="1670" spans="1:12">
      <c r="A1670" t="s">
        <v>17217</v>
      </c>
      <c r="B1670" s="1" t="s">
        <v>17213</v>
      </c>
      <c r="F1670">
        <v>1</v>
      </c>
      <c r="G1670" t="str">
        <f>HYPERLINK("http://babel.hathitrust.org/cgi/pt?id=mdp.39015031072732")</f>
        <v>http://babel.hathitrust.org/cgi/pt?id=mdp.39015031072732</v>
      </c>
      <c r="H1670" t="str">
        <f t="shared" si="33"/>
        <v>http://catalog.hathitrust.org/Record/001435376</v>
      </c>
      <c r="J1670" s="1">
        <v>1918</v>
      </c>
      <c r="K1670" t="s">
        <v>17214</v>
      </c>
      <c r="L1670" t="s">
        <v>17215</v>
      </c>
    </row>
    <row r="1671" spans="1:12">
      <c r="A1671" t="s">
        <v>17218</v>
      </c>
      <c r="B1671" s="1" t="s">
        <v>17213</v>
      </c>
      <c r="F1671">
        <v>1</v>
      </c>
      <c r="G1671" t="str">
        <f>HYPERLINK("http://babel.hathitrust.org/cgi/pt?id=nyp.33433082521547")</f>
        <v>http://babel.hathitrust.org/cgi/pt?id=nyp.33433082521547</v>
      </c>
      <c r="H1671" t="str">
        <f t="shared" si="33"/>
        <v>http://catalog.hathitrust.org/Record/001435376</v>
      </c>
      <c r="J1671" s="1">
        <v>1918</v>
      </c>
      <c r="K1671" t="s">
        <v>17214</v>
      </c>
      <c r="L1671" t="s">
        <v>17215</v>
      </c>
    </row>
    <row r="1672" spans="1:12">
      <c r="A1672" t="s">
        <v>17219</v>
      </c>
      <c r="B1672" s="1" t="s">
        <v>17213</v>
      </c>
      <c r="F1672">
        <v>1</v>
      </c>
      <c r="G1672" t="str">
        <f>HYPERLINK("http://babel.hathitrust.org/cgi/pt?id=uc1.b31637")</f>
        <v>http://babel.hathitrust.org/cgi/pt?id=uc1.b31637</v>
      </c>
      <c r="H1672" t="str">
        <f t="shared" si="33"/>
        <v>http://catalog.hathitrust.org/Record/001435376</v>
      </c>
      <c r="J1672" s="1">
        <v>1918</v>
      </c>
      <c r="K1672" t="s">
        <v>17214</v>
      </c>
      <c r="L1672" t="s">
        <v>17215</v>
      </c>
    </row>
    <row r="1673" spans="1:12">
      <c r="A1673" t="s">
        <v>17220</v>
      </c>
      <c r="B1673" s="1" t="s">
        <v>17213</v>
      </c>
      <c r="F1673">
        <v>1</v>
      </c>
      <c r="G1673" t="str">
        <f>HYPERLINK("http://babel.hathitrust.org/cgi/pt?id=uc2.ark:/13960/t3dz0dc6s")</f>
        <v>http://babel.hathitrust.org/cgi/pt?id=uc2.ark:/13960/t3dz0dc6s</v>
      </c>
      <c r="H1673" t="str">
        <f t="shared" si="33"/>
        <v>http://catalog.hathitrust.org/Record/001435376</v>
      </c>
      <c r="J1673" s="1">
        <v>1918</v>
      </c>
      <c r="K1673" t="s">
        <v>17214</v>
      </c>
      <c r="L1673" t="s">
        <v>17215</v>
      </c>
    </row>
    <row r="1674" spans="1:12">
      <c r="A1674" t="s">
        <v>17221</v>
      </c>
      <c r="B1674" s="1" t="s">
        <v>17222</v>
      </c>
      <c r="D1674">
        <v>1</v>
      </c>
      <c r="G1674" t="str">
        <f>HYPERLINK("http://babel.hathitrust.org/cgi/pt?id=mdp.39015031072757")</f>
        <v>http://babel.hathitrust.org/cgi/pt?id=mdp.39015031072757</v>
      </c>
      <c r="H1674" t="str">
        <f>HYPERLINK("http://catalog.hathitrust.org/Record/001435377")</f>
        <v>http://catalog.hathitrust.org/Record/001435377</v>
      </c>
      <c r="J1674" s="1">
        <v>1918</v>
      </c>
      <c r="K1674" t="s">
        <v>17086</v>
      </c>
      <c r="L1674" t="s">
        <v>17087</v>
      </c>
    </row>
    <row r="1675" spans="1:12">
      <c r="A1675" t="s">
        <v>17088</v>
      </c>
      <c r="B1675" s="1" t="s">
        <v>17089</v>
      </c>
      <c r="F1675">
        <v>1</v>
      </c>
      <c r="G1675" t="str">
        <f>HYPERLINK("http://babel.hathitrust.org/cgi/pt?id=mdp.39015011229609")</f>
        <v>http://babel.hathitrust.org/cgi/pt?id=mdp.39015011229609</v>
      </c>
      <c r="H1675" t="str">
        <f>HYPERLINK("http://catalog.hathitrust.org/Record/001435491")</f>
        <v>http://catalog.hathitrust.org/Record/001435491</v>
      </c>
      <c r="J1675" s="1">
        <v>1913</v>
      </c>
      <c r="K1675" t="s">
        <v>17090</v>
      </c>
      <c r="L1675" t="s">
        <v>18477</v>
      </c>
    </row>
    <row r="1676" spans="1:12">
      <c r="A1676" t="s">
        <v>17091</v>
      </c>
      <c r="B1676" s="1" t="s">
        <v>17092</v>
      </c>
      <c r="E1676">
        <v>1</v>
      </c>
      <c r="G1676" t="str">
        <f>HYPERLINK("http://babel.hathitrust.org/cgi/pt?id=njp.32101074756741")</f>
        <v>http://babel.hathitrust.org/cgi/pt?id=njp.32101074756741</v>
      </c>
      <c r="H1676" t="str">
        <f>HYPERLINK("http://catalog.hathitrust.org/Record/001435495")</f>
        <v>http://catalog.hathitrust.org/Record/001435495</v>
      </c>
      <c r="J1676" s="1">
        <v>1888</v>
      </c>
      <c r="K1676" t="s">
        <v>17093</v>
      </c>
      <c r="L1676" t="s">
        <v>20629</v>
      </c>
    </row>
    <row r="1677" spans="1:12">
      <c r="A1677" t="s">
        <v>17094</v>
      </c>
      <c r="B1677" s="1" t="s">
        <v>17095</v>
      </c>
      <c r="F1677">
        <v>1</v>
      </c>
      <c r="G1677" t="str">
        <f>HYPERLINK("http://babel.hathitrust.org/cgi/pt?id=mdp.39015028572017")</f>
        <v>http://babel.hathitrust.org/cgi/pt?id=mdp.39015028572017</v>
      </c>
      <c r="H1677" t="str">
        <f>HYPERLINK("http://catalog.hathitrust.org/Record/001435838")</f>
        <v>http://catalog.hathitrust.org/Record/001435838</v>
      </c>
      <c r="J1677" s="1">
        <v>1913</v>
      </c>
      <c r="K1677" t="s">
        <v>17096</v>
      </c>
      <c r="L1677" t="s">
        <v>17097</v>
      </c>
    </row>
    <row r="1678" spans="1:12">
      <c r="A1678" t="s">
        <v>17098</v>
      </c>
      <c r="B1678" s="1" t="s">
        <v>17099</v>
      </c>
      <c r="D1678">
        <v>1</v>
      </c>
      <c r="G1678" t="str">
        <f>HYPERLINK("http://babel.hathitrust.org/cgi/pt?id=mdp.39015032395512")</f>
        <v>http://babel.hathitrust.org/cgi/pt?id=mdp.39015032395512</v>
      </c>
      <c r="H1678" t="str">
        <f>HYPERLINK("http://catalog.hathitrust.org/Record/001435904")</f>
        <v>http://catalog.hathitrust.org/Record/001435904</v>
      </c>
      <c r="J1678" s="1">
        <v>1897</v>
      </c>
      <c r="K1678" t="s">
        <v>17100</v>
      </c>
      <c r="L1678" t="s">
        <v>17734</v>
      </c>
    </row>
    <row r="1679" spans="1:12">
      <c r="A1679" t="s">
        <v>17101</v>
      </c>
      <c r="B1679" s="1" t="s">
        <v>17102</v>
      </c>
      <c r="F1679">
        <v>1</v>
      </c>
      <c r="G1679" t="str">
        <f>HYPERLINK("http://babel.hathitrust.org/cgi/pt?id=mdp.39015048871613")</f>
        <v>http://babel.hathitrust.org/cgi/pt?id=mdp.39015048871613</v>
      </c>
      <c r="H1679" t="str">
        <f>HYPERLINK("http://catalog.hathitrust.org/Record/001435956")</f>
        <v>http://catalog.hathitrust.org/Record/001435956</v>
      </c>
      <c r="J1679" s="1">
        <v>1914</v>
      </c>
      <c r="K1679" t="s">
        <v>17103</v>
      </c>
      <c r="L1679" t="s">
        <v>17104</v>
      </c>
    </row>
    <row r="1680" spans="1:12">
      <c r="A1680" t="s">
        <v>17105</v>
      </c>
      <c r="B1680" s="1" t="s">
        <v>17102</v>
      </c>
      <c r="F1680">
        <v>1</v>
      </c>
      <c r="G1680" t="str">
        <f>HYPERLINK("http://babel.hathitrust.org/cgi/pt?id=uc1.b4097311")</f>
        <v>http://babel.hathitrust.org/cgi/pt?id=uc1.b4097311</v>
      </c>
      <c r="H1680" t="str">
        <f>HYPERLINK("http://catalog.hathitrust.org/Record/001435956")</f>
        <v>http://catalog.hathitrust.org/Record/001435956</v>
      </c>
      <c r="J1680" s="1">
        <v>1914</v>
      </c>
      <c r="K1680" t="s">
        <v>17103</v>
      </c>
      <c r="L1680" t="s">
        <v>17104</v>
      </c>
    </row>
    <row r="1681" spans="1:12">
      <c r="A1681" t="s">
        <v>17106</v>
      </c>
      <c r="B1681" s="1" t="s">
        <v>17102</v>
      </c>
      <c r="F1681">
        <v>1</v>
      </c>
      <c r="G1681" t="str">
        <f>HYPERLINK("http://babel.hathitrust.org/cgi/pt?id=uc2.ark:/13960/t9765nh4x")</f>
        <v>http://babel.hathitrust.org/cgi/pt?id=uc2.ark:/13960/t9765nh4x</v>
      </c>
      <c r="H1681" t="str">
        <f>HYPERLINK("http://catalog.hathitrust.org/Record/001435956")</f>
        <v>http://catalog.hathitrust.org/Record/001435956</v>
      </c>
      <c r="J1681" s="1">
        <v>1914</v>
      </c>
      <c r="K1681" t="s">
        <v>17103</v>
      </c>
      <c r="L1681" t="s">
        <v>17104</v>
      </c>
    </row>
    <row r="1682" spans="1:12">
      <c r="A1682" t="s">
        <v>17107</v>
      </c>
      <c r="B1682" s="1" t="s">
        <v>17108</v>
      </c>
      <c r="F1682">
        <v>1</v>
      </c>
      <c r="G1682" t="str">
        <f>HYPERLINK("http://babel.hathitrust.org/cgi/pt?id=mdp.39015059906415")</f>
        <v>http://babel.hathitrust.org/cgi/pt?id=mdp.39015059906415</v>
      </c>
      <c r="H1682" t="str">
        <f>HYPERLINK("http://catalog.hathitrust.org/Record/001436027")</f>
        <v>http://catalog.hathitrust.org/Record/001436027</v>
      </c>
      <c r="J1682" s="1">
        <v>1915</v>
      </c>
      <c r="K1682" t="s">
        <v>17109</v>
      </c>
      <c r="L1682" t="s">
        <v>17110</v>
      </c>
    </row>
    <row r="1683" spans="1:12">
      <c r="A1683" t="s">
        <v>17111</v>
      </c>
      <c r="B1683" s="1" t="s">
        <v>17108</v>
      </c>
      <c r="F1683">
        <v>1</v>
      </c>
      <c r="G1683" t="str">
        <f>HYPERLINK("http://babel.hathitrust.org/cgi/pt?id=uc1.b3563356")</f>
        <v>http://babel.hathitrust.org/cgi/pt?id=uc1.b3563356</v>
      </c>
      <c r="H1683" t="str">
        <f>HYPERLINK("http://catalog.hathitrust.org/Record/001436027")</f>
        <v>http://catalog.hathitrust.org/Record/001436027</v>
      </c>
      <c r="J1683" s="1">
        <v>1915</v>
      </c>
      <c r="K1683" t="s">
        <v>17109</v>
      </c>
      <c r="L1683" t="s">
        <v>17110</v>
      </c>
    </row>
    <row r="1684" spans="1:12">
      <c r="A1684" t="s">
        <v>17112</v>
      </c>
      <c r="B1684" s="1" t="s">
        <v>17113</v>
      </c>
      <c r="F1684">
        <v>1</v>
      </c>
      <c r="G1684" t="str">
        <f>HYPERLINK("http://babel.hathitrust.org/cgi/pt?id=mdp.39015012311836")</f>
        <v>http://babel.hathitrust.org/cgi/pt?id=mdp.39015012311836</v>
      </c>
      <c r="H1684" t="str">
        <f>HYPERLINK("http://catalog.hathitrust.org/Record/001436040")</f>
        <v>http://catalog.hathitrust.org/Record/001436040</v>
      </c>
      <c r="I1684" s="1" t="s">
        <v>20916</v>
      </c>
      <c r="J1684" s="1">
        <v>1962</v>
      </c>
      <c r="K1684" t="s">
        <v>17114</v>
      </c>
      <c r="L1684" t="s">
        <v>19342</v>
      </c>
    </row>
    <row r="1685" spans="1:12">
      <c r="A1685" t="s">
        <v>17115</v>
      </c>
      <c r="B1685" s="1" t="s">
        <v>17113</v>
      </c>
      <c r="F1685">
        <v>1</v>
      </c>
      <c r="G1685" t="str">
        <f>HYPERLINK("http://babel.hathitrust.org/cgi/pt?id=mdp.39015012311984")</f>
        <v>http://babel.hathitrust.org/cgi/pt?id=mdp.39015012311984</v>
      </c>
      <c r="H1685" t="str">
        <f>HYPERLINK("http://catalog.hathitrust.org/Record/001436040")</f>
        <v>http://catalog.hathitrust.org/Record/001436040</v>
      </c>
      <c r="I1685" s="1" t="s">
        <v>20755</v>
      </c>
      <c r="J1685" s="1">
        <v>1962</v>
      </c>
      <c r="K1685" t="s">
        <v>17114</v>
      </c>
      <c r="L1685" t="s">
        <v>19342</v>
      </c>
    </row>
    <row r="1686" spans="1:12">
      <c r="A1686" t="s">
        <v>17116</v>
      </c>
      <c r="B1686" s="1" t="s">
        <v>17117</v>
      </c>
      <c r="F1686">
        <v>1</v>
      </c>
      <c r="G1686" t="str">
        <f>HYPERLINK("http://babel.hathitrust.org/cgi/pt?id=mdp.39015059908692")</f>
        <v>http://babel.hathitrust.org/cgi/pt?id=mdp.39015059908692</v>
      </c>
      <c r="H1686" t="str">
        <f>HYPERLINK("http://catalog.hathitrust.org/Record/001436049")</f>
        <v>http://catalog.hathitrust.org/Record/001436049</v>
      </c>
      <c r="J1686" s="1">
        <v>1914</v>
      </c>
      <c r="K1686" t="s">
        <v>17118</v>
      </c>
      <c r="L1686" t="s">
        <v>17119</v>
      </c>
    </row>
    <row r="1687" spans="1:12">
      <c r="A1687" t="s">
        <v>17120</v>
      </c>
      <c r="B1687" s="1" t="s">
        <v>17121</v>
      </c>
      <c r="F1687">
        <v>1</v>
      </c>
      <c r="G1687" t="str">
        <f>HYPERLINK("http://babel.hathitrust.org/cgi/pt?id=mdp.39015020119957")</f>
        <v>http://babel.hathitrust.org/cgi/pt?id=mdp.39015020119957</v>
      </c>
      <c r="H1687" t="str">
        <f>HYPERLINK("http://catalog.hathitrust.org/Record/001436050")</f>
        <v>http://catalog.hathitrust.org/Record/001436050</v>
      </c>
      <c r="J1687" s="1">
        <v>1913</v>
      </c>
      <c r="K1687" t="s">
        <v>17122</v>
      </c>
      <c r="L1687" t="s">
        <v>17119</v>
      </c>
    </row>
    <row r="1688" spans="1:12">
      <c r="A1688" t="s">
        <v>17123</v>
      </c>
      <c r="B1688" s="1" t="s">
        <v>17124</v>
      </c>
      <c r="F1688">
        <v>1</v>
      </c>
      <c r="G1688" t="str">
        <f>HYPERLINK("http://babel.hathitrust.org/cgi/pt?id=mdp.39015010312497")</f>
        <v>http://babel.hathitrust.org/cgi/pt?id=mdp.39015010312497</v>
      </c>
      <c r="H1688" t="str">
        <f>HYPERLINK("http://catalog.hathitrust.org/Record/001436052")</f>
        <v>http://catalog.hathitrust.org/Record/001436052</v>
      </c>
      <c r="J1688" s="1">
        <v>1925</v>
      </c>
      <c r="K1688" t="s">
        <v>17125</v>
      </c>
      <c r="L1688" t="s">
        <v>17126</v>
      </c>
    </row>
    <row r="1689" spans="1:12">
      <c r="A1689" t="s">
        <v>17127</v>
      </c>
      <c r="B1689" s="1" t="s">
        <v>17128</v>
      </c>
      <c r="F1689">
        <v>1</v>
      </c>
      <c r="G1689" t="str">
        <f>HYPERLINK("http://babel.hathitrust.org/cgi/pt?id=mdp.39015009188759")</f>
        <v>http://babel.hathitrust.org/cgi/pt?id=mdp.39015009188759</v>
      </c>
      <c r="H1689" t="str">
        <f>HYPERLINK("http://catalog.hathitrust.org/Record/001436053")</f>
        <v>http://catalog.hathitrust.org/Record/001436053</v>
      </c>
      <c r="J1689" s="1">
        <v>1905</v>
      </c>
      <c r="K1689" t="s">
        <v>17129</v>
      </c>
      <c r="L1689" t="s">
        <v>17126</v>
      </c>
    </row>
    <row r="1690" spans="1:12">
      <c r="A1690" t="s">
        <v>17130</v>
      </c>
      <c r="B1690" s="1" t="s">
        <v>17128</v>
      </c>
      <c r="F1690">
        <v>1</v>
      </c>
      <c r="G1690" t="str">
        <f>HYPERLINK("http://babel.hathitrust.org/cgi/pt?id=uc1.b258665")</f>
        <v>http://babel.hathitrust.org/cgi/pt?id=uc1.b258665</v>
      </c>
      <c r="H1690" t="str">
        <f>HYPERLINK("http://catalog.hathitrust.org/Record/001436053")</f>
        <v>http://catalog.hathitrust.org/Record/001436053</v>
      </c>
      <c r="J1690" s="1">
        <v>1905</v>
      </c>
      <c r="K1690" t="s">
        <v>17129</v>
      </c>
      <c r="L1690" t="s">
        <v>17126</v>
      </c>
    </row>
    <row r="1691" spans="1:12">
      <c r="A1691" t="s">
        <v>17131</v>
      </c>
      <c r="B1691" s="1" t="s">
        <v>17128</v>
      </c>
      <c r="F1691">
        <v>1</v>
      </c>
      <c r="G1691" t="str">
        <f>HYPERLINK("http://babel.hathitrust.org/cgi/pt?id=uc2.ark:/13960/t6930rs91")</f>
        <v>http://babel.hathitrust.org/cgi/pt?id=uc2.ark:/13960/t6930rs91</v>
      </c>
      <c r="H1691" t="str">
        <f>HYPERLINK("http://catalog.hathitrust.org/Record/001436053")</f>
        <v>http://catalog.hathitrust.org/Record/001436053</v>
      </c>
      <c r="J1691" s="1">
        <v>1905</v>
      </c>
      <c r="K1691" t="s">
        <v>17129</v>
      </c>
      <c r="L1691" t="s">
        <v>17126</v>
      </c>
    </row>
    <row r="1692" spans="1:12">
      <c r="A1692" t="s">
        <v>17132</v>
      </c>
      <c r="B1692" s="1" t="s">
        <v>17133</v>
      </c>
      <c r="F1692">
        <v>1</v>
      </c>
      <c r="G1692" t="str">
        <f>HYPERLINK("http://babel.hathitrust.org/cgi/pt?id=mdp.39015032335302")</f>
        <v>http://babel.hathitrust.org/cgi/pt?id=mdp.39015032335302</v>
      </c>
      <c r="H1692" t="str">
        <f>HYPERLINK("http://catalog.hathitrust.org/Record/001436058")</f>
        <v>http://catalog.hathitrust.org/Record/001436058</v>
      </c>
      <c r="J1692" s="1">
        <v>1897</v>
      </c>
      <c r="K1692" t="s">
        <v>17134</v>
      </c>
      <c r="L1692" t="s">
        <v>20193</v>
      </c>
    </row>
    <row r="1693" spans="1:12">
      <c r="A1693" t="s">
        <v>17135</v>
      </c>
      <c r="B1693" s="1" t="s">
        <v>17133</v>
      </c>
      <c r="F1693">
        <v>1</v>
      </c>
      <c r="G1693" t="str">
        <f>HYPERLINK("http://babel.hathitrust.org/cgi/pt?id=uc1.b257905")</f>
        <v>http://babel.hathitrust.org/cgi/pt?id=uc1.b257905</v>
      </c>
      <c r="H1693" t="str">
        <f>HYPERLINK("http://catalog.hathitrust.org/Record/001436058")</f>
        <v>http://catalog.hathitrust.org/Record/001436058</v>
      </c>
      <c r="J1693" s="1">
        <v>1897</v>
      </c>
      <c r="K1693" t="s">
        <v>17134</v>
      </c>
      <c r="L1693" t="s">
        <v>20193</v>
      </c>
    </row>
    <row r="1694" spans="1:12">
      <c r="A1694" t="s">
        <v>17136</v>
      </c>
      <c r="B1694" s="1" t="s">
        <v>17133</v>
      </c>
      <c r="F1694">
        <v>1</v>
      </c>
      <c r="G1694" t="str">
        <f>HYPERLINK("http://babel.hathitrust.org/cgi/pt?id=uc2.ark:/13960/t0bv7dc21")</f>
        <v>http://babel.hathitrust.org/cgi/pt?id=uc2.ark:/13960/t0bv7dc21</v>
      </c>
      <c r="H1694" t="str">
        <f>HYPERLINK("http://catalog.hathitrust.org/Record/001436058")</f>
        <v>http://catalog.hathitrust.org/Record/001436058</v>
      </c>
      <c r="J1694" s="1">
        <v>1897</v>
      </c>
      <c r="K1694" t="s">
        <v>17134</v>
      </c>
      <c r="L1694" t="s">
        <v>20193</v>
      </c>
    </row>
    <row r="1695" spans="1:12">
      <c r="A1695" t="s">
        <v>17137</v>
      </c>
      <c r="B1695" s="1" t="s">
        <v>17138</v>
      </c>
      <c r="F1695">
        <v>1</v>
      </c>
      <c r="G1695" t="str">
        <f>HYPERLINK("http://babel.hathitrust.org/cgi/pt?id=mdp.39015012189208")</f>
        <v>http://babel.hathitrust.org/cgi/pt?id=mdp.39015012189208</v>
      </c>
      <c r="H1695" t="str">
        <f>HYPERLINK("http://catalog.hathitrust.org/Record/001436059")</f>
        <v>http://catalog.hathitrust.org/Record/001436059</v>
      </c>
      <c r="J1695" s="1">
        <v>1905</v>
      </c>
      <c r="K1695" t="s">
        <v>17139</v>
      </c>
      <c r="L1695" t="s">
        <v>20193</v>
      </c>
    </row>
    <row r="1696" spans="1:12">
      <c r="A1696" t="s">
        <v>17140</v>
      </c>
      <c r="B1696" s="1" t="s">
        <v>17141</v>
      </c>
      <c r="F1696">
        <v>1</v>
      </c>
      <c r="G1696" t="str">
        <f>HYPERLINK("http://babel.hathitrust.org/cgi/pt?id=mdp.39015054068757")</f>
        <v>http://babel.hathitrust.org/cgi/pt?id=mdp.39015054068757</v>
      </c>
      <c r="H1696" t="str">
        <f>HYPERLINK("http://catalog.hathitrust.org/Record/001436060")</f>
        <v>http://catalog.hathitrust.org/Record/001436060</v>
      </c>
      <c r="J1696" s="1">
        <v>1928</v>
      </c>
      <c r="K1696" t="s">
        <v>17969</v>
      </c>
      <c r="L1696" t="s">
        <v>20193</v>
      </c>
    </row>
    <row r="1697" spans="1:12">
      <c r="A1697" t="s">
        <v>17142</v>
      </c>
      <c r="B1697" s="1" t="s">
        <v>17143</v>
      </c>
      <c r="F1697">
        <v>1</v>
      </c>
      <c r="G1697" t="str">
        <f>HYPERLINK("http://babel.hathitrust.org/cgi/pt?id=mdp.39015008499876")</f>
        <v>http://babel.hathitrust.org/cgi/pt?id=mdp.39015008499876</v>
      </c>
      <c r="H1697" t="str">
        <f>HYPERLINK("http://catalog.hathitrust.org/Record/001436063")</f>
        <v>http://catalog.hathitrust.org/Record/001436063</v>
      </c>
      <c r="J1697" s="1">
        <v>1872</v>
      </c>
      <c r="K1697" t="s">
        <v>17144</v>
      </c>
      <c r="L1697" t="s">
        <v>17145</v>
      </c>
    </row>
    <row r="1698" spans="1:12">
      <c r="A1698" t="s">
        <v>17146</v>
      </c>
      <c r="B1698" s="1" t="s">
        <v>17147</v>
      </c>
      <c r="F1698">
        <v>1</v>
      </c>
      <c r="G1698" t="str">
        <f>HYPERLINK("http://babel.hathitrust.org/cgi/pt?id=mdp.39015005535060")</f>
        <v>http://babel.hathitrust.org/cgi/pt?id=mdp.39015005535060</v>
      </c>
      <c r="H1698" t="str">
        <f>HYPERLINK("http://catalog.hathitrust.org/Record/001436077")</f>
        <v>http://catalog.hathitrust.org/Record/001436077</v>
      </c>
      <c r="J1698" s="1">
        <v>1912</v>
      </c>
      <c r="K1698" t="s">
        <v>17148</v>
      </c>
      <c r="L1698" t="s">
        <v>17149</v>
      </c>
    </row>
    <row r="1699" spans="1:12">
      <c r="A1699" t="s">
        <v>17013</v>
      </c>
      <c r="B1699" s="1" t="s">
        <v>17014</v>
      </c>
      <c r="F1699">
        <v>1</v>
      </c>
      <c r="G1699" t="str">
        <f>HYPERLINK("http://babel.hathitrust.org/cgi/pt?id=mdp.39015030868817")</f>
        <v>http://babel.hathitrust.org/cgi/pt?id=mdp.39015030868817</v>
      </c>
      <c r="H1699" t="str">
        <f>HYPERLINK("http://catalog.hathitrust.org/Record/001436079")</f>
        <v>http://catalog.hathitrust.org/Record/001436079</v>
      </c>
      <c r="J1699" s="1">
        <v>1895</v>
      </c>
      <c r="K1699" t="s">
        <v>17015</v>
      </c>
      <c r="L1699" t="s">
        <v>17149</v>
      </c>
    </row>
    <row r="1700" spans="1:12">
      <c r="A1700" t="s">
        <v>17016</v>
      </c>
      <c r="B1700" s="1" t="s">
        <v>17014</v>
      </c>
      <c r="F1700">
        <v>1</v>
      </c>
      <c r="G1700" t="str">
        <f>HYPERLINK("http://babel.hathitrust.org/cgi/pt?id=uc1.b293542")</f>
        <v>http://babel.hathitrust.org/cgi/pt?id=uc1.b293542</v>
      </c>
      <c r="H1700" t="str">
        <f>HYPERLINK("http://catalog.hathitrust.org/Record/001436079")</f>
        <v>http://catalog.hathitrust.org/Record/001436079</v>
      </c>
      <c r="J1700" s="1">
        <v>1895</v>
      </c>
      <c r="K1700" t="s">
        <v>17015</v>
      </c>
      <c r="L1700" t="s">
        <v>17149</v>
      </c>
    </row>
    <row r="1701" spans="1:12">
      <c r="A1701" t="s">
        <v>17017</v>
      </c>
      <c r="B1701" s="1" t="s">
        <v>17018</v>
      </c>
      <c r="F1701">
        <v>1</v>
      </c>
      <c r="G1701" t="str">
        <f>HYPERLINK("http://babel.hathitrust.org/cgi/pt?id=mdp.39015013359941")</f>
        <v>http://babel.hathitrust.org/cgi/pt?id=mdp.39015013359941</v>
      </c>
      <c r="H1701" t="str">
        <f>HYPERLINK("http://catalog.hathitrust.org/Record/001436080")</f>
        <v>http://catalog.hathitrust.org/Record/001436080</v>
      </c>
      <c r="J1701" s="1">
        <v>1913</v>
      </c>
      <c r="K1701" t="s">
        <v>17019</v>
      </c>
      <c r="L1701" t="s">
        <v>17149</v>
      </c>
    </row>
    <row r="1702" spans="1:12">
      <c r="A1702" t="s">
        <v>17020</v>
      </c>
      <c r="B1702" s="1" t="s">
        <v>17018</v>
      </c>
      <c r="F1702">
        <v>1</v>
      </c>
      <c r="G1702" t="str">
        <f>HYPERLINK("http://babel.hathitrust.org/cgi/pt?id=nyp.33433082503974")</f>
        <v>http://babel.hathitrust.org/cgi/pt?id=nyp.33433082503974</v>
      </c>
      <c r="H1702" t="str">
        <f>HYPERLINK("http://catalog.hathitrust.org/Record/001436080")</f>
        <v>http://catalog.hathitrust.org/Record/001436080</v>
      </c>
      <c r="J1702" s="1">
        <v>1913</v>
      </c>
      <c r="K1702" t="s">
        <v>17019</v>
      </c>
      <c r="L1702" t="s">
        <v>17149</v>
      </c>
    </row>
    <row r="1703" spans="1:12">
      <c r="A1703" t="s">
        <v>17021</v>
      </c>
      <c r="B1703" s="1" t="s">
        <v>17018</v>
      </c>
      <c r="F1703">
        <v>1</v>
      </c>
      <c r="G1703" t="str">
        <f>HYPERLINK("http://babel.hathitrust.org/cgi/pt?id=uc1.b258182")</f>
        <v>http://babel.hathitrust.org/cgi/pt?id=uc1.b258182</v>
      </c>
      <c r="H1703" t="str">
        <f>HYPERLINK("http://catalog.hathitrust.org/Record/001436080")</f>
        <v>http://catalog.hathitrust.org/Record/001436080</v>
      </c>
      <c r="J1703" s="1">
        <v>1913</v>
      </c>
      <c r="K1703" t="s">
        <v>17019</v>
      </c>
      <c r="L1703" t="s">
        <v>17149</v>
      </c>
    </row>
    <row r="1704" spans="1:12">
      <c r="A1704" t="s">
        <v>17022</v>
      </c>
      <c r="B1704" s="1" t="s">
        <v>17018</v>
      </c>
      <c r="F1704">
        <v>1</v>
      </c>
      <c r="G1704" t="str">
        <f>HYPERLINK("http://babel.hathitrust.org/cgi/pt?id=uc2.ark:/13960/t19k48c9t")</f>
        <v>http://babel.hathitrust.org/cgi/pt?id=uc2.ark:/13960/t19k48c9t</v>
      </c>
      <c r="H1704" t="str">
        <f>HYPERLINK("http://catalog.hathitrust.org/Record/001436080")</f>
        <v>http://catalog.hathitrust.org/Record/001436080</v>
      </c>
      <c r="J1704" s="1">
        <v>1913</v>
      </c>
      <c r="K1704" t="s">
        <v>17019</v>
      </c>
      <c r="L1704" t="s">
        <v>17149</v>
      </c>
    </row>
    <row r="1705" spans="1:12">
      <c r="A1705" t="s">
        <v>17023</v>
      </c>
      <c r="B1705" s="1" t="s">
        <v>17024</v>
      </c>
      <c r="F1705">
        <v>1</v>
      </c>
      <c r="G1705" t="str">
        <f>HYPERLINK("http://babel.hathitrust.org/cgi/pt?id=miun.agc7324.0001.001")</f>
        <v>http://babel.hathitrust.org/cgi/pt?id=miun.agc7324.0001.001</v>
      </c>
      <c r="H1705" t="str">
        <f>HYPERLINK("http://catalog.hathitrust.org/Record/001436096")</f>
        <v>http://catalog.hathitrust.org/Record/001436096</v>
      </c>
      <c r="J1705" s="1">
        <v>1856</v>
      </c>
      <c r="K1705" t="s">
        <v>17025</v>
      </c>
      <c r="L1705" t="s">
        <v>17026</v>
      </c>
    </row>
    <row r="1706" spans="1:12">
      <c r="A1706" t="s">
        <v>17027</v>
      </c>
      <c r="B1706" s="1" t="s">
        <v>17028</v>
      </c>
      <c r="F1706">
        <v>1</v>
      </c>
      <c r="G1706" t="str">
        <f>HYPERLINK("http://babel.hathitrust.org/cgi/pt?id=mdp.39015028790841")</f>
        <v>http://babel.hathitrust.org/cgi/pt?id=mdp.39015028790841</v>
      </c>
      <c r="H1706" t="str">
        <f>HYPERLINK("http://catalog.hathitrust.org/Record/001436118")</f>
        <v>http://catalog.hathitrust.org/Record/001436118</v>
      </c>
      <c r="J1706" s="1">
        <v>1962</v>
      </c>
      <c r="K1706" t="s">
        <v>17029</v>
      </c>
      <c r="L1706" t="s">
        <v>17030</v>
      </c>
    </row>
    <row r="1707" spans="1:12">
      <c r="A1707" t="s">
        <v>17031</v>
      </c>
      <c r="B1707" s="1" t="s">
        <v>17032</v>
      </c>
      <c r="F1707">
        <v>1</v>
      </c>
      <c r="G1707" t="str">
        <f>HYPERLINK("http://babel.hathitrust.org/cgi/pt?id=mdp.39015019114365")</f>
        <v>http://babel.hathitrust.org/cgi/pt?id=mdp.39015019114365</v>
      </c>
      <c r="H1707" t="str">
        <f>HYPERLINK("http://catalog.hathitrust.org/Record/001436119")</f>
        <v>http://catalog.hathitrust.org/Record/001436119</v>
      </c>
      <c r="J1707" s="1">
        <v>1867</v>
      </c>
      <c r="K1707" t="s">
        <v>17033</v>
      </c>
      <c r="L1707" t="s">
        <v>17034</v>
      </c>
    </row>
    <row r="1708" spans="1:12">
      <c r="A1708" t="s">
        <v>17035</v>
      </c>
      <c r="B1708" s="1" t="s">
        <v>17036</v>
      </c>
      <c r="F1708">
        <v>1</v>
      </c>
      <c r="G1708" t="str">
        <f>HYPERLINK("http://babel.hathitrust.org/cgi/pt?id=mdp.39015004743210")</f>
        <v>http://babel.hathitrust.org/cgi/pt?id=mdp.39015004743210</v>
      </c>
      <c r="H1708" t="str">
        <f>HYPERLINK("http://catalog.hathitrust.org/Record/001436124")</f>
        <v>http://catalog.hathitrust.org/Record/001436124</v>
      </c>
      <c r="J1708" s="1">
        <v>1878</v>
      </c>
      <c r="K1708" t="s">
        <v>17037</v>
      </c>
      <c r="L1708" t="s">
        <v>17038</v>
      </c>
    </row>
    <row r="1709" spans="1:12">
      <c r="A1709" t="s">
        <v>17039</v>
      </c>
      <c r="B1709" s="1" t="s">
        <v>17036</v>
      </c>
      <c r="F1709">
        <v>1</v>
      </c>
      <c r="G1709" t="str">
        <f>HYPERLINK("http://babel.hathitrust.org/cgi/pt?id=nyp.33433082502281")</f>
        <v>http://babel.hathitrust.org/cgi/pt?id=nyp.33433082502281</v>
      </c>
      <c r="H1709" t="str">
        <f>HYPERLINK("http://catalog.hathitrust.org/Record/001436124")</f>
        <v>http://catalog.hathitrust.org/Record/001436124</v>
      </c>
      <c r="J1709" s="1">
        <v>1878</v>
      </c>
      <c r="K1709" t="s">
        <v>17037</v>
      </c>
      <c r="L1709" t="s">
        <v>17038</v>
      </c>
    </row>
    <row r="1710" spans="1:12">
      <c r="A1710" t="s">
        <v>17040</v>
      </c>
      <c r="B1710" s="1" t="s">
        <v>17041</v>
      </c>
      <c r="F1710">
        <v>1</v>
      </c>
      <c r="G1710" t="str">
        <f>HYPERLINK("http://babel.hathitrust.org/cgi/pt?id=mdp.39015012074343")</f>
        <v>http://babel.hathitrust.org/cgi/pt?id=mdp.39015012074343</v>
      </c>
      <c r="H1710" t="str">
        <f>HYPERLINK("http://catalog.hathitrust.org/Record/001436125")</f>
        <v>http://catalog.hathitrust.org/Record/001436125</v>
      </c>
      <c r="J1710" s="1">
        <v>1893</v>
      </c>
      <c r="K1710" t="s">
        <v>17042</v>
      </c>
      <c r="L1710" t="s">
        <v>20395</v>
      </c>
    </row>
    <row r="1711" spans="1:12">
      <c r="A1711" t="s">
        <v>17043</v>
      </c>
      <c r="B1711" s="1" t="s">
        <v>17041</v>
      </c>
      <c r="F1711">
        <v>1</v>
      </c>
      <c r="G1711" t="str">
        <f>HYPERLINK("http://babel.hathitrust.org/cgi/pt?id=mdp.39015012272673")</f>
        <v>http://babel.hathitrust.org/cgi/pt?id=mdp.39015012272673</v>
      </c>
      <c r="H1711" t="str">
        <f>HYPERLINK("http://catalog.hathitrust.org/Record/001436125")</f>
        <v>http://catalog.hathitrust.org/Record/001436125</v>
      </c>
      <c r="J1711" s="1">
        <v>1893</v>
      </c>
      <c r="K1711" t="s">
        <v>17042</v>
      </c>
      <c r="L1711" t="s">
        <v>20395</v>
      </c>
    </row>
    <row r="1712" spans="1:12">
      <c r="A1712" t="s">
        <v>17044</v>
      </c>
      <c r="B1712" s="1" t="s">
        <v>17041</v>
      </c>
      <c r="F1712">
        <v>1</v>
      </c>
      <c r="G1712" t="str">
        <f>HYPERLINK("http://babel.hathitrust.org/cgi/pt?id=mdp.39015013120608")</f>
        <v>http://babel.hathitrust.org/cgi/pt?id=mdp.39015013120608</v>
      </c>
      <c r="H1712" t="str">
        <f>HYPERLINK("http://catalog.hathitrust.org/Record/001436125")</f>
        <v>http://catalog.hathitrust.org/Record/001436125</v>
      </c>
      <c r="J1712" s="1">
        <v>1893</v>
      </c>
      <c r="K1712" t="s">
        <v>17042</v>
      </c>
      <c r="L1712" t="s">
        <v>20395</v>
      </c>
    </row>
    <row r="1713" spans="1:12">
      <c r="A1713" t="s">
        <v>17045</v>
      </c>
      <c r="B1713" s="1" t="s">
        <v>17046</v>
      </c>
      <c r="F1713">
        <v>1</v>
      </c>
      <c r="G1713" t="str">
        <f>HYPERLINK("http://babel.hathitrust.org/cgi/pt?id=mdp.39015010470287")</f>
        <v>http://babel.hathitrust.org/cgi/pt?id=mdp.39015010470287</v>
      </c>
      <c r="H1713" t="str">
        <f>HYPERLINK("http://catalog.hathitrust.org/Record/001436145")</f>
        <v>http://catalog.hathitrust.org/Record/001436145</v>
      </c>
      <c r="J1713" s="1">
        <v>1914</v>
      </c>
      <c r="K1713" t="s">
        <v>17047</v>
      </c>
      <c r="L1713" t="s">
        <v>17048</v>
      </c>
    </row>
    <row r="1714" spans="1:12">
      <c r="A1714" t="s">
        <v>17049</v>
      </c>
      <c r="B1714" s="1" t="s">
        <v>17046</v>
      </c>
      <c r="F1714">
        <v>1</v>
      </c>
      <c r="G1714" t="str">
        <f>HYPERLINK("http://babel.hathitrust.org/cgi/pt?id=uc1.b301338")</f>
        <v>http://babel.hathitrust.org/cgi/pt?id=uc1.b301338</v>
      </c>
      <c r="H1714" t="str">
        <f>HYPERLINK("http://catalog.hathitrust.org/Record/001436145")</f>
        <v>http://catalog.hathitrust.org/Record/001436145</v>
      </c>
      <c r="I1714" s="1" t="s">
        <v>17050</v>
      </c>
      <c r="J1714" s="1">
        <v>1914</v>
      </c>
      <c r="K1714" t="s">
        <v>17047</v>
      </c>
      <c r="L1714" t="s">
        <v>17048</v>
      </c>
    </row>
    <row r="1715" spans="1:12">
      <c r="A1715" t="s">
        <v>17051</v>
      </c>
      <c r="B1715" s="1" t="s">
        <v>17046</v>
      </c>
      <c r="F1715">
        <v>1</v>
      </c>
      <c r="G1715" t="str">
        <f>HYPERLINK("http://babel.hathitrust.org/cgi/pt?id=uc2.ark:/13960/t91838p4p")</f>
        <v>http://babel.hathitrust.org/cgi/pt?id=uc2.ark:/13960/t91838p4p</v>
      </c>
      <c r="H1715" t="str">
        <f>HYPERLINK("http://catalog.hathitrust.org/Record/001436145")</f>
        <v>http://catalog.hathitrust.org/Record/001436145</v>
      </c>
      <c r="J1715" s="1">
        <v>1914</v>
      </c>
      <c r="K1715" t="s">
        <v>17047</v>
      </c>
      <c r="L1715" t="s">
        <v>17048</v>
      </c>
    </row>
    <row r="1716" spans="1:12">
      <c r="A1716" t="s">
        <v>17052</v>
      </c>
      <c r="B1716" s="1" t="s">
        <v>17053</v>
      </c>
      <c r="F1716">
        <v>1</v>
      </c>
      <c r="G1716" t="str">
        <f>HYPERLINK("http://babel.hathitrust.org/cgi/pt?id=mdp.39015058694830")</f>
        <v>http://babel.hathitrust.org/cgi/pt?id=mdp.39015058694830</v>
      </c>
      <c r="H1716" t="str">
        <f>HYPERLINK("http://catalog.hathitrust.org/Record/001436147")</f>
        <v>http://catalog.hathitrust.org/Record/001436147</v>
      </c>
      <c r="J1716" s="1">
        <v>1920</v>
      </c>
      <c r="K1716" t="s">
        <v>17054</v>
      </c>
      <c r="L1716" t="s">
        <v>17055</v>
      </c>
    </row>
    <row r="1717" spans="1:12">
      <c r="A1717" t="s">
        <v>17056</v>
      </c>
      <c r="B1717" s="1" t="s">
        <v>17057</v>
      </c>
      <c r="F1717">
        <v>1</v>
      </c>
      <c r="G1717" t="str">
        <f>HYPERLINK("http://babel.hathitrust.org/cgi/pt?id=mdp.39015005277184")</f>
        <v>http://babel.hathitrust.org/cgi/pt?id=mdp.39015005277184</v>
      </c>
      <c r="H1717" t="str">
        <f>HYPERLINK("http://catalog.hathitrust.org/Record/001436148")</f>
        <v>http://catalog.hathitrust.org/Record/001436148</v>
      </c>
      <c r="J1717" s="1">
        <v>1901</v>
      </c>
      <c r="K1717" t="s">
        <v>17058</v>
      </c>
      <c r="L1717" t="s">
        <v>20448</v>
      </c>
    </row>
    <row r="1718" spans="1:12">
      <c r="A1718" t="s">
        <v>17059</v>
      </c>
      <c r="B1718" s="1" t="s">
        <v>17060</v>
      </c>
      <c r="F1718">
        <v>1</v>
      </c>
      <c r="G1718" t="str">
        <f>HYPERLINK("http://babel.hathitrust.org/cgi/pt?id=uc1.$b624102")</f>
        <v>http://babel.hathitrust.org/cgi/pt?id=uc1.$b624102</v>
      </c>
      <c r="H1718" t="str">
        <f>HYPERLINK("http://catalog.hathitrust.org/Record/001436150")</f>
        <v>http://catalog.hathitrust.org/Record/001436150</v>
      </c>
      <c r="J1718" s="1">
        <v>1912</v>
      </c>
      <c r="K1718" t="s">
        <v>17061</v>
      </c>
      <c r="L1718" t="s">
        <v>17062</v>
      </c>
    </row>
    <row r="1719" spans="1:12">
      <c r="A1719" t="s">
        <v>17063</v>
      </c>
      <c r="B1719" s="1" t="s">
        <v>17060</v>
      </c>
      <c r="F1719">
        <v>1</v>
      </c>
      <c r="G1719" t="str">
        <f>HYPERLINK("http://babel.hathitrust.org/cgi/pt?id=uc2.ark:/13960/t5db81x8r")</f>
        <v>http://babel.hathitrust.org/cgi/pt?id=uc2.ark:/13960/t5db81x8r</v>
      </c>
      <c r="H1719" t="str">
        <f>HYPERLINK("http://catalog.hathitrust.org/Record/001436150")</f>
        <v>http://catalog.hathitrust.org/Record/001436150</v>
      </c>
      <c r="J1719" s="1">
        <v>1912</v>
      </c>
      <c r="K1719" t="s">
        <v>17061</v>
      </c>
      <c r="L1719" t="s">
        <v>17062</v>
      </c>
    </row>
    <row r="1720" spans="1:12">
      <c r="A1720" t="s">
        <v>17064</v>
      </c>
      <c r="B1720" s="1" t="s">
        <v>17065</v>
      </c>
      <c r="F1720">
        <v>1</v>
      </c>
      <c r="G1720" t="str">
        <f>HYPERLINK("http://babel.hathitrust.org/cgi/pt?id=mdp.39015058694996")</f>
        <v>http://babel.hathitrust.org/cgi/pt?id=mdp.39015058694996</v>
      </c>
      <c r="H1720" t="str">
        <f>HYPERLINK("http://catalog.hathitrust.org/Record/001436151")</f>
        <v>http://catalog.hathitrust.org/Record/001436151</v>
      </c>
      <c r="J1720" s="1">
        <v>1767</v>
      </c>
      <c r="K1720" t="s">
        <v>17066</v>
      </c>
      <c r="L1720" t="s">
        <v>17067</v>
      </c>
    </row>
    <row r="1721" spans="1:12">
      <c r="A1721" t="s">
        <v>17068</v>
      </c>
      <c r="B1721" s="1" t="s">
        <v>17069</v>
      </c>
      <c r="F1721">
        <v>1</v>
      </c>
      <c r="G1721" t="str">
        <f>HYPERLINK("http://babel.hathitrust.org/cgi/pt?id=mdp.39015031014726")</f>
        <v>http://babel.hathitrust.org/cgi/pt?id=mdp.39015031014726</v>
      </c>
      <c r="H1721" t="str">
        <f>HYPERLINK("http://catalog.hathitrust.org/Record/001436163")</f>
        <v>http://catalog.hathitrust.org/Record/001436163</v>
      </c>
      <c r="J1721" s="1">
        <v>1896</v>
      </c>
      <c r="K1721" t="s">
        <v>17070</v>
      </c>
      <c r="L1721" t="s">
        <v>17071</v>
      </c>
    </row>
    <row r="1722" spans="1:12">
      <c r="A1722" t="s">
        <v>17072</v>
      </c>
      <c r="B1722" s="1" t="s">
        <v>17073</v>
      </c>
      <c r="F1722">
        <v>1</v>
      </c>
      <c r="G1722" t="str">
        <f>HYPERLINK("http://babel.hathitrust.org/cgi/pt?id=mdp.39015058693782")</f>
        <v>http://babel.hathitrust.org/cgi/pt?id=mdp.39015058693782</v>
      </c>
      <c r="H1722" t="str">
        <f>HYPERLINK("http://catalog.hathitrust.org/Record/001436170")</f>
        <v>http://catalog.hathitrust.org/Record/001436170</v>
      </c>
      <c r="J1722" s="1">
        <v>1893</v>
      </c>
      <c r="K1722" t="s">
        <v>17074</v>
      </c>
      <c r="L1722" t="s">
        <v>17075</v>
      </c>
    </row>
    <row r="1723" spans="1:12">
      <c r="A1723" t="s">
        <v>17076</v>
      </c>
      <c r="B1723" s="1" t="s">
        <v>17077</v>
      </c>
      <c r="F1723">
        <v>1</v>
      </c>
      <c r="G1723" t="str">
        <f>HYPERLINK("http://babel.hathitrust.org/cgi/pt?id=mdp.39015031014627")</f>
        <v>http://babel.hathitrust.org/cgi/pt?id=mdp.39015031014627</v>
      </c>
      <c r="H1723" t="str">
        <f>HYPERLINK("http://catalog.hathitrust.org/Record/001436172")</f>
        <v>http://catalog.hathitrust.org/Record/001436172</v>
      </c>
      <c r="J1723" s="1">
        <v>1739</v>
      </c>
      <c r="K1723" t="s">
        <v>17078</v>
      </c>
      <c r="L1723" t="s">
        <v>17079</v>
      </c>
    </row>
    <row r="1724" spans="1:12">
      <c r="A1724" t="s">
        <v>17080</v>
      </c>
      <c r="B1724" s="1" t="s">
        <v>17081</v>
      </c>
      <c r="F1724">
        <v>1</v>
      </c>
      <c r="G1724" t="str">
        <f>HYPERLINK("http://babel.hathitrust.org/cgi/pt?id=mdp.39015070577997")</f>
        <v>http://babel.hathitrust.org/cgi/pt?id=mdp.39015070577997</v>
      </c>
      <c r="H1724" t="str">
        <f>HYPERLINK("http://catalog.hathitrust.org/Record/001436173")</f>
        <v>http://catalog.hathitrust.org/Record/001436173</v>
      </c>
      <c r="J1724" s="1">
        <v>1897</v>
      </c>
      <c r="K1724" t="s">
        <v>17082</v>
      </c>
      <c r="L1724" t="s">
        <v>17083</v>
      </c>
    </row>
    <row r="1725" spans="1:12">
      <c r="A1725" t="s">
        <v>17084</v>
      </c>
      <c r="B1725" s="1" t="s">
        <v>17085</v>
      </c>
      <c r="F1725">
        <v>1</v>
      </c>
      <c r="G1725" t="str">
        <f>HYPERLINK("http://babel.hathitrust.org/cgi/pt?id=mdp.39015031013637")</f>
        <v>http://babel.hathitrust.org/cgi/pt?id=mdp.39015031013637</v>
      </c>
      <c r="H1725" t="str">
        <f>HYPERLINK("http://catalog.hathitrust.org/Record/001436186")</f>
        <v>http://catalog.hathitrust.org/Record/001436186</v>
      </c>
      <c r="J1725" s="1">
        <v>1903</v>
      </c>
      <c r="K1725" t="s">
        <v>16940</v>
      </c>
      <c r="L1725" t="s">
        <v>16941</v>
      </c>
    </row>
    <row r="1726" spans="1:12">
      <c r="A1726" t="s">
        <v>16942</v>
      </c>
      <c r="B1726" s="1" t="s">
        <v>17085</v>
      </c>
      <c r="F1726">
        <v>1</v>
      </c>
      <c r="G1726" t="str">
        <f>HYPERLINK("http://babel.hathitrust.org/cgi/pt?id=nyp.33433082513544")</f>
        <v>http://babel.hathitrust.org/cgi/pt?id=nyp.33433082513544</v>
      </c>
      <c r="H1726" t="str">
        <f>HYPERLINK("http://catalog.hathitrust.org/Record/001436186")</f>
        <v>http://catalog.hathitrust.org/Record/001436186</v>
      </c>
      <c r="J1726" s="1">
        <v>1903</v>
      </c>
      <c r="K1726" t="s">
        <v>16940</v>
      </c>
      <c r="L1726" t="s">
        <v>16941</v>
      </c>
    </row>
    <row r="1727" spans="1:12">
      <c r="A1727" t="s">
        <v>16943</v>
      </c>
      <c r="B1727" s="1" t="s">
        <v>16944</v>
      </c>
      <c r="E1727">
        <v>1</v>
      </c>
      <c r="G1727" t="str">
        <f>HYPERLINK("http://babel.hathitrust.org/cgi/pt?id=mdp.39015031013561")</f>
        <v>http://babel.hathitrust.org/cgi/pt?id=mdp.39015031013561</v>
      </c>
      <c r="H1727" t="str">
        <f>HYPERLINK("http://catalog.hathitrust.org/Record/001436193")</f>
        <v>http://catalog.hathitrust.org/Record/001436193</v>
      </c>
      <c r="J1727" s="1">
        <v>1912</v>
      </c>
      <c r="K1727" t="s">
        <v>16945</v>
      </c>
      <c r="L1727" t="s">
        <v>16946</v>
      </c>
    </row>
    <row r="1728" spans="1:12">
      <c r="A1728" t="s">
        <v>16947</v>
      </c>
      <c r="B1728" s="1" t="s">
        <v>16948</v>
      </c>
      <c r="F1728">
        <v>1</v>
      </c>
      <c r="G1728" t="str">
        <f>HYPERLINK("http://babel.hathitrust.org/cgi/pt?id=mdp.39015049769832")</f>
        <v>http://babel.hathitrust.org/cgi/pt?id=mdp.39015049769832</v>
      </c>
      <c r="H1728" t="str">
        <f>HYPERLINK("http://catalog.hathitrust.org/Record/001436203")</f>
        <v>http://catalog.hathitrust.org/Record/001436203</v>
      </c>
      <c r="J1728" s="1">
        <v>1894</v>
      </c>
      <c r="K1728" t="s">
        <v>16949</v>
      </c>
      <c r="L1728" t="s">
        <v>16950</v>
      </c>
    </row>
    <row r="1729" spans="1:12">
      <c r="A1729" t="s">
        <v>16951</v>
      </c>
      <c r="B1729" s="1" t="s">
        <v>16948</v>
      </c>
      <c r="F1729">
        <v>1</v>
      </c>
      <c r="G1729" t="str">
        <f>HYPERLINK("http://babel.hathitrust.org/cgi/pt?id=uc1.b4095621")</f>
        <v>http://babel.hathitrust.org/cgi/pt?id=uc1.b4095621</v>
      </c>
      <c r="H1729" t="str">
        <f>HYPERLINK("http://catalog.hathitrust.org/Record/001436203")</f>
        <v>http://catalog.hathitrust.org/Record/001436203</v>
      </c>
      <c r="J1729" s="1">
        <v>1894</v>
      </c>
      <c r="K1729" t="s">
        <v>16949</v>
      </c>
      <c r="L1729" t="s">
        <v>16950</v>
      </c>
    </row>
    <row r="1730" spans="1:12">
      <c r="A1730" t="s">
        <v>16952</v>
      </c>
      <c r="B1730" s="1" t="s">
        <v>16948</v>
      </c>
      <c r="F1730">
        <v>1</v>
      </c>
      <c r="G1730" t="str">
        <f>HYPERLINK("http://babel.hathitrust.org/cgi/pt?id=uc2.ark:/13960/t3pv6ns8r")</f>
        <v>http://babel.hathitrust.org/cgi/pt?id=uc2.ark:/13960/t3pv6ns8r</v>
      </c>
      <c r="H1730" t="str">
        <f>HYPERLINK("http://catalog.hathitrust.org/Record/001436203")</f>
        <v>http://catalog.hathitrust.org/Record/001436203</v>
      </c>
      <c r="J1730" s="1">
        <v>1894</v>
      </c>
      <c r="K1730" t="s">
        <v>16949</v>
      </c>
      <c r="L1730" t="s">
        <v>16950</v>
      </c>
    </row>
    <row r="1731" spans="1:12">
      <c r="A1731" t="s">
        <v>16953</v>
      </c>
      <c r="B1731" s="1" t="s">
        <v>16954</v>
      </c>
      <c r="D1731">
        <v>1</v>
      </c>
      <c r="G1731" t="str">
        <f>HYPERLINK("http://babel.hathitrust.org/cgi/pt?id=njp.32101072898339")</f>
        <v>http://babel.hathitrust.org/cgi/pt?id=njp.32101072898339</v>
      </c>
      <c r="H1731" t="str">
        <f>HYPERLINK("http://catalog.hathitrust.org/Record/001436204")</f>
        <v>http://catalog.hathitrust.org/Record/001436204</v>
      </c>
      <c r="J1731" s="1">
        <v>1907</v>
      </c>
      <c r="K1731" t="s">
        <v>16955</v>
      </c>
      <c r="L1731" t="s">
        <v>16956</v>
      </c>
    </row>
    <row r="1732" spans="1:12">
      <c r="A1732" t="s">
        <v>16957</v>
      </c>
      <c r="B1732" s="1" t="s">
        <v>16958</v>
      </c>
      <c r="F1732">
        <v>1</v>
      </c>
      <c r="G1732" t="str">
        <f>HYPERLINK("http://babel.hathitrust.org/cgi/pt?id=mdp.39015031013462")</f>
        <v>http://babel.hathitrust.org/cgi/pt?id=mdp.39015031013462</v>
      </c>
      <c r="H1732" t="str">
        <f>HYPERLINK("http://catalog.hathitrust.org/Record/001436233")</f>
        <v>http://catalog.hathitrust.org/Record/001436233</v>
      </c>
      <c r="J1732" s="1">
        <v>1917</v>
      </c>
      <c r="K1732" t="s">
        <v>16959</v>
      </c>
      <c r="L1732" t="s">
        <v>16960</v>
      </c>
    </row>
    <row r="1733" spans="1:12">
      <c r="A1733" t="s">
        <v>16961</v>
      </c>
      <c r="B1733" s="1" t="s">
        <v>16962</v>
      </c>
      <c r="F1733">
        <v>1</v>
      </c>
      <c r="G1733" t="str">
        <f>HYPERLINK("http://babel.hathitrust.org/cgi/pt?id=mdp.39015019229627")</f>
        <v>http://babel.hathitrust.org/cgi/pt?id=mdp.39015019229627</v>
      </c>
      <c r="H1733" t="str">
        <f>HYPERLINK("http://catalog.hathitrust.org/Record/001436239")</f>
        <v>http://catalog.hathitrust.org/Record/001436239</v>
      </c>
      <c r="J1733" s="1">
        <v>1922</v>
      </c>
      <c r="K1733" t="s">
        <v>16963</v>
      </c>
      <c r="L1733" t="s">
        <v>16964</v>
      </c>
    </row>
    <row r="1734" spans="1:12">
      <c r="A1734" t="s">
        <v>16965</v>
      </c>
      <c r="B1734" s="1" t="s">
        <v>16966</v>
      </c>
      <c r="F1734">
        <v>1</v>
      </c>
      <c r="G1734" t="str">
        <f>HYPERLINK("http://babel.hathitrust.org/cgi/pt?id=mdp.39015019229619")</f>
        <v>http://babel.hathitrust.org/cgi/pt?id=mdp.39015019229619</v>
      </c>
      <c r="H1734" t="str">
        <f>HYPERLINK("http://catalog.hathitrust.org/Record/001436246")</f>
        <v>http://catalog.hathitrust.org/Record/001436246</v>
      </c>
      <c r="J1734" s="1">
        <v>1908</v>
      </c>
      <c r="K1734" t="s">
        <v>16967</v>
      </c>
      <c r="L1734" t="s">
        <v>16968</v>
      </c>
    </row>
    <row r="1735" spans="1:12">
      <c r="A1735" t="s">
        <v>16969</v>
      </c>
      <c r="B1735" s="1" t="s">
        <v>16966</v>
      </c>
      <c r="F1735">
        <v>1</v>
      </c>
      <c r="G1735" t="str">
        <f>HYPERLINK("http://babel.hathitrust.org/cgi/pt?id=uc1.b258608")</f>
        <v>http://babel.hathitrust.org/cgi/pt?id=uc1.b258608</v>
      </c>
      <c r="H1735" t="str">
        <f>HYPERLINK("http://catalog.hathitrust.org/Record/001436246")</f>
        <v>http://catalog.hathitrust.org/Record/001436246</v>
      </c>
      <c r="J1735" s="1">
        <v>1908</v>
      </c>
      <c r="K1735" t="s">
        <v>16967</v>
      </c>
      <c r="L1735" t="s">
        <v>16968</v>
      </c>
    </row>
    <row r="1736" spans="1:12">
      <c r="A1736" t="s">
        <v>16970</v>
      </c>
      <c r="B1736" s="1" t="s">
        <v>16966</v>
      </c>
      <c r="F1736">
        <v>1</v>
      </c>
      <c r="G1736" t="str">
        <f>HYPERLINK("http://babel.hathitrust.org/cgi/pt?id=uc2.ark:/13960/t6n012q3d")</f>
        <v>http://babel.hathitrust.org/cgi/pt?id=uc2.ark:/13960/t6n012q3d</v>
      </c>
      <c r="H1736" t="str">
        <f>HYPERLINK("http://catalog.hathitrust.org/Record/001436246")</f>
        <v>http://catalog.hathitrust.org/Record/001436246</v>
      </c>
      <c r="J1736" s="1">
        <v>1908</v>
      </c>
      <c r="K1736" t="s">
        <v>16967</v>
      </c>
      <c r="L1736" t="s">
        <v>16968</v>
      </c>
    </row>
    <row r="1737" spans="1:12">
      <c r="A1737" t="s">
        <v>16971</v>
      </c>
      <c r="B1737" s="1" t="s">
        <v>16972</v>
      </c>
      <c r="E1737">
        <v>1</v>
      </c>
      <c r="F1737">
        <v>1</v>
      </c>
      <c r="G1737" t="str">
        <f>HYPERLINK("http://babel.hathitrust.org/cgi/pt?id=mdp.39015008461991")</f>
        <v>http://babel.hathitrust.org/cgi/pt?id=mdp.39015008461991</v>
      </c>
      <c r="H1737" t="str">
        <f>HYPERLINK("http://catalog.hathitrust.org/Record/001436256")</f>
        <v>http://catalog.hathitrust.org/Record/001436256</v>
      </c>
      <c r="J1737" s="1">
        <v>1916</v>
      </c>
      <c r="K1737" t="s">
        <v>16973</v>
      </c>
      <c r="L1737" t="s">
        <v>16974</v>
      </c>
    </row>
    <row r="1738" spans="1:12">
      <c r="A1738" t="s">
        <v>16975</v>
      </c>
      <c r="B1738" s="1" t="s">
        <v>16972</v>
      </c>
      <c r="F1738">
        <v>1</v>
      </c>
      <c r="G1738" t="str">
        <f>HYPERLINK("http://babel.hathitrust.org/cgi/pt?id=mdp.39015028765496")</f>
        <v>http://babel.hathitrust.org/cgi/pt?id=mdp.39015028765496</v>
      </c>
      <c r="H1738" t="str">
        <f>HYPERLINK("http://catalog.hathitrust.org/Record/001436256")</f>
        <v>http://catalog.hathitrust.org/Record/001436256</v>
      </c>
      <c r="J1738" s="1">
        <v>1916</v>
      </c>
      <c r="K1738" t="s">
        <v>16973</v>
      </c>
      <c r="L1738" t="s">
        <v>16974</v>
      </c>
    </row>
    <row r="1739" spans="1:12">
      <c r="A1739" t="s">
        <v>16976</v>
      </c>
      <c r="B1739" s="1" t="s">
        <v>16977</v>
      </c>
      <c r="F1739">
        <v>1</v>
      </c>
      <c r="G1739" t="str">
        <f>HYPERLINK("http://babel.hathitrust.org/cgi/pt?id=mdp.39015059895626")</f>
        <v>http://babel.hathitrust.org/cgi/pt?id=mdp.39015059895626</v>
      </c>
      <c r="H1739" t="str">
        <f>HYPERLINK("http://catalog.hathitrust.org/Record/001436258")</f>
        <v>http://catalog.hathitrust.org/Record/001436258</v>
      </c>
      <c r="J1739" s="1">
        <v>1917</v>
      </c>
      <c r="K1739" t="s">
        <v>16978</v>
      </c>
      <c r="L1739" t="s">
        <v>16979</v>
      </c>
    </row>
    <row r="1740" spans="1:12">
      <c r="A1740" t="s">
        <v>16980</v>
      </c>
      <c r="B1740" s="1" t="s">
        <v>16977</v>
      </c>
      <c r="F1740">
        <v>1</v>
      </c>
      <c r="G1740" t="str">
        <f>HYPERLINK("http://babel.hathitrust.org/cgi/pt?id=nyp.33433082511480")</f>
        <v>http://babel.hathitrust.org/cgi/pt?id=nyp.33433082511480</v>
      </c>
      <c r="H1740" t="str">
        <f>HYPERLINK("http://catalog.hathitrust.org/Record/001436258")</f>
        <v>http://catalog.hathitrust.org/Record/001436258</v>
      </c>
      <c r="J1740" s="1">
        <v>1917</v>
      </c>
      <c r="K1740" t="s">
        <v>16978</v>
      </c>
      <c r="L1740" t="s">
        <v>16979</v>
      </c>
    </row>
    <row r="1741" spans="1:12">
      <c r="A1741" t="s">
        <v>16981</v>
      </c>
      <c r="B1741" s="1" t="s">
        <v>16982</v>
      </c>
      <c r="F1741">
        <v>1</v>
      </c>
      <c r="G1741" t="str">
        <f>HYPERLINK("http://babel.hathitrust.org/cgi/pt?id=nyp.33433082511472")</f>
        <v>http://babel.hathitrust.org/cgi/pt?id=nyp.33433082511472</v>
      </c>
      <c r="H1741" t="str">
        <f>HYPERLINK("http://catalog.hathitrust.org/Record/001436281")</f>
        <v>http://catalog.hathitrust.org/Record/001436281</v>
      </c>
      <c r="J1741" s="1">
        <v>1911</v>
      </c>
      <c r="K1741" t="s">
        <v>16983</v>
      </c>
      <c r="L1741" t="s">
        <v>16984</v>
      </c>
    </row>
    <row r="1742" spans="1:12">
      <c r="A1742" t="s">
        <v>16985</v>
      </c>
      <c r="B1742" s="1" t="s">
        <v>16982</v>
      </c>
      <c r="F1742">
        <v>1</v>
      </c>
      <c r="G1742" t="str">
        <f>HYPERLINK("http://babel.hathitrust.org/cgi/pt?id=uc1.b307982")</f>
        <v>http://babel.hathitrust.org/cgi/pt?id=uc1.b307982</v>
      </c>
      <c r="H1742" t="str">
        <f>HYPERLINK("http://catalog.hathitrust.org/Record/001436281")</f>
        <v>http://catalog.hathitrust.org/Record/001436281</v>
      </c>
      <c r="J1742" s="1">
        <v>1911</v>
      </c>
      <c r="K1742" t="s">
        <v>16983</v>
      </c>
      <c r="L1742" t="s">
        <v>16984</v>
      </c>
    </row>
    <row r="1743" spans="1:12">
      <c r="A1743" t="s">
        <v>16986</v>
      </c>
      <c r="B1743" s="1" t="s">
        <v>16982</v>
      </c>
      <c r="F1743">
        <v>1</v>
      </c>
      <c r="G1743" t="str">
        <f>HYPERLINK("http://babel.hathitrust.org/cgi/pt?id=uc2.ark:/13960/t6rx97b68")</f>
        <v>http://babel.hathitrust.org/cgi/pt?id=uc2.ark:/13960/t6rx97b68</v>
      </c>
      <c r="H1743" t="str">
        <f>HYPERLINK("http://catalog.hathitrust.org/Record/001436281")</f>
        <v>http://catalog.hathitrust.org/Record/001436281</v>
      </c>
      <c r="J1743" s="1">
        <v>1911</v>
      </c>
      <c r="K1743" t="s">
        <v>16983</v>
      </c>
      <c r="L1743" t="s">
        <v>16984</v>
      </c>
    </row>
    <row r="1744" spans="1:12">
      <c r="A1744" t="s">
        <v>16987</v>
      </c>
      <c r="B1744" s="1" t="s">
        <v>16988</v>
      </c>
      <c r="F1744">
        <v>1</v>
      </c>
      <c r="G1744" t="str">
        <f>HYPERLINK("http://babel.hathitrust.org/cgi/pt?id=mdp.39015030868163")</f>
        <v>http://babel.hathitrust.org/cgi/pt?id=mdp.39015030868163</v>
      </c>
      <c r="H1744" t="str">
        <f>HYPERLINK("http://catalog.hathitrust.org/Record/001436284")</f>
        <v>http://catalog.hathitrust.org/Record/001436284</v>
      </c>
      <c r="J1744" s="1">
        <v>1923</v>
      </c>
      <c r="K1744" t="s">
        <v>16989</v>
      </c>
      <c r="L1744" t="s">
        <v>16990</v>
      </c>
    </row>
    <row r="1745" spans="1:12">
      <c r="A1745" t="s">
        <v>16991</v>
      </c>
      <c r="B1745" s="1" t="s">
        <v>16988</v>
      </c>
      <c r="F1745">
        <v>1</v>
      </c>
      <c r="G1745" t="str">
        <f>HYPERLINK("http://babel.hathitrust.org/cgi/pt?id=nyp.33433082502695")</f>
        <v>http://babel.hathitrust.org/cgi/pt?id=nyp.33433082502695</v>
      </c>
      <c r="H1745" t="str">
        <f>HYPERLINK("http://catalog.hathitrust.org/Record/001436284")</f>
        <v>http://catalog.hathitrust.org/Record/001436284</v>
      </c>
      <c r="J1745" s="1">
        <v>1923</v>
      </c>
      <c r="K1745" t="s">
        <v>16989</v>
      </c>
      <c r="L1745" t="s">
        <v>16990</v>
      </c>
    </row>
    <row r="1746" spans="1:12">
      <c r="A1746" t="s">
        <v>16992</v>
      </c>
      <c r="B1746" s="1" t="s">
        <v>16993</v>
      </c>
      <c r="F1746">
        <v>1</v>
      </c>
      <c r="G1746" t="str">
        <f>HYPERLINK("http://babel.hathitrust.org/cgi/pt?id=mdp.39015030868171")</f>
        <v>http://babel.hathitrust.org/cgi/pt?id=mdp.39015030868171</v>
      </c>
      <c r="H1746" t="str">
        <f>HYPERLINK("http://catalog.hathitrust.org/Record/001436292")</f>
        <v>http://catalog.hathitrust.org/Record/001436292</v>
      </c>
      <c r="J1746" s="1">
        <v>1926</v>
      </c>
      <c r="K1746" t="s">
        <v>16994</v>
      </c>
      <c r="L1746" t="s">
        <v>16995</v>
      </c>
    </row>
    <row r="1747" spans="1:12">
      <c r="A1747" t="s">
        <v>16996</v>
      </c>
      <c r="B1747" s="1" t="s">
        <v>16993</v>
      </c>
      <c r="F1747">
        <v>1</v>
      </c>
      <c r="G1747" t="str">
        <f>HYPERLINK("http://babel.hathitrust.org/cgi/pt?id=uc1.b302949")</f>
        <v>http://babel.hathitrust.org/cgi/pt?id=uc1.b302949</v>
      </c>
      <c r="H1747" t="str">
        <f>HYPERLINK("http://catalog.hathitrust.org/Record/001436292")</f>
        <v>http://catalog.hathitrust.org/Record/001436292</v>
      </c>
      <c r="J1747" s="1">
        <v>1926</v>
      </c>
      <c r="K1747" t="s">
        <v>16994</v>
      </c>
      <c r="L1747" t="s">
        <v>16995</v>
      </c>
    </row>
    <row r="1748" spans="1:12">
      <c r="A1748" t="s">
        <v>16997</v>
      </c>
      <c r="B1748" s="1" t="s">
        <v>16998</v>
      </c>
      <c r="F1748">
        <v>1</v>
      </c>
      <c r="G1748" t="str">
        <f>HYPERLINK("http://babel.hathitrust.org/cgi/pt?id=nyp.33433082513288")</f>
        <v>http://babel.hathitrust.org/cgi/pt?id=nyp.33433082513288</v>
      </c>
      <c r="H1748" t="str">
        <f>HYPERLINK("http://catalog.hathitrust.org/Record/001436294")</f>
        <v>http://catalog.hathitrust.org/Record/001436294</v>
      </c>
      <c r="J1748" s="1">
        <v>1913</v>
      </c>
      <c r="K1748" t="s">
        <v>16999</v>
      </c>
      <c r="L1748" t="s">
        <v>17000</v>
      </c>
    </row>
    <row r="1749" spans="1:12">
      <c r="A1749" t="s">
        <v>17001</v>
      </c>
      <c r="B1749" s="1" t="s">
        <v>17002</v>
      </c>
      <c r="F1749">
        <v>1</v>
      </c>
      <c r="G1749" t="str">
        <f>HYPERLINK("http://babel.hathitrust.org/cgi/pt?id=chi.087150797")</f>
        <v>http://babel.hathitrust.org/cgi/pt?id=chi.087150797</v>
      </c>
      <c r="H1749" t="str">
        <f>HYPERLINK("http://catalog.hathitrust.org/Record/001436309")</f>
        <v>http://catalog.hathitrust.org/Record/001436309</v>
      </c>
      <c r="I1749" s="1" t="s">
        <v>17004</v>
      </c>
      <c r="J1749" s="1">
        <v>1913</v>
      </c>
      <c r="K1749" t="s">
        <v>17003</v>
      </c>
      <c r="L1749" t="s">
        <v>17005</v>
      </c>
    </row>
    <row r="1750" spans="1:12">
      <c r="A1750" t="s">
        <v>17006</v>
      </c>
      <c r="B1750" s="1" t="s">
        <v>17007</v>
      </c>
      <c r="F1750">
        <v>1</v>
      </c>
      <c r="G1750" t="str">
        <f>HYPERLINK("http://babel.hathitrust.org/cgi/pt?id=mdp.39015014330255")</f>
        <v>http://babel.hathitrust.org/cgi/pt?id=mdp.39015014330255</v>
      </c>
      <c r="H1750" t="str">
        <f>HYPERLINK("http://catalog.hathitrust.org/Record/001436313")</f>
        <v>http://catalog.hathitrust.org/Record/001436313</v>
      </c>
      <c r="J1750" s="1">
        <v>1912</v>
      </c>
      <c r="K1750" t="s">
        <v>17008</v>
      </c>
      <c r="L1750" t="s">
        <v>17009</v>
      </c>
    </row>
    <row r="1751" spans="1:12">
      <c r="A1751" t="s">
        <v>17010</v>
      </c>
      <c r="B1751" s="1" t="s">
        <v>17007</v>
      </c>
      <c r="F1751">
        <v>1</v>
      </c>
      <c r="G1751" t="str">
        <f>HYPERLINK("http://babel.hathitrust.org/cgi/pt?id=nyp.33433082512314")</f>
        <v>http://babel.hathitrust.org/cgi/pt?id=nyp.33433082512314</v>
      </c>
      <c r="H1751" t="str">
        <f>HYPERLINK("http://catalog.hathitrust.org/Record/001436313")</f>
        <v>http://catalog.hathitrust.org/Record/001436313</v>
      </c>
      <c r="J1751" s="1">
        <v>1912</v>
      </c>
      <c r="K1751" t="s">
        <v>17008</v>
      </c>
      <c r="L1751" t="s">
        <v>17009</v>
      </c>
    </row>
    <row r="1752" spans="1:12">
      <c r="A1752" t="s">
        <v>17011</v>
      </c>
      <c r="B1752" s="1" t="s">
        <v>17012</v>
      </c>
      <c r="F1752">
        <v>1</v>
      </c>
      <c r="G1752" t="str">
        <f>HYPERLINK("http://babel.hathitrust.org/cgi/pt?id=mdp.39015030868254")</f>
        <v>http://babel.hathitrust.org/cgi/pt?id=mdp.39015030868254</v>
      </c>
      <c r="H1752" t="str">
        <f>HYPERLINK("http://catalog.hathitrust.org/Record/001436314")</f>
        <v>http://catalog.hathitrust.org/Record/001436314</v>
      </c>
      <c r="J1752" s="1">
        <v>1922</v>
      </c>
      <c r="K1752" t="s">
        <v>16877</v>
      </c>
      <c r="L1752" t="s">
        <v>16878</v>
      </c>
    </row>
    <row r="1753" spans="1:12">
      <c r="A1753" t="s">
        <v>16879</v>
      </c>
      <c r="B1753" s="1" t="s">
        <v>16880</v>
      </c>
      <c r="F1753">
        <v>1</v>
      </c>
      <c r="G1753" t="str">
        <f>HYPERLINK("http://babel.hathitrust.org/cgi/pt?id=mdp.39015059896103")</f>
        <v>http://babel.hathitrust.org/cgi/pt?id=mdp.39015059896103</v>
      </c>
      <c r="H1753" t="str">
        <f>HYPERLINK("http://catalog.hathitrust.org/Record/001436317")</f>
        <v>http://catalog.hathitrust.org/Record/001436317</v>
      </c>
      <c r="J1753" s="1">
        <v>1920</v>
      </c>
      <c r="K1753" t="s">
        <v>16881</v>
      </c>
      <c r="L1753" t="s">
        <v>16882</v>
      </c>
    </row>
    <row r="1754" spans="1:12">
      <c r="A1754" t="s">
        <v>16883</v>
      </c>
      <c r="B1754" s="1" t="s">
        <v>16880</v>
      </c>
      <c r="F1754">
        <v>1</v>
      </c>
      <c r="G1754" t="str">
        <f>HYPERLINK("http://babel.hathitrust.org/cgi/pt?id=uc1.b258221")</f>
        <v>http://babel.hathitrust.org/cgi/pt?id=uc1.b258221</v>
      </c>
      <c r="H1754" t="str">
        <f>HYPERLINK("http://catalog.hathitrust.org/Record/001436317")</f>
        <v>http://catalog.hathitrust.org/Record/001436317</v>
      </c>
      <c r="J1754" s="1">
        <v>1920</v>
      </c>
      <c r="K1754" t="s">
        <v>16881</v>
      </c>
      <c r="L1754" t="s">
        <v>16882</v>
      </c>
    </row>
    <row r="1755" spans="1:12">
      <c r="A1755" t="s">
        <v>16884</v>
      </c>
      <c r="B1755" s="1" t="s">
        <v>16880</v>
      </c>
      <c r="F1755">
        <v>1</v>
      </c>
      <c r="G1755" t="str">
        <f>HYPERLINK("http://babel.hathitrust.org/cgi/pt?id=uc2.ark:/13960/t4jm2676b")</f>
        <v>http://babel.hathitrust.org/cgi/pt?id=uc2.ark:/13960/t4jm2676b</v>
      </c>
      <c r="H1755" t="str">
        <f>HYPERLINK("http://catalog.hathitrust.org/Record/001436317")</f>
        <v>http://catalog.hathitrust.org/Record/001436317</v>
      </c>
      <c r="J1755" s="1">
        <v>1920</v>
      </c>
      <c r="K1755" t="s">
        <v>16881</v>
      </c>
      <c r="L1755" t="s">
        <v>16882</v>
      </c>
    </row>
    <row r="1756" spans="1:12">
      <c r="A1756" t="s">
        <v>16885</v>
      </c>
      <c r="B1756" s="1" t="s">
        <v>16886</v>
      </c>
      <c r="F1756">
        <v>1</v>
      </c>
      <c r="G1756" t="str">
        <f>HYPERLINK("http://babel.hathitrust.org/cgi/pt?id=mdp.39015010478264")</f>
        <v>http://babel.hathitrust.org/cgi/pt?id=mdp.39015010478264</v>
      </c>
      <c r="H1756" t="str">
        <f>HYPERLINK("http://catalog.hathitrust.org/Record/001436321")</f>
        <v>http://catalog.hathitrust.org/Record/001436321</v>
      </c>
      <c r="J1756" s="1">
        <v>1957</v>
      </c>
      <c r="K1756" t="s">
        <v>16887</v>
      </c>
    </row>
    <row r="1757" spans="1:12">
      <c r="A1757" t="s">
        <v>16888</v>
      </c>
      <c r="B1757" s="1" t="s">
        <v>16886</v>
      </c>
      <c r="F1757">
        <v>1</v>
      </c>
      <c r="G1757" t="str">
        <f>HYPERLINK("http://babel.hathitrust.org/cgi/pt?id=uc1.b170225")</f>
        <v>http://babel.hathitrust.org/cgi/pt?id=uc1.b170225</v>
      </c>
      <c r="H1757" t="str">
        <f>HYPERLINK("http://catalog.hathitrust.org/Record/001436321")</f>
        <v>http://catalog.hathitrust.org/Record/001436321</v>
      </c>
      <c r="J1757" s="1">
        <v>1957</v>
      </c>
      <c r="K1757" t="s">
        <v>16887</v>
      </c>
    </row>
    <row r="1758" spans="1:12">
      <c r="A1758" t="s">
        <v>16889</v>
      </c>
      <c r="B1758" s="1" t="s">
        <v>16890</v>
      </c>
      <c r="F1758">
        <v>1</v>
      </c>
      <c r="G1758" t="str">
        <f>HYPERLINK("http://babel.hathitrust.org/cgi/pt?id=mdp.39015019222473")</f>
        <v>http://babel.hathitrust.org/cgi/pt?id=mdp.39015019222473</v>
      </c>
      <c r="H1758" t="str">
        <f>HYPERLINK("http://catalog.hathitrust.org/Record/001436324")</f>
        <v>http://catalog.hathitrust.org/Record/001436324</v>
      </c>
      <c r="J1758" s="1">
        <v>1914</v>
      </c>
      <c r="K1758" t="s">
        <v>16891</v>
      </c>
      <c r="L1758" t="s">
        <v>16892</v>
      </c>
    </row>
    <row r="1759" spans="1:12">
      <c r="A1759" t="s">
        <v>16893</v>
      </c>
      <c r="B1759" s="1" t="s">
        <v>16890</v>
      </c>
      <c r="F1759">
        <v>1</v>
      </c>
      <c r="G1759" t="str">
        <f>HYPERLINK("http://babel.hathitrust.org/cgi/pt?id=nyp.33433082513668")</f>
        <v>http://babel.hathitrust.org/cgi/pt?id=nyp.33433082513668</v>
      </c>
      <c r="H1759" t="str">
        <f>HYPERLINK("http://catalog.hathitrust.org/Record/001436324")</f>
        <v>http://catalog.hathitrust.org/Record/001436324</v>
      </c>
      <c r="J1759" s="1">
        <v>1914</v>
      </c>
      <c r="K1759" t="s">
        <v>16891</v>
      </c>
      <c r="L1759" t="s">
        <v>16892</v>
      </c>
    </row>
    <row r="1760" spans="1:12">
      <c r="A1760" t="s">
        <v>16894</v>
      </c>
      <c r="B1760" s="1" t="s">
        <v>16890</v>
      </c>
      <c r="F1760">
        <v>1</v>
      </c>
      <c r="G1760" t="str">
        <f>HYPERLINK("http://babel.hathitrust.org/cgi/pt?id=uc1.$b617237")</f>
        <v>http://babel.hathitrust.org/cgi/pt?id=uc1.$b617237</v>
      </c>
      <c r="H1760" t="str">
        <f>HYPERLINK("http://catalog.hathitrust.org/Record/001436324")</f>
        <v>http://catalog.hathitrust.org/Record/001436324</v>
      </c>
      <c r="J1760" s="1">
        <v>1914</v>
      </c>
      <c r="K1760" t="s">
        <v>16891</v>
      </c>
      <c r="L1760" t="s">
        <v>16892</v>
      </c>
    </row>
    <row r="1761" spans="1:12">
      <c r="A1761" t="s">
        <v>16895</v>
      </c>
      <c r="B1761" s="1" t="s">
        <v>16890</v>
      </c>
      <c r="F1761">
        <v>1</v>
      </c>
      <c r="G1761" t="str">
        <f>HYPERLINK("http://babel.hathitrust.org/cgi/pt?id=uc2.ark:/13960/t5z60h962")</f>
        <v>http://babel.hathitrust.org/cgi/pt?id=uc2.ark:/13960/t5z60h962</v>
      </c>
      <c r="H1761" t="str">
        <f>HYPERLINK("http://catalog.hathitrust.org/Record/001436324")</f>
        <v>http://catalog.hathitrust.org/Record/001436324</v>
      </c>
      <c r="J1761" s="1">
        <v>1914</v>
      </c>
      <c r="K1761" t="s">
        <v>16891</v>
      </c>
      <c r="L1761" t="s">
        <v>16892</v>
      </c>
    </row>
    <row r="1762" spans="1:12">
      <c r="A1762" t="s">
        <v>16896</v>
      </c>
      <c r="B1762" s="1" t="s">
        <v>16897</v>
      </c>
      <c r="F1762">
        <v>1</v>
      </c>
      <c r="G1762" t="str">
        <f>HYPERLINK("http://babel.hathitrust.org/cgi/pt?id=mdp.39015013293991")</f>
        <v>http://babel.hathitrust.org/cgi/pt?id=mdp.39015013293991</v>
      </c>
      <c r="H1762" t="str">
        <f>HYPERLINK("http://catalog.hathitrust.org/Record/001436338")</f>
        <v>http://catalog.hathitrust.org/Record/001436338</v>
      </c>
      <c r="J1762" s="1">
        <v>1922</v>
      </c>
      <c r="K1762" t="s">
        <v>16898</v>
      </c>
      <c r="L1762" t="s">
        <v>16899</v>
      </c>
    </row>
    <row r="1763" spans="1:12">
      <c r="A1763" t="s">
        <v>16900</v>
      </c>
      <c r="B1763" s="1" t="s">
        <v>16897</v>
      </c>
      <c r="F1763">
        <v>1</v>
      </c>
      <c r="G1763" t="str">
        <f>HYPERLINK("http://babel.hathitrust.org/cgi/pt?id=uc1.b307987")</f>
        <v>http://babel.hathitrust.org/cgi/pt?id=uc1.b307987</v>
      </c>
      <c r="H1763" t="str">
        <f>HYPERLINK("http://catalog.hathitrust.org/Record/001436338")</f>
        <v>http://catalog.hathitrust.org/Record/001436338</v>
      </c>
      <c r="J1763" s="1">
        <v>1922</v>
      </c>
      <c r="K1763" t="s">
        <v>16898</v>
      </c>
      <c r="L1763" t="s">
        <v>16899</v>
      </c>
    </row>
    <row r="1764" spans="1:12">
      <c r="A1764" t="s">
        <v>16901</v>
      </c>
      <c r="B1764" s="1" t="s">
        <v>16897</v>
      </c>
      <c r="F1764">
        <v>1</v>
      </c>
      <c r="G1764" t="str">
        <f>HYPERLINK("http://babel.hathitrust.org/cgi/pt?id=uc2.ark:/13960/t6057ht18")</f>
        <v>http://babel.hathitrust.org/cgi/pt?id=uc2.ark:/13960/t6057ht18</v>
      </c>
      <c r="H1764" t="str">
        <f>HYPERLINK("http://catalog.hathitrust.org/Record/001436338")</f>
        <v>http://catalog.hathitrust.org/Record/001436338</v>
      </c>
      <c r="J1764" s="1">
        <v>1922</v>
      </c>
      <c r="K1764" t="s">
        <v>16898</v>
      </c>
      <c r="L1764" t="s">
        <v>16899</v>
      </c>
    </row>
    <row r="1765" spans="1:12">
      <c r="A1765" t="s">
        <v>16902</v>
      </c>
      <c r="B1765" s="1" t="s">
        <v>16903</v>
      </c>
      <c r="F1765">
        <v>1</v>
      </c>
      <c r="G1765" t="str">
        <f>HYPERLINK("http://babel.hathitrust.org/cgi/pt?id=mdp.39015004724889")</f>
        <v>http://babel.hathitrust.org/cgi/pt?id=mdp.39015004724889</v>
      </c>
      <c r="H1765" t="str">
        <f>HYPERLINK("http://catalog.hathitrust.org/Record/001436343")</f>
        <v>http://catalog.hathitrust.org/Record/001436343</v>
      </c>
      <c r="J1765" s="1">
        <v>1962</v>
      </c>
      <c r="K1765" t="s">
        <v>16904</v>
      </c>
      <c r="L1765" t="s">
        <v>18414</v>
      </c>
    </row>
    <row r="1766" spans="1:12">
      <c r="A1766" t="s">
        <v>16905</v>
      </c>
      <c r="B1766" s="1" t="s">
        <v>16906</v>
      </c>
      <c r="F1766">
        <v>1</v>
      </c>
      <c r="G1766" t="str">
        <f>HYPERLINK("http://babel.hathitrust.org/cgi/pt?id=mdp.39015013113074")</f>
        <v>http://babel.hathitrust.org/cgi/pt?id=mdp.39015013113074</v>
      </c>
      <c r="H1766" t="str">
        <f>HYPERLINK("http://catalog.hathitrust.org/Record/001436348")</f>
        <v>http://catalog.hathitrust.org/Record/001436348</v>
      </c>
      <c r="J1766" s="1">
        <v>1934</v>
      </c>
      <c r="K1766" t="s">
        <v>16907</v>
      </c>
      <c r="L1766" t="s">
        <v>16908</v>
      </c>
    </row>
    <row r="1767" spans="1:12">
      <c r="A1767" t="s">
        <v>16909</v>
      </c>
      <c r="B1767" s="1" t="s">
        <v>16906</v>
      </c>
      <c r="F1767">
        <v>1</v>
      </c>
      <c r="G1767" t="str">
        <f>HYPERLINK("http://babel.hathitrust.org/cgi/pt?id=uc1.b258314")</f>
        <v>http://babel.hathitrust.org/cgi/pt?id=uc1.b258314</v>
      </c>
      <c r="H1767" t="str">
        <f>HYPERLINK("http://catalog.hathitrust.org/Record/001436348")</f>
        <v>http://catalog.hathitrust.org/Record/001436348</v>
      </c>
      <c r="J1767" s="1">
        <v>1934</v>
      </c>
      <c r="K1767" t="s">
        <v>16907</v>
      </c>
      <c r="L1767" t="s">
        <v>16908</v>
      </c>
    </row>
    <row r="1768" spans="1:12">
      <c r="A1768" t="s">
        <v>16910</v>
      </c>
      <c r="B1768" s="1" t="s">
        <v>16911</v>
      </c>
      <c r="F1768">
        <v>1</v>
      </c>
      <c r="G1768" t="str">
        <f>HYPERLINK("http://babel.hathitrust.org/cgi/pt?id=mdp.39015030868528")</f>
        <v>http://babel.hathitrust.org/cgi/pt?id=mdp.39015030868528</v>
      </c>
      <c r="H1768" t="str">
        <f>HYPERLINK("http://catalog.hathitrust.org/Record/001436368")</f>
        <v>http://catalog.hathitrust.org/Record/001436368</v>
      </c>
      <c r="J1768" s="1">
        <v>1922</v>
      </c>
      <c r="K1768" t="s">
        <v>16912</v>
      </c>
      <c r="L1768" t="s">
        <v>16913</v>
      </c>
    </row>
    <row r="1769" spans="1:12">
      <c r="A1769" t="s">
        <v>16914</v>
      </c>
      <c r="B1769" s="1" t="s">
        <v>16911</v>
      </c>
      <c r="F1769">
        <v>1</v>
      </c>
      <c r="G1769" t="str">
        <f>HYPERLINK("http://babel.hathitrust.org/cgi/pt?id=uc1.b276153")</f>
        <v>http://babel.hathitrust.org/cgi/pt?id=uc1.b276153</v>
      </c>
      <c r="H1769" t="str">
        <f>HYPERLINK("http://catalog.hathitrust.org/Record/001436368")</f>
        <v>http://catalog.hathitrust.org/Record/001436368</v>
      </c>
      <c r="J1769" s="1">
        <v>1922</v>
      </c>
      <c r="K1769" t="s">
        <v>16912</v>
      </c>
      <c r="L1769" t="s">
        <v>16913</v>
      </c>
    </row>
    <row r="1770" spans="1:12">
      <c r="A1770" t="s">
        <v>16915</v>
      </c>
      <c r="B1770" s="1" t="s">
        <v>16911</v>
      </c>
      <c r="F1770">
        <v>1</v>
      </c>
      <c r="G1770" t="str">
        <f>HYPERLINK("http://babel.hathitrust.org/cgi/pt?id=uc2.ark:/13960/t7pn94w7k")</f>
        <v>http://babel.hathitrust.org/cgi/pt?id=uc2.ark:/13960/t7pn94w7k</v>
      </c>
      <c r="H1770" t="str">
        <f>HYPERLINK("http://catalog.hathitrust.org/Record/001436368")</f>
        <v>http://catalog.hathitrust.org/Record/001436368</v>
      </c>
      <c r="J1770" s="1">
        <v>1922</v>
      </c>
      <c r="K1770" t="s">
        <v>16912</v>
      </c>
      <c r="L1770" t="s">
        <v>16913</v>
      </c>
    </row>
    <row r="1771" spans="1:12">
      <c r="A1771" t="s">
        <v>16916</v>
      </c>
      <c r="B1771" s="1" t="s">
        <v>16917</v>
      </c>
      <c r="D1771">
        <v>1</v>
      </c>
      <c r="G1771" t="str">
        <f>HYPERLINK("http://babel.hathitrust.org/cgi/pt?id=mdp.39015059896285")</f>
        <v>http://babel.hathitrust.org/cgi/pt?id=mdp.39015059896285</v>
      </c>
      <c r="H1771" t="str">
        <f>HYPERLINK("http://catalog.hathitrust.org/Record/001436376")</f>
        <v>http://catalog.hathitrust.org/Record/001436376</v>
      </c>
      <c r="J1771" s="1">
        <v>1789</v>
      </c>
      <c r="K1771" t="s">
        <v>16918</v>
      </c>
      <c r="L1771" t="s">
        <v>16919</v>
      </c>
    </row>
    <row r="1772" spans="1:12">
      <c r="A1772" t="s">
        <v>16920</v>
      </c>
      <c r="B1772" s="1" t="s">
        <v>16921</v>
      </c>
      <c r="F1772">
        <v>1</v>
      </c>
      <c r="G1772" t="str">
        <f>HYPERLINK("http://babel.hathitrust.org/cgi/pt?id=mdp.39015008562103")</f>
        <v>http://babel.hathitrust.org/cgi/pt?id=mdp.39015008562103</v>
      </c>
      <c r="H1772" t="str">
        <f>HYPERLINK("http://catalog.hathitrust.org/Record/001436388")</f>
        <v>http://catalog.hathitrust.org/Record/001436388</v>
      </c>
      <c r="J1772" s="1">
        <v>1949</v>
      </c>
      <c r="K1772" t="s">
        <v>16922</v>
      </c>
      <c r="L1772" t="s">
        <v>16923</v>
      </c>
    </row>
    <row r="1773" spans="1:12">
      <c r="A1773" t="s">
        <v>16924</v>
      </c>
      <c r="B1773" s="1" t="s">
        <v>16921</v>
      </c>
      <c r="F1773">
        <v>1</v>
      </c>
      <c r="G1773" t="str">
        <f>HYPERLINK("http://babel.hathitrust.org/cgi/pt?id=mdp.39015008575642")</f>
        <v>http://babel.hathitrust.org/cgi/pt?id=mdp.39015008575642</v>
      </c>
      <c r="H1773" t="str">
        <f>HYPERLINK("http://catalog.hathitrust.org/Record/001436388")</f>
        <v>http://catalog.hathitrust.org/Record/001436388</v>
      </c>
      <c r="J1773" s="1">
        <v>1949</v>
      </c>
      <c r="K1773" t="s">
        <v>16922</v>
      </c>
      <c r="L1773" t="s">
        <v>16923</v>
      </c>
    </row>
    <row r="1774" spans="1:12">
      <c r="A1774" t="s">
        <v>16925</v>
      </c>
      <c r="B1774" s="1" t="s">
        <v>16921</v>
      </c>
      <c r="F1774">
        <v>1</v>
      </c>
      <c r="G1774" t="str">
        <f>HYPERLINK("http://babel.hathitrust.org/cgi/pt?id=mdp.39015046392844")</f>
        <v>http://babel.hathitrust.org/cgi/pt?id=mdp.39015046392844</v>
      </c>
      <c r="H1774" t="str">
        <f>HYPERLINK("http://catalog.hathitrust.org/Record/001436388")</f>
        <v>http://catalog.hathitrust.org/Record/001436388</v>
      </c>
      <c r="J1774" s="1">
        <v>1949</v>
      </c>
      <c r="K1774" t="s">
        <v>16922</v>
      </c>
      <c r="L1774" t="s">
        <v>16923</v>
      </c>
    </row>
    <row r="1775" spans="1:12">
      <c r="A1775" t="s">
        <v>16926</v>
      </c>
      <c r="B1775" s="1" t="s">
        <v>16927</v>
      </c>
      <c r="F1775">
        <v>1</v>
      </c>
      <c r="G1775" t="str">
        <f>HYPERLINK("http://babel.hathitrust.org/cgi/pt?id=mdp.39015030867918")</f>
        <v>http://babel.hathitrust.org/cgi/pt?id=mdp.39015030867918</v>
      </c>
      <c r="H1775" t="str">
        <f>HYPERLINK("http://catalog.hathitrust.org/Record/001436398")</f>
        <v>http://catalog.hathitrust.org/Record/001436398</v>
      </c>
      <c r="J1775" s="1">
        <v>1878</v>
      </c>
      <c r="K1775" t="s">
        <v>16928</v>
      </c>
      <c r="L1775" t="s">
        <v>16929</v>
      </c>
    </row>
    <row r="1776" spans="1:12">
      <c r="A1776" t="s">
        <v>16930</v>
      </c>
      <c r="B1776" s="1" t="s">
        <v>16927</v>
      </c>
      <c r="F1776">
        <v>1</v>
      </c>
      <c r="G1776" t="str">
        <f>HYPERLINK("http://babel.hathitrust.org/cgi/pt?id=uc1.b312178")</f>
        <v>http://babel.hathitrust.org/cgi/pt?id=uc1.b312178</v>
      </c>
      <c r="H1776" t="str">
        <f>HYPERLINK("http://catalog.hathitrust.org/Record/001436398")</f>
        <v>http://catalog.hathitrust.org/Record/001436398</v>
      </c>
      <c r="I1776" s="1" t="s">
        <v>17050</v>
      </c>
      <c r="J1776" s="1">
        <v>1878</v>
      </c>
      <c r="K1776" t="s">
        <v>16928</v>
      </c>
      <c r="L1776" t="s">
        <v>16929</v>
      </c>
    </row>
    <row r="1777" spans="1:12">
      <c r="A1777" t="s">
        <v>16931</v>
      </c>
      <c r="B1777" s="1" t="s">
        <v>16927</v>
      </c>
      <c r="F1777">
        <v>1</v>
      </c>
      <c r="G1777" t="str">
        <f>HYPERLINK("http://babel.hathitrust.org/cgi/pt?id=uc2.ark:/13960/t8x925n57")</f>
        <v>http://babel.hathitrust.org/cgi/pt?id=uc2.ark:/13960/t8x925n57</v>
      </c>
      <c r="H1777" t="str">
        <f>HYPERLINK("http://catalog.hathitrust.org/Record/001436398")</f>
        <v>http://catalog.hathitrust.org/Record/001436398</v>
      </c>
      <c r="J1777" s="1">
        <v>1878</v>
      </c>
      <c r="K1777" t="s">
        <v>16928</v>
      </c>
      <c r="L1777" t="s">
        <v>16929</v>
      </c>
    </row>
    <row r="1778" spans="1:12">
      <c r="A1778" t="s">
        <v>16932</v>
      </c>
      <c r="B1778" s="1" t="s">
        <v>16933</v>
      </c>
      <c r="F1778">
        <v>1</v>
      </c>
      <c r="G1778" t="str">
        <f>HYPERLINK("http://babel.hathitrust.org/cgi/pt?id=mdp.39015046851625")</f>
        <v>http://babel.hathitrust.org/cgi/pt?id=mdp.39015046851625</v>
      </c>
      <c r="H1778" t="str">
        <f>HYPERLINK("http://catalog.hathitrust.org/Record/001436408")</f>
        <v>http://catalog.hathitrust.org/Record/001436408</v>
      </c>
      <c r="J1778" s="1">
        <v>1963</v>
      </c>
      <c r="K1778" t="s">
        <v>16934</v>
      </c>
      <c r="L1778" t="s">
        <v>19369</v>
      </c>
    </row>
    <row r="1779" spans="1:12">
      <c r="A1779" t="s">
        <v>16935</v>
      </c>
      <c r="B1779" s="1" t="s">
        <v>16936</v>
      </c>
      <c r="D1779">
        <v>1</v>
      </c>
      <c r="G1779" t="str">
        <f>HYPERLINK("http://babel.hathitrust.org/cgi/pt?id=mdp.39015031040390")</f>
        <v>http://babel.hathitrust.org/cgi/pt?id=mdp.39015031040390</v>
      </c>
      <c r="H1779" t="str">
        <f>HYPERLINK("http://catalog.hathitrust.org/Record/001436418")</f>
        <v>http://catalog.hathitrust.org/Record/001436418</v>
      </c>
      <c r="J1779" s="1">
        <v>1888</v>
      </c>
      <c r="K1779" t="s">
        <v>16937</v>
      </c>
      <c r="L1779" t="s">
        <v>16938</v>
      </c>
    </row>
    <row r="1780" spans="1:12">
      <c r="A1780" t="s">
        <v>16939</v>
      </c>
      <c r="B1780" s="1" t="s">
        <v>16806</v>
      </c>
      <c r="D1780">
        <v>1</v>
      </c>
      <c r="G1780" t="str">
        <f>HYPERLINK("http://babel.hathitrust.org/cgi/pt?id=mdp.39015019067928")</f>
        <v>http://babel.hathitrust.org/cgi/pt?id=mdp.39015019067928</v>
      </c>
      <c r="H1780" t="str">
        <f>HYPERLINK("http://catalog.hathitrust.org/Record/001436438")</f>
        <v>http://catalog.hathitrust.org/Record/001436438</v>
      </c>
      <c r="J1780" s="1">
        <v>1912</v>
      </c>
      <c r="K1780" t="s">
        <v>16807</v>
      </c>
      <c r="L1780" t="s">
        <v>16808</v>
      </c>
    </row>
    <row r="1781" spans="1:12">
      <c r="A1781" t="s">
        <v>16809</v>
      </c>
      <c r="B1781" s="1" t="s">
        <v>16806</v>
      </c>
      <c r="F1781">
        <v>1</v>
      </c>
      <c r="G1781" t="str">
        <f>HYPERLINK("http://babel.hathitrust.org/cgi/pt?id=nyp.33433082518576")</f>
        <v>http://babel.hathitrust.org/cgi/pt?id=nyp.33433082518576</v>
      </c>
      <c r="H1781" t="str">
        <f>HYPERLINK("http://catalog.hathitrust.org/Record/001436438")</f>
        <v>http://catalog.hathitrust.org/Record/001436438</v>
      </c>
      <c r="J1781" s="1">
        <v>1912</v>
      </c>
      <c r="K1781" t="s">
        <v>16807</v>
      </c>
      <c r="L1781" t="s">
        <v>16808</v>
      </c>
    </row>
    <row r="1782" spans="1:12">
      <c r="A1782" t="s">
        <v>16810</v>
      </c>
      <c r="B1782" s="1" t="s">
        <v>16806</v>
      </c>
      <c r="F1782">
        <v>1</v>
      </c>
      <c r="G1782" t="str">
        <f>HYPERLINK("http://babel.hathitrust.org/cgi/pt?id=uc1.b15231")</f>
        <v>http://babel.hathitrust.org/cgi/pt?id=uc1.b15231</v>
      </c>
      <c r="H1782" t="str">
        <f>HYPERLINK("http://catalog.hathitrust.org/Record/001436438")</f>
        <v>http://catalog.hathitrust.org/Record/001436438</v>
      </c>
      <c r="J1782" s="1">
        <v>1912</v>
      </c>
      <c r="K1782" t="s">
        <v>16807</v>
      </c>
      <c r="L1782" t="s">
        <v>16808</v>
      </c>
    </row>
    <row r="1783" spans="1:12">
      <c r="A1783" t="s">
        <v>16811</v>
      </c>
      <c r="B1783" s="1" t="s">
        <v>16806</v>
      </c>
      <c r="F1783">
        <v>1</v>
      </c>
      <c r="G1783" t="str">
        <f>HYPERLINK("http://babel.hathitrust.org/cgi/pt?id=uc2.ark:/13960/t5gb20h4c")</f>
        <v>http://babel.hathitrust.org/cgi/pt?id=uc2.ark:/13960/t5gb20h4c</v>
      </c>
      <c r="H1783" t="str">
        <f>HYPERLINK("http://catalog.hathitrust.org/Record/001436438")</f>
        <v>http://catalog.hathitrust.org/Record/001436438</v>
      </c>
      <c r="J1783" s="1">
        <v>1912</v>
      </c>
      <c r="K1783" t="s">
        <v>16807</v>
      </c>
      <c r="L1783" t="s">
        <v>16808</v>
      </c>
    </row>
    <row r="1784" spans="1:12">
      <c r="A1784" t="s">
        <v>16812</v>
      </c>
      <c r="B1784" s="1" t="s">
        <v>16813</v>
      </c>
      <c r="D1784">
        <v>1</v>
      </c>
      <c r="G1784" t="str">
        <f>HYPERLINK("http://babel.hathitrust.org/cgi/pt?id=mdp.39015005361442")</f>
        <v>http://babel.hathitrust.org/cgi/pt?id=mdp.39015005361442</v>
      </c>
      <c r="H1784" t="str">
        <f>HYPERLINK("http://catalog.hathitrust.org/Record/001436476")</f>
        <v>http://catalog.hathitrust.org/Record/001436476</v>
      </c>
      <c r="J1784" s="1">
        <v>1901</v>
      </c>
      <c r="K1784" t="s">
        <v>17994</v>
      </c>
      <c r="L1784" t="s">
        <v>20416</v>
      </c>
    </row>
    <row r="1785" spans="1:12">
      <c r="A1785" t="s">
        <v>16814</v>
      </c>
      <c r="B1785" s="1" t="s">
        <v>16815</v>
      </c>
      <c r="E1785">
        <v>1</v>
      </c>
      <c r="G1785" t="str">
        <f>HYPERLINK("http://babel.hathitrust.org/cgi/pt?id=mdp.39015002580382")</f>
        <v>http://babel.hathitrust.org/cgi/pt?id=mdp.39015002580382</v>
      </c>
      <c r="H1785" t="str">
        <f>HYPERLINK("http://catalog.hathitrust.org/Record/001436477")</f>
        <v>http://catalog.hathitrust.org/Record/001436477</v>
      </c>
      <c r="J1785" s="1">
        <v>1911</v>
      </c>
      <c r="K1785" t="s">
        <v>16816</v>
      </c>
      <c r="L1785" t="s">
        <v>20416</v>
      </c>
    </row>
    <row r="1786" spans="1:12">
      <c r="A1786" t="s">
        <v>16817</v>
      </c>
      <c r="B1786" s="1" t="s">
        <v>16818</v>
      </c>
      <c r="F1786">
        <v>1</v>
      </c>
      <c r="G1786" t="str">
        <f>HYPERLINK("http://babel.hathitrust.org/cgi/pt?id=mdp.39015031011524")</f>
        <v>http://babel.hathitrust.org/cgi/pt?id=mdp.39015031011524</v>
      </c>
      <c r="H1786" t="str">
        <f>HYPERLINK("http://catalog.hathitrust.org/Record/001436487")</f>
        <v>http://catalog.hathitrust.org/Record/001436487</v>
      </c>
      <c r="J1786" s="1">
        <v>1939</v>
      </c>
      <c r="K1786" t="s">
        <v>16819</v>
      </c>
      <c r="L1786" t="s">
        <v>17079</v>
      </c>
    </row>
    <row r="1787" spans="1:12">
      <c r="A1787" t="s">
        <v>16820</v>
      </c>
      <c r="B1787" s="1" t="s">
        <v>16818</v>
      </c>
      <c r="F1787">
        <v>1</v>
      </c>
      <c r="G1787" t="str">
        <f>HYPERLINK("http://babel.hathitrust.org/cgi/pt?id=uc1.32106001662797")</f>
        <v>http://babel.hathitrust.org/cgi/pt?id=uc1.32106001662797</v>
      </c>
      <c r="H1787" t="str">
        <f>HYPERLINK("http://catalog.hathitrust.org/Record/001436487")</f>
        <v>http://catalog.hathitrust.org/Record/001436487</v>
      </c>
      <c r="J1787" s="1">
        <v>1939</v>
      </c>
      <c r="K1787" t="s">
        <v>16819</v>
      </c>
      <c r="L1787" t="s">
        <v>17079</v>
      </c>
    </row>
    <row r="1788" spans="1:12">
      <c r="A1788" t="s">
        <v>16821</v>
      </c>
      <c r="B1788" s="1" t="s">
        <v>16822</v>
      </c>
      <c r="D1788">
        <v>1</v>
      </c>
      <c r="G1788" t="str">
        <f>HYPERLINK("http://babel.hathitrust.org/cgi/pt?id=mdp.39015031040358")</f>
        <v>http://babel.hathitrust.org/cgi/pt?id=mdp.39015031040358</v>
      </c>
      <c r="H1788" t="str">
        <f>HYPERLINK("http://catalog.hathitrust.org/Record/001436514")</f>
        <v>http://catalog.hathitrust.org/Record/001436514</v>
      </c>
      <c r="J1788" s="1">
        <v>1920</v>
      </c>
      <c r="K1788" t="s">
        <v>16823</v>
      </c>
      <c r="L1788" t="s">
        <v>16824</v>
      </c>
    </row>
    <row r="1789" spans="1:12">
      <c r="A1789" t="s">
        <v>16825</v>
      </c>
      <c r="B1789" s="1" t="s">
        <v>16826</v>
      </c>
      <c r="D1789">
        <v>1</v>
      </c>
      <c r="G1789" t="str">
        <f>HYPERLINK("http://babel.hathitrust.org/cgi/pt?id=mdp.39015031040218")</f>
        <v>http://babel.hathitrust.org/cgi/pt?id=mdp.39015031040218</v>
      </c>
      <c r="H1789" t="str">
        <f>HYPERLINK("http://catalog.hathitrust.org/Record/001436542")</f>
        <v>http://catalog.hathitrust.org/Record/001436542</v>
      </c>
      <c r="J1789" s="1">
        <v>1910</v>
      </c>
      <c r="K1789" t="s">
        <v>16827</v>
      </c>
      <c r="L1789" t="s">
        <v>16828</v>
      </c>
    </row>
    <row r="1790" spans="1:12">
      <c r="A1790" t="s">
        <v>16829</v>
      </c>
      <c r="B1790" s="1" t="s">
        <v>16826</v>
      </c>
      <c r="F1790">
        <v>1</v>
      </c>
      <c r="G1790" t="str">
        <f>HYPERLINK("http://babel.hathitrust.org/cgi/pt?id=nyp.33433082518717")</f>
        <v>http://babel.hathitrust.org/cgi/pt?id=nyp.33433082518717</v>
      </c>
      <c r="H1790" t="str">
        <f>HYPERLINK("http://catalog.hathitrust.org/Record/001436542")</f>
        <v>http://catalog.hathitrust.org/Record/001436542</v>
      </c>
      <c r="J1790" s="1">
        <v>1910</v>
      </c>
      <c r="K1790" t="s">
        <v>16827</v>
      </c>
      <c r="L1790" t="s">
        <v>16828</v>
      </c>
    </row>
    <row r="1791" spans="1:12">
      <c r="A1791" t="s">
        <v>16830</v>
      </c>
      <c r="B1791" s="1" t="s">
        <v>16831</v>
      </c>
      <c r="F1791">
        <v>1</v>
      </c>
      <c r="G1791" t="str">
        <f>HYPERLINK("http://babel.hathitrust.org/cgi/pt?id=mdp.39015030869427")</f>
        <v>http://babel.hathitrust.org/cgi/pt?id=mdp.39015030869427</v>
      </c>
      <c r="H1791" t="str">
        <f>HYPERLINK("http://catalog.hathitrust.org/Record/001436555")</f>
        <v>http://catalog.hathitrust.org/Record/001436555</v>
      </c>
      <c r="J1791" s="1">
        <v>1891</v>
      </c>
      <c r="K1791" t="s">
        <v>16832</v>
      </c>
      <c r="L1791" t="s">
        <v>16833</v>
      </c>
    </row>
    <row r="1792" spans="1:12">
      <c r="A1792" t="s">
        <v>16834</v>
      </c>
      <c r="B1792" s="1" t="s">
        <v>16831</v>
      </c>
      <c r="F1792">
        <v>1</v>
      </c>
      <c r="G1792" t="str">
        <f>HYPERLINK("http://babel.hathitrust.org/cgi/pt?id=uc1.b55901")</f>
        <v>http://babel.hathitrust.org/cgi/pt?id=uc1.b55901</v>
      </c>
      <c r="H1792" t="str">
        <f>HYPERLINK("http://catalog.hathitrust.org/Record/001436555")</f>
        <v>http://catalog.hathitrust.org/Record/001436555</v>
      </c>
      <c r="J1792" s="1">
        <v>1891</v>
      </c>
      <c r="K1792" t="s">
        <v>16832</v>
      </c>
      <c r="L1792" t="s">
        <v>16833</v>
      </c>
    </row>
    <row r="1793" spans="1:12">
      <c r="A1793" t="s">
        <v>16835</v>
      </c>
      <c r="B1793" s="1" t="s">
        <v>16831</v>
      </c>
      <c r="F1793">
        <v>1</v>
      </c>
      <c r="G1793" t="str">
        <f>HYPERLINK("http://babel.hathitrust.org/cgi/pt?id=uc2.ark:/13960/t59c6v899")</f>
        <v>http://babel.hathitrust.org/cgi/pt?id=uc2.ark:/13960/t59c6v899</v>
      </c>
      <c r="H1793" t="str">
        <f>HYPERLINK("http://catalog.hathitrust.org/Record/001436555")</f>
        <v>http://catalog.hathitrust.org/Record/001436555</v>
      </c>
      <c r="J1793" s="1">
        <v>1891</v>
      </c>
      <c r="K1793" t="s">
        <v>16832</v>
      </c>
      <c r="L1793" t="s">
        <v>16833</v>
      </c>
    </row>
    <row r="1794" spans="1:12">
      <c r="A1794" t="s">
        <v>16836</v>
      </c>
      <c r="B1794" s="1" t="s">
        <v>16837</v>
      </c>
      <c r="F1794">
        <v>1</v>
      </c>
      <c r="G1794" t="str">
        <f>HYPERLINK("http://babel.hathitrust.org/cgi/pt?id=mdp.39015059908734")</f>
        <v>http://babel.hathitrust.org/cgi/pt?id=mdp.39015059908734</v>
      </c>
      <c r="H1794" t="str">
        <f>HYPERLINK("http://catalog.hathitrust.org/Record/001436558")</f>
        <v>http://catalog.hathitrust.org/Record/001436558</v>
      </c>
      <c r="J1794" s="1">
        <v>1921</v>
      </c>
      <c r="K1794" t="s">
        <v>16838</v>
      </c>
      <c r="L1794" t="s">
        <v>17556</v>
      </c>
    </row>
    <row r="1795" spans="1:12">
      <c r="A1795" t="s">
        <v>16839</v>
      </c>
      <c r="B1795" s="1" t="s">
        <v>16837</v>
      </c>
      <c r="F1795">
        <v>1</v>
      </c>
      <c r="G1795" t="str">
        <f>HYPERLINK("http://babel.hathitrust.org/cgi/pt?id=uc1.b298076")</f>
        <v>http://babel.hathitrust.org/cgi/pt?id=uc1.b298076</v>
      </c>
      <c r="H1795" t="str">
        <f>HYPERLINK("http://catalog.hathitrust.org/Record/001436558")</f>
        <v>http://catalog.hathitrust.org/Record/001436558</v>
      </c>
      <c r="J1795" s="1">
        <v>1921</v>
      </c>
      <c r="K1795" t="s">
        <v>16838</v>
      </c>
      <c r="L1795" t="s">
        <v>17556</v>
      </c>
    </row>
    <row r="1796" spans="1:12">
      <c r="A1796" t="s">
        <v>16840</v>
      </c>
      <c r="B1796" s="1" t="s">
        <v>16837</v>
      </c>
      <c r="F1796">
        <v>1</v>
      </c>
      <c r="G1796" t="str">
        <f>HYPERLINK("http://babel.hathitrust.org/cgi/pt?id=uc2.ark:/13960/t3rv0hb4p")</f>
        <v>http://babel.hathitrust.org/cgi/pt?id=uc2.ark:/13960/t3rv0hb4p</v>
      </c>
      <c r="H1796" t="str">
        <f>HYPERLINK("http://catalog.hathitrust.org/Record/001436558")</f>
        <v>http://catalog.hathitrust.org/Record/001436558</v>
      </c>
      <c r="J1796" s="1">
        <v>1921</v>
      </c>
      <c r="K1796" t="s">
        <v>16838</v>
      </c>
      <c r="L1796" t="s">
        <v>17556</v>
      </c>
    </row>
    <row r="1797" spans="1:12">
      <c r="A1797" t="s">
        <v>16841</v>
      </c>
      <c r="B1797" s="1" t="s">
        <v>16842</v>
      </c>
      <c r="F1797">
        <v>1</v>
      </c>
      <c r="G1797" t="str">
        <f>HYPERLINK("http://babel.hathitrust.org/cgi/pt?id=mdp.39015034742497")</f>
        <v>http://babel.hathitrust.org/cgi/pt?id=mdp.39015034742497</v>
      </c>
      <c r="H1797" t="str">
        <f>HYPERLINK("http://catalog.hathitrust.org/Record/001436559")</f>
        <v>http://catalog.hathitrust.org/Record/001436559</v>
      </c>
      <c r="J1797" s="1">
        <v>1919</v>
      </c>
      <c r="K1797" t="s">
        <v>16843</v>
      </c>
      <c r="L1797" t="s">
        <v>16844</v>
      </c>
    </row>
    <row r="1798" spans="1:12">
      <c r="A1798" t="s">
        <v>16845</v>
      </c>
      <c r="B1798" s="1" t="s">
        <v>16846</v>
      </c>
      <c r="E1798">
        <v>1</v>
      </c>
      <c r="G1798" t="str">
        <f>HYPERLINK("http://babel.hathitrust.org/cgi/pt?id=mdp.39015014207909")</f>
        <v>http://babel.hathitrust.org/cgi/pt?id=mdp.39015014207909</v>
      </c>
      <c r="H1798" t="str">
        <f>HYPERLINK("http://catalog.hathitrust.org/Record/001436580")</f>
        <v>http://catalog.hathitrust.org/Record/001436580</v>
      </c>
      <c r="J1798" s="1">
        <v>1899</v>
      </c>
      <c r="K1798" t="s">
        <v>16847</v>
      </c>
      <c r="L1798" t="s">
        <v>16848</v>
      </c>
    </row>
    <row r="1799" spans="1:12">
      <c r="A1799" t="s">
        <v>16849</v>
      </c>
      <c r="B1799" s="1" t="s">
        <v>16850</v>
      </c>
      <c r="F1799">
        <v>1</v>
      </c>
      <c r="G1799" t="str">
        <f>HYPERLINK("http://babel.hathitrust.org/cgi/pt?id=mdp.39015030870045")</f>
        <v>http://babel.hathitrust.org/cgi/pt?id=mdp.39015030870045</v>
      </c>
      <c r="H1799" t="str">
        <f>HYPERLINK("http://catalog.hathitrust.org/Record/001436634")</f>
        <v>http://catalog.hathitrust.org/Record/001436634</v>
      </c>
      <c r="J1799" s="1">
        <v>1929</v>
      </c>
      <c r="K1799" t="s">
        <v>16851</v>
      </c>
      <c r="L1799" t="s">
        <v>16852</v>
      </c>
    </row>
    <row r="1800" spans="1:12">
      <c r="A1800" t="s">
        <v>16853</v>
      </c>
      <c r="B1800" s="1" t="s">
        <v>16850</v>
      </c>
      <c r="F1800">
        <v>1</v>
      </c>
      <c r="G1800" t="str">
        <f>HYPERLINK("http://babel.hathitrust.org/cgi/pt?id=uc1.b276137")</f>
        <v>http://babel.hathitrust.org/cgi/pt?id=uc1.b276137</v>
      </c>
      <c r="H1800" t="str">
        <f>HYPERLINK("http://catalog.hathitrust.org/Record/001436634")</f>
        <v>http://catalog.hathitrust.org/Record/001436634</v>
      </c>
      <c r="J1800" s="1">
        <v>1929</v>
      </c>
      <c r="K1800" t="s">
        <v>16851</v>
      </c>
      <c r="L1800" t="s">
        <v>16852</v>
      </c>
    </row>
    <row r="1801" spans="1:12">
      <c r="A1801" t="s">
        <v>16854</v>
      </c>
      <c r="B1801" s="1" t="s">
        <v>16855</v>
      </c>
      <c r="F1801">
        <v>1</v>
      </c>
      <c r="G1801" t="str">
        <f>HYPERLINK("http://babel.hathitrust.org/cgi/pt?id=mdp.39015005632198")</f>
        <v>http://babel.hathitrust.org/cgi/pt?id=mdp.39015005632198</v>
      </c>
      <c r="H1801" t="str">
        <f>HYPERLINK("http://catalog.hathitrust.org/Record/001436636")</f>
        <v>http://catalog.hathitrust.org/Record/001436636</v>
      </c>
      <c r="J1801" s="1">
        <v>1934</v>
      </c>
      <c r="K1801" t="s">
        <v>16856</v>
      </c>
      <c r="L1801" t="s">
        <v>16857</v>
      </c>
    </row>
    <row r="1802" spans="1:12">
      <c r="A1802" t="s">
        <v>16858</v>
      </c>
      <c r="B1802" s="1" t="s">
        <v>16855</v>
      </c>
      <c r="F1802">
        <v>1</v>
      </c>
      <c r="G1802" t="str">
        <f>HYPERLINK("http://babel.hathitrust.org/cgi/pt?id=uc1.b31613")</f>
        <v>http://babel.hathitrust.org/cgi/pt?id=uc1.b31613</v>
      </c>
      <c r="H1802" t="str">
        <f>HYPERLINK("http://catalog.hathitrust.org/Record/001436636")</f>
        <v>http://catalog.hathitrust.org/Record/001436636</v>
      </c>
      <c r="J1802" s="1">
        <v>1934</v>
      </c>
      <c r="K1802" t="s">
        <v>16856</v>
      </c>
      <c r="L1802" t="s">
        <v>16857</v>
      </c>
    </row>
    <row r="1803" spans="1:12">
      <c r="A1803" t="s">
        <v>16859</v>
      </c>
      <c r="B1803" s="1" t="s">
        <v>16860</v>
      </c>
      <c r="E1803">
        <v>1</v>
      </c>
      <c r="G1803" t="str">
        <f>HYPERLINK("http://babel.hathitrust.org/cgi/pt?id=mdp.39015008442769")</f>
        <v>http://babel.hathitrust.org/cgi/pt?id=mdp.39015008442769</v>
      </c>
      <c r="H1803" t="str">
        <f>HYPERLINK("http://catalog.hathitrust.org/Record/001436660")</f>
        <v>http://catalog.hathitrust.org/Record/001436660</v>
      </c>
      <c r="J1803" s="1">
        <v>1910</v>
      </c>
      <c r="K1803" t="s">
        <v>16861</v>
      </c>
      <c r="L1803" t="s">
        <v>20670</v>
      </c>
    </row>
    <row r="1804" spans="1:12">
      <c r="A1804" t="s">
        <v>16862</v>
      </c>
      <c r="B1804" s="1" t="s">
        <v>16863</v>
      </c>
      <c r="F1804">
        <v>1</v>
      </c>
      <c r="G1804" t="str">
        <f>HYPERLINK("http://babel.hathitrust.org/cgi/pt?id=mdp.39015003933457")</f>
        <v>http://babel.hathitrust.org/cgi/pt?id=mdp.39015003933457</v>
      </c>
      <c r="H1804" t="str">
        <f>HYPERLINK("http://catalog.hathitrust.org/Record/001437964")</f>
        <v>http://catalog.hathitrust.org/Record/001437964</v>
      </c>
      <c r="J1804" s="1">
        <v>1930</v>
      </c>
      <c r="K1804" t="s">
        <v>16864</v>
      </c>
      <c r="L1804" t="s">
        <v>16865</v>
      </c>
    </row>
    <row r="1805" spans="1:12">
      <c r="A1805" t="s">
        <v>16866</v>
      </c>
      <c r="B1805" s="1" t="s">
        <v>16867</v>
      </c>
      <c r="F1805">
        <v>1</v>
      </c>
      <c r="G1805" t="str">
        <f>HYPERLINK("http://babel.hathitrust.org/cgi/pt?id=mdp.39015003938266")</f>
        <v>http://babel.hathitrust.org/cgi/pt?id=mdp.39015003938266</v>
      </c>
      <c r="H1805" t="str">
        <f>HYPERLINK("http://catalog.hathitrust.org/Record/001438029")</f>
        <v>http://catalog.hathitrust.org/Record/001438029</v>
      </c>
      <c r="J1805" s="1">
        <v>1915</v>
      </c>
      <c r="K1805" t="s">
        <v>16868</v>
      </c>
      <c r="L1805" t="s">
        <v>16869</v>
      </c>
    </row>
    <row r="1806" spans="1:12">
      <c r="A1806" t="s">
        <v>16870</v>
      </c>
      <c r="B1806" s="1" t="s">
        <v>16871</v>
      </c>
      <c r="F1806">
        <v>1</v>
      </c>
      <c r="G1806" t="str">
        <f>HYPERLINK("http://babel.hathitrust.org/cgi/pt?id=mdp.39015052562389")</f>
        <v>http://babel.hathitrust.org/cgi/pt?id=mdp.39015052562389</v>
      </c>
      <c r="H1806" t="str">
        <f>HYPERLINK("http://catalog.hathitrust.org/Record/001438159")</f>
        <v>http://catalog.hathitrust.org/Record/001438159</v>
      </c>
      <c r="J1806" s="1">
        <v>1926</v>
      </c>
      <c r="K1806" t="s">
        <v>16872</v>
      </c>
      <c r="L1806" t="s">
        <v>16873</v>
      </c>
    </row>
    <row r="1807" spans="1:12">
      <c r="A1807" t="s">
        <v>16874</v>
      </c>
      <c r="B1807" s="1" t="s">
        <v>16875</v>
      </c>
      <c r="F1807">
        <v>1</v>
      </c>
      <c r="G1807" t="str">
        <f>HYPERLINK("http://babel.hathitrust.org/cgi/pt?id=mdp.39015049193181")</f>
        <v>http://babel.hathitrust.org/cgi/pt?id=mdp.39015049193181</v>
      </c>
      <c r="H1807" t="str">
        <f>HYPERLINK("http://catalog.hathitrust.org/Record/001438172")</f>
        <v>http://catalog.hathitrust.org/Record/001438172</v>
      </c>
      <c r="J1807" s="1">
        <v>1916</v>
      </c>
      <c r="K1807" t="s">
        <v>16876</v>
      </c>
      <c r="L1807" t="s">
        <v>16742</v>
      </c>
    </row>
    <row r="1808" spans="1:12">
      <c r="A1808" t="s">
        <v>16743</v>
      </c>
      <c r="B1808" s="1" t="s">
        <v>16875</v>
      </c>
      <c r="F1808">
        <v>1</v>
      </c>
      <c r="G1808" t="str">
        <f>HYPERLINK("http://babel.hathitrust.org/cgi/pt?id=uc1.$b616523")</f>
        <v>http://babel.hathitrust.org/cgi/pt?id=uc1.$b616523</v>
      </c>
      <c r="H1808" t="str">
        <f>HYPERLINK("http://catalog.hathitrust.org/Record/001438172")</f>
        <v>http://catalog.hathitrust.org/Record/001438172</v>
      </c>
      <c r="J1808" s="1">
        <v>1916</v>
      </c>
      <c r="K1808" t="s">
        <v>16876</v>
      </c>
      <c r="L1808" t="s">
        <v>16742</v>
      </c>
    </row>
    <row r="1809" spans="1:12">
      <c r="A1809" t="s">
        <v>16744</v>
      </c>
      <c r="B1809" s="1" t="s">
        <v>16875</v>
      </c>
      <c r="F1809">
        <v>1</v>
      </c>
      <c r="G1809" t="str">
        <f>HYPERLINK("http://babel.hathitrust.org/cgi/pt?id=uc1.b307885")</f>
        <v>http://babel.hathitrust.org/cgi/pt?id=uc1.b307885</v>
      </c>
      <c r="H1809" t="str">
        <f>HYPERLINK("http://catalog.hathitrust.org/Record/001438172")</f>
        <v>http://catalog.hathitrust.org/Record/001438172</v>
      </c>
      <c r="J1809" s="1">
        <v>1916</v>
      </c>
      <c r="K1809" t="s">
        <v>16876</v>
      </c>
      <c r="L1809" t="s">
        <v>16742</v>
      </c>
    </row>
    <row r="1810" spans="1:12">
      <c r="A1810" t="s">
        <v>16745</v>
      </c>
      <c r="B1810" s="1" t="s">
        <v>16875</v>
      </c>
      <c r="F1810">
        <v>1</v>
      </c>
      <c r="G1810" t="str">
        <f>HYPERLINK("http://babel.hathitrust.org/cgi/pt?id=uc2.ark:/13960/t23b62k4c")</f>
        <v>http://babel.hathitrust.org/cgi/pt?id=uc2.ark:/13960/t23b62k4c</v>
      </c>
      <c r="H1810" t="str">
        <f>HYPERLINK("http://catalog.hathitrust.org/Record/001438172")</f>
        <v>http://catalog.hathitrust.org/Record/001438172</v>
      </c>
      <c r="J1810" s="1">
        <v>1916</v>
      </c>
      <c r="K1810" t="s">
        <v>16876</v>
      </c>
      <c r="L1810" t="s">
        <v>16742</v>
      </c>
    </row>
    <row r="1811" spans="1:12">
      <c r="A1811" t="s">
        <v>16746</v>
      </c>
      <c r="B1811" s="1" t="s">
        <v>16747</v>
      </c>
      <c r="F1811">
        <v>1</v>
      </c>
      <c r="G1811" t="str">
        <f>HYPERLINK("http://babel.hathitrust.org/cgi/pt?id=mdp.39015036668971")</f>
        <v>http://babel.hathitrust.org/cgi/pt?id=mdp.39015036668971</v>
      </c>
      <c r="H1811" t="str">
        <f>HYPERLINK("http://catalog.hathitrust.org/Record/001438181")</f>
        <v>http://catalog.hathitrust.org/Record/001438181</v>
      </c>
      <c r="J1811" s="1">
        <v>1886</v>
      </c>
      <c r="K1811" t="s">
        <v>16748</v>
      </c>
      <c r="L1811" t="s">
        <v>16749</v>
      </c>
    </row>
    <row r="1812" spans="1:12">
      <c r="A1812" t="s">
        <v>16750</v>
      </c>
      <c r="B1812" s="1" t="s">
        <v>16747</v>
      </c>
      <c r="F1812">
        <v>1</v>
      </c>
      <c r="G1812" t="str">
        <f>HYPERLINK("http://babel.hathitrust.org/cgi/pt?id=uc1.b259856")</f>
        <v>http://babel.hathitrust.org/cgi/pt?id=uc1.b259856</v>
      </c>
      <c r="H1812" t="str">
        <f>HYPERLINK("http://catalog.hathitrust.org/Record/001438181")</f>
        <v>http://catalog.hathitrust.org/Record/001438181</v>
      </c>
      <c r="J1812" s="1">
        <v>1886</v>
      </c>
      <c r="K1812" t="s">
        <v>16748</v>
      </c>
      <c r="L1812" t="s">
        <v>16749</v>
      </c>
    </row>
    <row r="1813" spans="1:12">
      <c r="A1813" t="s">
        <v>16751</v>
      </c>
      <c r="B1813" s="1" t="s">
        <v>16747</v>
      </c>
      <c r="F1813">
        <v>1</v>
      </c>
      <c r="G1813" t="str">
        <f>HYPERLINK("http://babel.hathitrust.org/cgi/pt?id=uc2.ark:/13960/t78s4np1z")</f>
        <v>http://babel.hathitrust.org/cgi/pt?id=uc2.ark:/13960/t78s4np1z</v>
      </c>
      <c r="H1813" t="str">
        <f>HYPERLINK("http://catalog.hathitrust.org/Record/001438181")</f>
        <v>http://catalog.hathitrust.org/Record/001438181</v>
      </c>
      <c r="J1813" s="1">
        <v>1886</v>
      </c>
      <c r="K1813" t="s">
        <v>16748</v>
      </c>
      <c r="L1813" t="s">
        <v>16749</v>
      </c>
    </row>
    <row r="1814" spans="1:12">
      <c r="A1814" t="s">
        <v>16752</v>
      </c>
      <c r="B1814" s="1" t="s">
        <v>16753</v>
      </c>
      <c r="F1814">
        <v>1</v>
      </c>
      <c r="G1814" t="str">
        <f>HYPERLINK("http://babel.hathitrust.org/cgi/pt?id=mdp.39015030883964")</f>
        <v>http://babel.hathitrust.org/cgi/pt?id=mdp.39015030883964</v>
      </c>
      <c r="H1814" t="str">
        <f>HYPERLINK("http://catalog.hathitrust.org/Record/001438207")</f>
        <v>http://catalog.hathitrust.org/Record/001438207</v>
      </c>
      <c r="J1814" s="1">
        <v>1907</v>
      </c>
      <c r="K1814" t="s">
        <v>16754</v>
      </c>
      <c r="L1814" t="s">
        <v>16755</v>
      </c>
    </row>
    <row r="1815" spans="1:12">
      <c r="A1815" t="s">
        <v>16756</v>
      </c>
      <c r="B1815" s="1" t="s">
        <v>16753</v>
      </c>
      <c r="F1815">
        <v>1</v>
      </c>
      <c r="G1815" t="str">
        <f>HYPERLINK("http://babel.hathitrust.org/cgi/pt?id=mdp.39015055030897")</f>
        <v>http://babel.hathitrust.org/cgi/pt?id=mdp.39015055030897</v>
      </c>
      <c r="H1815" t="str">
        <f>HYPERLINK("http://catalog.hathitrust.org/Record/001438207")</f>
        <v>http://catalog.hathitrust.org/Record/001438207</v>
      </c>
      <c r="J1815" s="1">
        <v>1907</v>
      </c>
      <c r="K1815" t="s">
        <v>16754</v>
      </c>
      <c r="L1815" t="s">
        <v>16755</v>
      </c>
    </row>
    <row r="1816" spans="1:12">
      <c r="A1816" t="s">
        <v>16757</v>
      </c>
      <c r="B1816" s="1" t="s">
        <v>16753</v>
      </c>
      <c r="F1816">
        <v>1</v>
      </c>
      <c r="G1816" t="str">
        <f>HYPERLINK("http://babel.hathitrust.org/cgi/pt?id=nyp.33433082522693")</f>
        <v>http://babel.hathitrust.org/cgi/pt?id=nyp.33433082522693</v>
      </c>
      <c r="H1816" t="str">
        <f>HYPERLINK("http://catalog.hathitrust.org/Record/001438207")</f>
        <v>http://catalog.hathitrust.org/Record/001438207</v>
      </c>
      <c r="J1816" s="1">
        <v>1907</v>
      </c>
      <c r="K1816" t="s">
        <v>16754</v>
      </c>
      <c r="L1816" t="s">
        <v>16755</v>
      </c>
    </row>
    <row r="1817" spans="1:12">
      <c r="A1817" t="s">
        <v>16758</v>
      </c>
      <c r="B1817" s="1" t="s">
        <v>16759</v>
      </c>
      <c r="F1817">
        <v>1</v>
      </c>
      <c r="G1817" t="str">
        <f>HYPERLINK("http://babel.hathitrust.org/cgi/pt?id=mdp.39015003937482")</f>
        <v>http://babel.hathitrust.org/cgi/pt?id=mdp.39015003937482</v>
      </c>
      <c r="H1817" t="str">
        <f>HYPERLINK("http://catalog.hathitrust.org/Record/001438234")</f>
        <v>http://catalog.hathitrust.org/Record/001438234</v>
      </c>
      <c r="J1817" s="1">
        <v>1912</v>
      </c>
      <c r="K1817" t="s">
        <v>16760</v>
      </c>
      <c r="L1817" t="s">
        <v>16761</v>
      </c>
    </row>
    <row r="1818" spans="1:12">
      <c r="A1818" t="s">
        <v>16762</v>
      </c>
      <c r="B1818" s="1" t="s">
        <v>16763</v>
      </c>
      <c r="F1818">
        <v>1</v>
      </c>
      <c r="G1818" t="str">
        <f>HYPERLINK("http://babel.hathitrust.org/cgi/pt?id=mdp.39015003937490")</f>
        <v>http://babel.hathitrust.org/cgi/pt?id=mdp.39015003937490</v>
      </c>
      <c r="H1818" t="str">
        <f>HYPERLINK("http://catalog.hathitrust.org/Record/001438235")</f>
        <v>http://catalog.hathitrust.org/Record/001438235</v>
      </c>
      <c r="J1818" s="1">
        <v>1912</v>
      </c>
      <c r="K1818" t="s">
        <v>16764</v>
      </c>
      <c r="L1818" t="s">
        <v>16761</v>
      </c>
    </row>
    <row r="1819" spans="1:12">
      <c r="A1819" t="s">
        <v>16765</v>
      </c>
      <c r="B1819" s="1" t="s">
        <v>16766</v>
      </c>
      <c r="F1819">
        <v>1</v>
      </c>
      <c r="G1819" t="str">
        <f>HYPERLINK("http://babel.hathitrust.org/cgi/pt?id=mdp.39015003937359")</f>
        <v>http://babel.hathitrust.org/cgi/pt?id=mdp.39015003937359</v>
      </c>
      <c r="H1819" t="str">
        <f>HYPERLINK("http://catalog.hathitrust.org/Record/001438240")</f>
        <v>http://catalog.hathitrust.org/Record/001438240</v>
      </c>
      <c r="J1819" s="1">
        <v>1910</v>
      </c>
      <c r="K1819" t="s">
        <v>16767</v>
      </c>
      <c r="L1819" t="s">
        <v>19500</v>
      </c>
    </row>
    <row r="1820" spans="1:12">
      <c r="A1820" t="s">
        <v>16768</v>
      </c>
      <c r="B1820" s="1" t="s">
        <v>16766</v>
      </c>
      <c r="F1820">
        <v>1</v>
      </c>
      <c r="G1820" t="str">
        <f>HYPERLINK("http://babel.hathitrust.org/cgi/pt?id=uc2.ark:/13960/t9r20zp9p")</f>
        <v>http://babel.hathitrust.org/cgi/pt?id=uc2.ark:/13960/t9r20zp9p</v>
      </c>
      <c r="H1820" t="str">
        <f>HYPERLINK("http://catalog.hathitrust.org/Record/001438240")</f>
        <v>http://catalog.hathitrust.org/Record/001438240</v>
      </c>
      <c r="J1820" s="1">
        <v>1910</v>
      </c>
      <c r="K1820" t="s">
        <v>16767</v>
      </c>
      <c r="L1820" t="s">
        <v>19500</v>
      </c>
    </row>
    <row r="1821" spans="1:12">
      <c r="A1821" t="s">
        <v>16769</v>
      </c>
      <c r="B1821" s="1" t="s">
        <v>16770</v>
      </c>
      <c r="F1821">
        <v>1</v>
      </c>
      <c r="G1821" t="str">
        <f>HYPERLINK("http://babel.hathitrust.org/cgi/pt?id=mdp.39015003937326")</f>
        <v>http://babel.hathitrust.org/cgi/pt?id=mdp.39015003937326</v>
      </c>
      <c r="H1821" t="str">
        <f>HYPERLINK("http://catalog.hathitrust.org/Record/001438241")</f>
        <v>http://catalog.hathitrust.org/Record/001438241</v>
      </c>
      <c r="J1821" s="1">
        <v>1893</v>
      </c>
      <c r="K1821" t="s">
        <v>16771</v>
      </c>
      <c r="L1821" t="s">
        <v>19500</v>
      </c>
    </row>
    <row r="1822" spans="1:12">
      <c r="A1822" t="s">
        <v>16772</v>
      </c>
      <c r="B1822" s="1" t="s">
        <v>16773</v>
      </c>
      <c r="F1822">
        <v>1</v>
      </c>
      <c r="G1822" t="str">
        <f>HYPERLINK("http://babel.hathitrust.org/cgi/pt?id=mdp.39015059374614")</f>
        <v>http://babel.hathitrust.org/cgi/pt?id=mdp.39015059374614</v>
      </c>
      <c r="H1822" t="str">
        <f>HYPERLINK("http://catalog.hathitrust.org/Record/001438249")</f>
        <v>http://catalog.hathitrust.org/Record/001438249</v>
      </c>
      <c r="J1822" s="1">
        <v>1928</v>
      </c>
      <c r="K1822" t="s">
        <v>16774</v>
      </c>
      <c r="L1822" t="s">
        <v>16775</v>
      </c>
    </row>
    <row r="1823" spans="1:12">
      <c r="A1823" t="s">
        <v>16776</v>
      </c>
      <c r="B1823" s="1" t="s">
        <v>16777</v>
      </c>
      <c r="F1823">
        <v>1</v>
      </c>
      <c r="G1823" t="str">
        <f>HYPERLINK("http://babel.hathitrust.org/cgi/pt?id=hvd.hn23ge")</f>
        <v>http://babel.hathitrust.org/cgi/pt?id=hvd.hn23ge</v>
      </c>
      <c r="H1823" t="str">
        <f>HYPERLINK("http://catalog.hathitrust.org/Record/001438281")</f>
        <v>http://catalog.hathitrust.org/Record/001438281</v>
      </c>
      <c r="J1823" s="1">
        <v>1853</v>
      </c>
      <c r="K1823" t="s">
        <v>16778</v>
      </c>
      <c r="L1823" t="s">
        <v>16779</v>
      </c>
    </row>
    <row r="1824" spans="1:12">
      <c r="A1824" t="s">
        <v>16780</v>
      </c>
      <c r="B1824" s="1" t="s">
        <v>16777</v>
      </c>
      <c r="F1824">
        <v>1</v>
      </c>
      <c r="G1824" t="str">
        <f>HYPERLINK("http://babel.hathitrust.org/cgi/pt?id=mdp.39015030883790")</f>
        <v>http://babel.hathitrust.org/cgi/pt?id=mdp.39015030883790</v>
      </c>
      <c r="H1824" t="str">
        <f>HYPERLINK("http://catalog.hathitrust.org/Record/001438281")</f>
        <v>http://catalog.hathitrust.org/Record/001438281</v>
      </c>
      <c r="J1824" s="1">
        <v>1853</v>
      </c>
      <c r="K1824" t="s">
        <v>16778</v>
      </c>
      <c r="L1824" t="s">
        <v>16779</v>
      </c>
    </row>
    <row r="1825" spans="1:12">
      <c r="A1825" t="s">
        <v>16781</v>
      </c>
      <c r="B1825" s="1" t="s">
        <v>16777</v>
      </c>
      <c r="F1825">
        <v>1</v>
      </c>
      <c r="G1825" t="str">
        <f>HYPERLINK("http://babel.hathitrust.org/cgi/pt?id=nyp.33433082523469")</f>
        <v>http://babel.hathitrust.org/cgi/pt?id=nyp.33433082523469</v>
      </c>
      <c r="H1825" t="str">
        <f>HYPERLINK("http://catalog.hathitrust.org/Record/001438281")</f>
        <v>http://catalog.hathitrust.org/Record/001438281</v>
      </c>
      <c r="J1825" s="1">
        <v>1853</v>
      </c>
      <c r="K1825" t="s">
        <v>16778</v>
      </c>
      <c r="L1825" t="s">
        <v>16779</v>
      </c>
    </row>
    <row r="1826" spans="1:12">
      <c r="A1826" t="s">
        <v>16782</v>
      </c>
      <c r="B1826" s="1" t="s">
        <v>16783</v>
      </c>
      <c r="F1826">
        <v>1</v>
      </c>
      <c r="G1826" t="str">
        <f>HYPERLINK("http://babel.hathitrust.org/cgi/pt?id=mdp.39015049808564")</f>
        <v>http://babel.hathitrust.org/cgi/pt?id=mdp.39015049808564</v>
      </c>
      <c r="H1826" t="str">
        <f>HYPERLINK("http://catalog.hathitrust.org/Record/001438288")</f>
        <v>http://catalog.hathitrust.org/Record/001438288</v>
      </c>
      <c r="J1826" s="1">
        <v>1834</v>
      </c>
      <c r="K1826" t="s">
        <v>16784</v>
      </c>
      <c r="L1826" t="s">
        <v>16785</v>
      </c>
    </row>
    <row r="1827" spans="1:12">
      <c r="A1827" t="s">
        <v>16786</v>
      </c>
      <c r="B1827" s="1" t="s">
        <v>16787</v>
      </c>
      <c r="F1827">
        <v>1</v>
      </c>
      <c r="G1827" t="str">
        <f>HYPERLINK("http://babel.hathitrust.org/cgi/pt?id=nyp.33433082522677")</f>
        <v>http://babel.hathitrust.org/cgi/pt?id=nyp.33433082522677</v>
      </c>
      <c r="H1827" t="str">
        <f>HYPERLINK("http://catalog.hathitrust.org/Record/001438291")</f>
        <v>http://catalog.hathitrust.org/Record/001438291</v>
      </c>
      <c r="J1827" s="1">
        <v>1911</v>
      </c>
      <c r="K1827" t="s">
        <v>16788</v>
      </c>
      <c r="L1827" t="s">
        <v>16789</v>
      </c>
    </row>
    <row r="1828" spans="1:12">
      <c r="A1828" t="s">
        <v>16790</v>
      </c>
      <c r="B1828" s="1" t="s">
        <v>16791</v>
      </c>
      <c r="F1828">
        <v>1</v>
      </c>
      <c r="G1828" t="str">
        <f>HYPERLINK("http://babel.hathitrust.org/cgi/pt?id=mdp.39015031040994")</f>
        <v>http://babel.hathitrust.org/cgi/pt?id=mdp.39015031040994</v>
      </c>
      <c r="H1828" t="str">
        <f>HYPERLINK("http://catalog.hathitrust.org/Record/001438292")</f>
        <v>http://catalog.hathitrust.org/Record/001438292</v>
      </c>
      <c r="J1828" s="1">
        <v>1916</v>
      </c>
      <c r="K1828" t="s">
        <v>16792</v>
      </c>
      <c r="L1828" t="s">
        <v>16793</v>
      </c>
    </row>
    <row r="1829" spans="1:12">
      <c r="A1829" t="s">
        <v>16794</v>
      </c>
      <c r="B1829" s="1" t="s">
        <v>16791</v>
      </c>
      <c r="F1829">
        <v>1</v>
      </c>
      <c r="G1829" t="str">
        <f>HYPERLINK("http://babel.hathitrust.org/cgi/pt?id=uc1.$b617678")</f>
        <v>http://babel.hathitrust.org/cgi/pt?id=uc1.$b617678</v>
      </c>
      <c r="H1829" t="str">
        <f>HYPERLINK("http://catalog.hathitrust.org/Record/001438292")</f>
        <v>http://catalog.hathitrust.org/Record/001438292</v>
      </c>
      <c r="I1829" s="1" t="s">
        <v>19240</v>
      </c>
      <c r="J1829" s="1">
        <v>1916</v>
      </c>
      <c r="K1829" t="s">
        <v>16792</v>
      </c>
      <c r="L1829" t="s">
        <v>16793</v>
      </c>
    </row>
    <row r="1830" spans="1:12">
      <c r="A1830" t="s">
        <v>16795</v>
      </c>
      <c r="B1830" s="1" t="s">
        <v>16791</v>
      </c>
      <c r="F1830">
        <v>1</v>
      </c>
      <c r="G1830" t="str">
        <f>HYPERLINK("http://babel.hathitrust.org/cgi/pt?id=uc1.b622287")</f>
        <v>http://babel.hathitrust.org/cgi/pt?id=uc1.b622287</v>
      </c>
      <c r="H1830" t="str">
        <f>HYPERLINK("http://catalog.hathitrust.org/Record/001438292")</f>
        <v>http://catalog.hathitrust.org/Record/001438292</v>
      </c>
      <c r="J1830" s="1">
        <v>1916</v>
      </c>
      <c r="K1830" t="s">
        <v>16792</v>
      </c>
      <c r="L1830" t="s">
        <v>16793</v>
      </c>
    </row>
    <row r="1831" spans="1:12">
      <c r="A1831" t="s">
        <v>16796</v>
      </c>
      <c r="B1831" s="1" t="s">
        <v>16791</v>
      </c>
      <c r="F1831">
        <v>1</v>
      </c>
      <c r="G1831" t="str">
        <f>HYPERLINK("http://babel.hathitrust.org/cgi/pt?id=uc2.ark:/13960/t8kd1xc1c")</f>
        <v>http://babel.hathitrust.org/cgi/pt?id=uc2.ark:/13960/t8kd1xc1c</v>
      </c>
      <c r="H1831" t="str">
        <f>HYPERLINK("http://catalog.hathitrust.org/Record/001438292")</f>
        <v>http://catalog.hathitrust.org/Record/001438292</v>
      </c>
      <c r="J1831" s="1">
        <v>1916</v>
      </c>
      <c r="K1831" t="s">
        <v>16792</v>
      </c>
      <c r="L1831" t="s">
        <v>16793</v>
      </c>
    </row>
    <row r="1832" spans="1:12">
      <c r="A1832" t="s">
        <v>16797</v>
      </c>
      <c r="B1832" s="1" t="s">
        <v>16798</v>
      </c>
      <c r="F1832">
        <v>1</v>
      </c>
      <c r="G1832" t="str">
        <f>HYPERLINK("http://babel.hathitrust.org/cgi/pt?id=mdp.39015031040986")</f>
        <v>http://babel.hathitrust.org/cgi/pt?id=mdp.39015031040986</v>
      </c>
      <c r="H1832" t="str">
        <f>HYPERLINK("http://catalog.hathitrust.org/Record/001438293")</f>
        <v>http://catalog.hathitrust.org/Record/001438293</v>
      </c>
      <c r="J1832" s="1">
        <v>1922</v>
      </c>
      <c r="K1832" t="s">
        <v>16799</v>
      </c>
      <c r="L1832" t="s">
        <v>16800</v>
      </c>
    </row>
    <row r="1833" spans="1:12">
      <c r="A1833" t="s">
        <v>16801</v>
      </c>
      <c r="B1833" s="1" t="s">
        <v>16802</v>
      </c>
      <c r="F1833">
        <v>1</v>
      </c>
      <c r="G1833" t="str">
        <f>HYPERLINK("http://babel.hathitrust.org/cgi/pt?id=mdp.39015059374564")</f>
        <v>http://babel.hathitrust.org/cgi/pt?id=mdp.39015059374564</v>
      </c>
      <c r="H1833" t="str">
        <f>HYPERLINK("http://catalog.hathitrust.org/Record/001438299")</f>
        <v>http://catalog.hathitrust.org/Record/001438299</v>
      </c>
      <c r="J1833" s="1">
        <v>1900</v>
      </c>
      <c r="K1833" t="s">
        <v>16803</v>
      </c>
      <c r="L1833" t="s">
        <v>16804</v>
      </c>
    </row>
    <row r="1834" spans="1:12">
      <c r="A1834" t="s">
        <v>16805</v>
      </c>
      <c r="B1834" s="1" t="s">
        <v>16802</v>
      </c>
      <c r="F1834">
        <v>1</v>
      </c>
      <c r="G1834" t="str">
        <f>HYPERLINK("http://babel.hathitrust.org/cgi/pt?id=uc1.b257987")</f>
        <v>http://babel.hathitrust.org/cgi/pt?id=uc1.b257987</v>
      </c>
      <c r="H1834" t="str">
        <f>HYPERLINK("http://catalog.hathitrust.org/Record/001438299")</f>
        <v>http://catalog.hathitrust.org/Record/001438299</v>
      </c>
      <c r="J1834" s="1">
        <v>1900</v>
      </c>
      <c r="K1834" t="s">
        <v>16803</v>
      </c>
      <c r="L1834" t="s">
        <v>16804</v>
      </c>
    </row>
    <row r="1835" spans="1:12">
      <c r="A1835" t="s">
        <v>16678</v>
      </c>
      <c r="B1835" s="1" t="s">
        <v>16679</v>
      </c>
      <c r="F1835">
        <v>1</v>
      </c>
      <c r="G1835" t="str">
        <f>HYPERLINK("http://babel.hathitrust.org/cgi/pt?id=mdp.39015003940064")</f>
        <v>http://babel.hathitrust.org/cgi/pt?id=mdp.39015003940064</v>
      </c>
      <c r="H1835" t="str">
        <f>HYPERLINK("http://catalog.hathitrust.org/Record/001438301")</f>
        <v>http://catalog.hathitrust.org/Record/001438301</v>
      </c>
      <c r="J1835" s="1">
        <v>1879</v>
      </c>
      <c r="K1835" t="s">
        <v>16680</v>
      </c>
      <c r="L1835" t="s">
        <v>16681</v>
      </c>
    </row>
    <row r="1836" spans="1:12">
      <c r="A1836" t="s">
        <v>16682</v>
      </c>
      <c r="B1836" s="1" t="s">
        <v>16679</v>
      </c>
      <c r="F1836">
        <v>1</v>
      </c>
      <c r="G1836" t="str">
        <f>HYPERLINK("http://babel.hathitrust.org/cgi/pt?id=nyp.33433082522651")</f>
        <v>http://babel.hathitrust.org/cgi/pt?id=nyp.33433082522651</v>
      </c>
      <c r="H1836" t="str">
        <f>HYPERLINK("http://catalog.hathitrust.org/Record/001438301")</f>
        <v>http://catalog.hathitrust.org/Record/001438301</v>
      </c>
      <c r="J1836" s="1">
        <v>1879</v>
      </c>
      <c r="K1836" t="s">
        <v>16680</v>
      </c>
      <c r="L1836" t="s">
        <v>16681</v>
      </c>
    </row>
    <row r="1837" spans="1:12">
      <c r="A1837" t="s">
        <v>16683</v>
      </c>
      <c r="B1837" s="1" t="s">
        <v>16679</v>
      </c>
      <c r="F1837">
        <v>1</v>
      </c>
      <c r="G1837" t="str">
        <f>HYPERLINK("http://babel.hathitrust.org/cgi/pt?id=uc2.ark:/13960/t5x63hz9v")</f>
        <v>http://babel.hathitrust.org/cgi/pt?id=uc2.ark:/13960/t5x63hz9v</v>
      </c>
      <c r="H1837" t="str">
        <f>HYPERLINK("http://catalog.hathitrust.org/Record/001438301")</f>
        <v>http://catalog.hathitrust.org/Record/001438301</v>
      </c>
      <c r="J1837" s="1">
        <v>1879</v>
      </c>
      <c r="K1837" t="s">
        <v>16680</v>
      </c>
      <c r="L1837" t="s">
        <v>16681</v>
      </c>
    </row>
    <row r="1838" spans="1:12">
      <c r="A1838" t="s">
        <v>16684</v>
      </c>
      <c r="B1838" s="1" t="s">
        <v>16685</v>
      </c>
      <c r="F1838">
        <v>1</v>
      </c>
      <c r="G1838" t="str">
        <f>HYPERLINK("http://babel.hathitrust.org/cgi/pt?id=mdp.39015003957050")</f>
        <v>http://babel.hathitrust.org/cgi/pt?id=mdp.39015003957050</v>
      </c>
      <c r="H1838" t="str">
        <f>HYPERLINK("http://catalog.hathitrust.org/Record/001438317")</f>
        <v>http://catalog.hathitrust.org/Record/001438317</v>
      </c>
      <c r="J1838" s="1">
        <v>1913</v>
      </c>
      <c r="K1838" t="s">
        <v>16686</v>
      </c>
      <c r="L1838" t="s">
        <v>16687</v>
      </c>
    </row>
    <row r="1839" spans="1:12">
      <c r="A1839" t="s">
        <v>16688</v>
      </c>
      <c r="B1839" s="1" t="s">
        <v>16685</v>
      </c>
      <c r="F1839">
        <v>1</v>
      </c>
      <c r="G1839" t="str">
        <f>HYPERLINK("http://babel.hathitrust.org/cgi/pt?id=uc2.ark:/13960/t9g44r844")</f>
        <v>http://babel.hathitrust.org/cgi/pt?id=uc2.ark:/13960/t9g44r844</v>
      </c>
      <c r="H1839" t="str">
        <f>HYPERLINK("http://catalog.hathitrust.org/Record/001438317")</f>
        <v>http://catalog.hathitrust.org/Record/001438317</v>
      </c>
      <c r="J1839" s="1">
        <v>1913</v>
      </c>
      <c r="K1839" t="s">
        <v>16686</v>
      </c>
      <c r="L1839" t="s">
        <v>16687</v>
      </c>
    </row>
    <row r="1840" spans="1:12">
      <c r="A1840" t="s">
        <v>16689</v>
      </c>
      <c r="B1840" s="1" t="s">
        <v>16690</v>
      </c>
      <c r="F1840">
        <v>1</v>
      </c>
      <c r="G1840" t="str">
        <f>HYPERLINK("http://babel.hathitrust.org/cgi/pt?id=mdp.39015030837309")</f>
        <v>http://babel.hathitrust.org/cgi/pt?id=mdp.39015030837309</v>
      </c>
      <c r="H1840" t="str">
        <f>HYPERLINK("http://catalog.hathitrust.org/Record/001438322")</f>
        <v>http://catalog.hathitrust.org/Record/001438322</v>
      </c>
      <c r="J1840" s="1">
        <v>1884</v>
      </c>
      <c r="K1840" t="s">
        <v>16691</v>
      </c>
      <c r="L1840" t="s">
        <v>16692</v>
      </c>
    </row>
    <row r="1841" spans="1:12">
      <c r="A1841" t="s">
        <v>16693</v>
      </c>
      <c r="B1841" s="1" t="s">
        <v>16690</v>
      </c>
      <c r="F1841">
        <v>1</v>
      </c>
      <c r="G1841" t="str">
        <f>HYPERLINK("http://babel.hathitrust.org/cgi/pt?id=uc1.$b617684")</f>
        <v>http://babel.hathitrust.org/cgi/pt?id=uc1.$b617684</v>
      </c>
      <c r="H1841" t="str">
        <f>HYPERLINK("http://catalog.hathitrust.org/Record/001438322")</f>
        <v>http://catalog.hathitrust.org/Record/001438322</v>
      </c>
      <c r="J1841" s="1">
        <v>1884</v>
      </c>
      <c r="K1841" t="s">
        <v>16691</v>
      </c>
      <c r="L1841" t="s">
        <v>16692</v>
      </c>
    </row>
    <row r="1842" spans="1:12">
      <c r="A1842" t="s">
        <v>16694</v>
      </c>
      <c r="B1842" s="1" t="s">
        <v>16690</v>
      </c>
      <c r="F1842">
        <v>1</v>
      </c>
      <c r="G1842" t="str">
        <f>HYPERLINK("http://babel.hathitrust.org/cgi/pt?id=uc2.ark:/13960/t8gf0tr6h")</f>
        <v>http://babel.hathitrust.org/cgi/pt?id=uc2.ark:/13960/t8gf0tr6h</v>
      </c>
      <c r="H1842" t="str">
        <f>HYPERLINK("http://catalog.hathitrust.org/Record/001438322")</f>
        <v>http://catalog.hathitrust.org/Record/001438322</v>
      </c>
      <c r="J1842" s="1">
        <v>1884</v>
      </c>
      <c r="K1842" t="s">
        <v>16691</v>
      </c>
      <c r="L1842" t="s">
        <v>16692</v>
      </c>
    </row>
    <row r="1843" spans="1:12">
      <c r="A1843" t="s">
        <v>16695</v>
      </c>
      <c r="B1843" s="1" t="s">
        <v>16696</v>
      </c>
      <c r="F1843">
        <v>1</v>
      </c>
      <c r="G1843" t="str">
        <f>HYPERLINK("http://babel.hathitrust.org/cgi/pt?id=mdp.39015030866415")</f>
        <v>http://babel.hathitrust.org/cgi/pt?id=mdp.39015030866415</v>
      </c>
      <c r="H1843" t="str">
        <f>HYPERLINK("http://catalog.hathitrust.org/Record/001438332")</f>
        <v>http://catalog.hathitrust.org/Record/001438332</v>
      </c>
      <c r="J1843" s="1">
        <v>1922</v>
      </c>
      <c r="K1843" t="s">
        <v>16697</v>
      </c>
      <c r="L1843" t="s">
        <v>16698</v>
      </c>
    </row>
    <row r="1844" spans="1:12">
      <c r="A1844" t="s">
        <v>16699</v>
      </c>
      <c r="B1844" s="1" t="s">
        <v>16696</v>
      </c>
      <c r="F1844">
        <v>1</v>
      </c>
      <c r="G1844" t="str">
        <f>HYPERLINK("http://babel.hathitrust.org/cgi/pt?id=uc1.b257977")</f>
        <v>http://babel.hathitrust.org/cgi/pt?id=uc1.b257977</v>
      </c>
      <c r="H1844" t="str">
        <f>HYPERLINK("http://catalog.hathitrust.org/Record/001438332")</f>
        <v>http://catalog.hathitrust.org/Record/001438332</v>
      </c>
      <c r="J1844" s="1">
        <v>1922</v>
      </c>
      <c r="K1844" t="s">
        <v>16697</v>
      </c>
      <c r="L1844" t="s">
        <v>16698</v>
      </c>
    </row>
    <row r="1845" spans="1:12">
      <c r="A1845" t="s">
        <v>16700</v>
      </c>
      <c r="B1845" s="1" t="s">
        <v>16696</v>
      </c>
      <c r="F1845">
        <v>1</v>
      </c>
      <c r="G1845" t="str">
        <f>HYPERLINK("http://babel.hathitrust.org/cgi/pt?id=uc2.ark:/13960/t05x27w8t")</f>
        <v>http://babel.hathitrust.org/cgi/pt?id=uc2.ark:/13960/t05x27w8t</v>
      </c>
      <c r="H1845" t="str">
        <f>HYPERLINK("http://catalog.hathitrust.org/Record/001438332")</f>
        <v>http://catalog.hathitrust.org/Record/001438332</v>
      </c>
      <c r="J1845" s="1">
        <v>1922</v>
      </c>
      <c r="K1845" t="s">
        <v>16697</v>
      </c>
      <c r="L1845" t="s">
        <v>16698</v>
      </c>
    </row>
    <row r="1846" spans="1:12">
      <c r="A1846" t="s">
        <v>16701</v>
      </c>
      <c r="B1846" s="1" t="s">
        <v>16702</v>
      </c>
      <c r="F1846">
        <v>1</v>
      </c>
      <c r="G1846" t="str">
        <f>HYPERLINK("http://babel.hathitrust.org/cgi/pt?id=mdp.39015003956631")</f>
        <v>http://babel.hathitrust.org/cgi/pt?id=mdp.39015003956631</v>
      </c>
      <c r="H1846" t="str">
        <f>HYPERLINK("http://catalog.hathitrust.org/Record/001438339")</f>
        <v>http://catalog.hathitrust.org/Record/001438339</v>
      </c>
      <c r="J1846" s="1">
        <v>1910</v>
      </c>
      <c r="K1846" t="s">
        <v>16703</v>
      </c>
      <c r="L1846" t="s">
        <v>16848</v>
      </c>
    </row>
    <row r="1847" spans="1:12">
      <c r="A1847" t="s">
        <v>16704</v>
      </c>
      <c r="B1847" s="1" t="s">
        <v>16702</v>
      </c>
      <c r="F1847">
        <v>1</v>
      </c>
      <c r="G1847" t="str">
        <f>HYPERLINK("http://babel.hathitrust.org/cgi/pt?id=nyp.33433082497094")</f>
        <v>http://babel.hathitrust.org/cgi/pt?id=nyp.33433082497094</v>
      </c>
      <c r="H1847" t="str">
        <f>HYPERLINK("http://catalog.hathitrust.org/Record/001438339")</f>
        <v>http://catalog.hathitrust.org/Record/001438339</v>
      </c>
      <c r="J1847" s="1">
        <v>1910</v>
      </c>
      <c r="K1847" t="s">
        <v>16703</v>
      </c>
      <c r="L1847" t="s">
        <v>16848</v>
      </c>
    </row>
    <row r="1848" spans="1:12">
      <c r="A1848" t="s">
        <v>16705</v>
      </c>
      <c r="B1848" s="1" t="s">
        <v>16706</v>
      </c>
      <c r="F1848">
        <v>1</v>
      </c>
      <c r="G1848" t="str">
        <f>HYPERLINK("http://babel.hathitrust.org/cgi/pt?id=mdp.39015046369727")</f>
        <v>http://babel.hathitrust.org/cgi/pt?id=mdp.39015046369727</v>
      </c>
      <c r="H1848" t="str">
        <f>HYPERLINK("http://catalog.hathitrust.org/Record/001438355")</f>
        <v>http://catalog.hathitrust.org/Record/001438355</v>
      </c>
      <c r="J1848" s="1">
        <v>1914</v>
      </c>
      <c r="K1848" t="s">
        <v>16707</v>
      </c>
      <c r="L1848" t="s">
        <v>16708</v>
      </c>
    </row>
    <row r="1849" spans="1:12">
      <c r="A1849" t="s">
        <v>16709</v>
      </c>
      <c r="B1849" s="1" t="s">
        <v>16710</v>
      </c>
      <c r="F1849">
        <v>1</v>
      </c>
      <c r="G1849" t="str">
        <f>HYPERLINK("http://babel.hathitrust.org/cgi/pt?id=mdp.39015000558489")</f>
        <v>http://babel.hathitrust.org/cgi/pt?id=mdp.39015000558489</v>
      </c>
      <c r="H1849" t="str">
        <f>HYPERLINK("http://catalog.hathitrust.org/Record/001438366")</f>
        <v>http://catalog.hathitrust.org/Record/001438366</v>
      </c>
      <c r="J1849" s="1">
        <v>1953</v>
      </c>
      <c r="K1849" t="s">
        <v>16711</v>
      </c>
      <c r="L1849" t="s">
        <v>16712</v>
      </c>
    </row>
    <row r="1850" spans="1:12">
      <c r="A1850" t="s">
        <v>16713</v>
      </c>
      <c r="B1850" s="1" t="s">
        <v>16710</v>
      </c>
      <c r="F1850">
        <v>1</v>
      </c>
      <c r="G1850" t="str">
        <f>HYPERLINK("http://babel.hathitrust.org/cgi/pt?id=mdp.39015046853027")</f>
        <v>http://babel.hathitrust.org/cgi/pt?id=mdp.39015046853027</v>
      </c>
      <c r="H1850" t="str">
        <f>HYPERLINK("http://catalog.hathitrust.org/Record/001438366")</f>
        <v>http://catalog.hathitrust.org/Record/001438366</v>
      </c>
      <c r="J1850" s="1">
        <v>1953</v>
      </c>
      <c r="K1850" t="s">
        <v>16711</v>
      </c>
      <c r="L1850" t="s">
        <v>16712</v>
      </c>
    </row>
    <row r="1851" spans="1:12">
      <c r="A1851" t="s">
        <v>16714</v>
      </c>
      <c r="B1851" s="1" t="s">
        <v>16710</v>
      </c>
      <c r="F1851">
        <v>1</v>
      </c>
      <c r="G1851" t="str">
        <f>HYPERLINK("http://babel.hathitrust.org/cgi/pt?id=uc1.b3553622")</f>
        <v>http://babel.hathitrust.org/cgi/pt?id=uc1.b3553622</v>
      </c>
      <c r="H1851" t="str">
        <f>HYPERLINK("http://catalog.hathitrust.org/Record/001438366")</f>
        <v>http://catalog.hathitrust.org/Record/001438366</v>
      </c>
      <c r="J1851" s="1">
        <v>1953</v>
      </c>
      <c r="K1851" t="s">
        <v>16711</v>
      </c>
      <c r="L1851" t="s">
        <v>16712</v>
      </c>
    </row>
    <row r="1852" spans="1:12">
      <c r="A1852" t="s">
        <v>16715</v>
      </c>
      <c r="B1852" s="1" t="s">
        <v>16716</v>
      </c>
      <c r="F1852">
        <v>1</v>
      </c>
      <c r="G1852" t="str">
        <f>HYPERLINK("http://babel.hathitrust.org/cgi/pt?id=mdp.39015003959379")</f>
        <v>http://babel.hathitrust.org/cgi/pt?id=mdp.39015003959379</v>
      </c>
      <c r="H1852" t="str">
        <f>HYPERLINK("http://catalog.hathitrust.org/Record/001438370")</f>
        <v>http://catalog.hathitrust.org/Record/001438370</v>
      </c>
      <c r="J1852" s="1">
        <v>1911</v>
      </c>
      <c r="K1852" t="s">
        <v>16717</v>
      </c>
      <c r="L1852" t="s">
        <v>19271</v>
      </c>
    </row>
    <row r="1853" spans="1:12">
      <c r="A1853" t="s">
        <v>16718</v>
      </c>
      <c r="B1853" s="1" t="s">
        <v>16719</v>
      </c>
      <c r="F1853">
        <v>1</v>
      </c>
      <c r="G1853" t="str">
        <f>HYPERLINK("http://babel.hathitrust.org/cgi/pt?id=mdp.39015003959387")</f>
        <v>http://babel.hathitrust.org/cgi/pt?id=mdp.39015003959387</v>
      </c>
      <c r="H1853" t="str">
        <f>HYPERLINK("http://catalog.hathitrust.org/Record/001438372")</f>
        <v>http://catalog.hathitrust.org/Record/001438372</v>
      </c>
      <c r="J1853" s="1">
        <v>1912</v>
      </c>
      <c r="K1853" t="s">
        <v>16720</v>
      </c>
      <c r="L1853" t="s">
        <v>16721</v>
      </c>
    </row>
    <row r="1854" spans="1:12">
      <c r="A1854" t="s">
        <v>16722</v>
      </c>
      <c r="B1854" s="1" t="s">
        <v>16719</v>
      </c>
      <c r="F1854">
        <v>1</v>
      </c>
      <c r="G1854" t="str">
        <f>HYPERLINK("http://babel.hathitrust.org/cgi/pt?id=uc1.$b617727")</f>
        <v>http://babel.hathitrust.org/cgi/pt?id=uc1.$b617727</v>
      </c>
      <c r="H1854" t="str">
        <f>HYPERLINK("http://catalog.hathitrust.org/Record/001438372")</f>
        <v>http://catalog.hathitrust.org/Record/001438372</v>
      </c>
      <c r="J1854" s="1">
        <v>1912</v>
      </c>
      <c r="K1854" t="s">
        <v>16720</v>
      </c>
      <c r="L1854" t="s">
        <v>16721</v>
      </c>
    </row>
    <row r="1855" spans="1:12">
      <c r="A1855" t="s">
        <v>16723</v>
      </c>
      <c r="B1855" s="1" t="s">
        <v>16719</v>
      </c>
      <c r="F1855">
        <v>1</v>
      </c>
      <c r="G1855" t="str">
        <f>HYPERLINK("http://babel.hathitrust.org/cgi/pt?id=uc2.ark:/13960/t2r49n80d")</f>
        <v>http://babel.hathitrust.org/cgi/pt?id=uc2.ark:/13960/t2r49n80d</v>
      </c>
      <c r="H1855" t="str">
        <f>HYPERLINK("http://catalog.hathitrust.org/Record/001438372")</f>
        <v>http://catalog.hathitrust.org/Record/001438372</v>
      </c>
      <c r="J1855" s="1">
        <v>1912</v>
      </c>
      <c r="K1855" t="s">
        <v>16720</v>
      </c>
      <c r="L1855" t="s">
        <v>16721</v>
      </c>
    </row>
    <row r="1856" spans="1:12">
      <c r="A1856" t="s">
        <v>16724</v>
      </c>
      <c r="B1856" s="1" t="s">
        <v>16725</v>
      </c>
      <c r="F1856">
        <v>1</v>
      </c>
      <c r="G1856" t="str">
        <f>HYPERLINK("http://babel.hathitrust.org/cgi/pt?id=mdp.39015001525644")</f>
        <v>http://babel.hathitrust.org/cgi/pt?id=mdp.39015001525644</v>
      </c>
      <c r="H1856" t="str">
        <f>HYPERLINK("http://catalog.hathitrust.org/Record/001438375")</f>
        <v>http://catalog.hathitrust.org/Record/001438375</v>
      </c>
      <c r="J1856" s="1">
        <v>1958</v>
      </c>
      <c r="K1856" t="s">
        <v>16726</v>
      </c>
      <c r="L1856" t="s">
        <v>16727</v>
      </c>
    </row>
    <row r="1857" spans="1:12">
      <c r="A1857" t="s">
        <v>16728</v>
      </c>
      <c r="B1857" s="1" t="s">
        <v>16729</v>
      </c>
      <c r="F1857">
        <v>1</v>
      </c>
      <c r="G1857" t="str">
        <f>HYPERLINK("http://babel.hathitrust.org/cgi/pt?id=mdp.39015003959197")</f>
        <v>http://babel.hathitrust.org/cgi/pt?id=mdp.39015003959197</v>
      </c>
      <c r="H1857" t="str">
        <f>HYPERLINK("http://catalog.hathitrust.org/Record/001438379")</f>
        <v>http://catalog.hathitrust.org/Record/001438379</v>
      </c>
      <c r="J1857" s="1">
        <v>1917</v>
      </c>
      <c r="K1857" t="s">
        <v>16730</v>
      </c>
      <c r="L1857" t="s">
        <v>16731</v>
      </c>
    </row>
    <row r="1858" spans="1:12">
      <c r="A1858" t="s">
        <v>16732</v>
      </c>
      <c r="B1858" s="1" t="s">
        <v>16729</v>
      </c>
      <c r="F1858">
        <v>1</v>
      </c>
      <c r="G1858" t="str">
        <f>HYPERLINK("http://babel.hathitrust.org/cgi/pt?id=uc1.$b617829")</f>
        <v>http://babel.hathitrust.org/cgi/pt?id=uc1.$b617829</v>
      </c>
      <c r="H1858" t="str">
        <f>HYPERLINK("http://catalog.hathitrust.org/Record/001438379")</f>
        <v>http://catalog.hathitrust.org/Record/001438379</v>
      </c>
      <c r="I1858" s="1" t="s">
        <v>19240</v>
      </c>
      <c r="J1858" s="1">
        <v>1917</v>
      </c>
      <c r="K1858" t="s">
        <v>16730</v>
      </c>
      <c r="L1858" t="s">
        <v>16731</v>
      </c>
    </row>
    <row r="1859" spans="1:12">
      <c r="A1859" t="s">
        <v>16733</v>
      </c>
      <c r="B1859" s="1" t="s">
        <v>16729</v>
      </c>
      <c r="F1859">
        <v>1</v>
      </c>
      <c r="G1859" t="str">
        <f>HYPERLINK("http://babel.hathitrust.org/cgi/pt?id=uc1.$b662808")</f>
        <v>http://babel.hathitrust.org/cgi/pt?id=uc1.$b662808</v>
      </c>
      <c r="H1859" t="str">
        <f>HYPERLINK("http://catalog.hathitrust.org/Record/001438379")</f>
        <v>http://catalog.hathitrust.org/Record/001438379</v>
      </c>
      <c r="J1859" s="1">
        <v>1917</v>
      </c>
      <c r="K1859" t="s">
        <v>16730</v>
      </c>
      <c r="L1859" t="s">
        <v>16731</v>
      </c>
    </row>
    <row r="1860" spans="1:12">
      <c r="A1860" t="s">
        <v>16734</v>
      </c>
      <c r="B1860" s="1" t="s">
        <v>16729</v>
      </c>
      <c r="F1860">
        <v>1</v>
      </c>
      <c r="G1860" t="str">
        <f>HYPERLINK("http://babel.hathitrust.org/cgi/pt?id=uc1.b622160")</f>
        <v>http://babel.hathitrust.org/cgi/pt?id=uc1.b622160</v>
      </c>
      <c r="H1860" t="str">
        <f>HYPERLINK("http://catalog.hathitrust.org/Record/001438379")</f>
        <v>http://catalog.hathitrust.org/Record/001438379</v>
      </c>
      <c r="J1860" s="1">
        <v>1917</v>
      </c>
      <c r="K1860" t="s">
        <v>16730</v>
      </c>
      <c r="L1860" t="s">
        <v>16731</v>
      </c>
    </row>
    <row r="1861" spans="1:12">
      <c r="A1861" t="s">
        <v>16735</v>
      </c>
      <c r="B1861" s="1" t="s">
        <v>16729</v>
      </c>
      <c r="F1861">
        <v>1</v>
      </c>
      <c r="G1861" t="str">
        <f>HYPERLINK("http://babel.hathitrust.org/cgi/pt?id=uc2.ark:/13960/t6445tz89")</f>
        <v>http://babel.hathitrust.org/cgi/pt?id=uc2.ark:/13960/t6445tz89</v>
      </c>
      <c r="H1861" t="str">
        <f>HYPERLINK("http://catalog.hathitrust.org/Record/001438379")</f>
        <v>http://catalog.hathitrust.org/Record/001438379</v>
      </c>
      <c r="J1861" s="1">
        <v>1917</v>
      </c>
      <c r="K1861" t="s">
        <v>16730</v>
      </c>
      <c r="L1861" t="s">
        <v>16731</v>
      </c>
    </row>
    <row r="1862" spans="1:12">
      <c r="A1862" t="s">
        <v>16736</v>
      </c>
      <c r="B1862" s="1" t="s">
        <v>16737</v>
      </c>
      <c r="F1862">
        <v>1</v>
      </c>
      <c r="G1862" t="str">
        <f>HYPERLINK("http://babel.hathitrust.org/cgi/pt?id=mdp.39015003959213")</f>
        <v>http://babel.hathitrust.org/cgi/pt?id=mdp.39015003959213</v>
      </c>
      <c r="H1862" t="str">
        <f>HYPERLINK("http://catalog.hathitrust.org/Record/001438380")</f>
        <v>http://catalog.hathitrust.org/Record/001438380</v>
      </c>
      <c r="J1862" s="1">
        <v>1906</v>
      </c>
      <c r="K1862" t="s">
        <v>16738</v>
      </c>
      <c r="L1862" t="s">
        <v>16739</v>
      </c>
    </row>
    <row r="1863" spans="1:12">
      <c r="A1863" t="s">
        <v>16740</v>
      </c>
      <c r="B1863" s="1" t="s">
        <v>16737</v>
      </c>
      <c r="F1863">
        <v>1</v>
      </c>
      <c r="G1863" t="str">
        <f>HYPERLINK("http://babel.hathitrust.org/cgi/pt?id=uc2.ark:/13960/t3nv9dn9c")</f>
        <v>http://babel.hathitrust.org/cgi/pt?id=uc2.ark:/13960/t3nv9dn9c</v>
      </c>
      <c r="H1863" t="str">
        <f>HYPERLINK("http://catalog.hathitrust.org/Record/001438380")</f>
        <v>http://catalog.hathitrust.org/Record/001438380</v>
      </c>
      <c r="J1863" s="1">
        <v>1906</v>
      </c>
      <c r="K1863" t="s">
        <v>16738</v>
      </c>
      <c r="L1863" t="s">
        <v>16739</v>
      </c>
    </row>
    <row r="1864" spans="1:12">
      <c r="A1864" t="s">
        <v>16741</v>
      </c>
      <c r="B1864" s="1" t="s">
        <v>16614</v>
      </c>
      <c r="F1864">
        <v>1</v>
      </c>
      <c r="G1864" t="str">
        <f>HYPERLINK("http://babel.hathitrust.org/cgi/pt?id=mdp.39015003957985")</f>
        <v>http://babel.hathitrust.org/cgi/pt?id=mdp.39015003957985</v>
      </c>
      <c r="H1864" t="str">
        <f>HYPERLINK("http://catalog.hathitrust.org/Record/001438392")</f>
        <v>http://catalog.hathitrust.org/Record/001438392</v>
      </c>
      <c r="J1864" s="1">
        <v>1930</v>
      </c>
      <c r="K1864" t="s">
        <v>16615</v>
      </c>
      <c r="L1864" t="s">
        <v>16616</v>
      </c>
    </row>
    <row r="1865" spans="1:12">
      <c r="A1865" t="s">
        <v>16617</v>
      </c>
      <c r="B1865" s="1" t="s">
        <v>16614</v>
      </c>
      <c r="F1865">
        <v>1</v>
      </c>
      <c r="G1865" t="str">
        <f>HYPERLINK("http://babel.hathitrust.org/cgi/pt?id=uc1.b14780")</f>
        <v>http://babel.hathitrust.org/cgi/pt?id=uc1.b14780</v>
      </c>
      <c r="H1865" t="str">
        <f>HYPERLINK("http://catalog.hathitrust.org/Record/001438392")</f>
        <v>http://catalog.hathitrust.org/Record/001438392</v>
      </c>
      <c r="J1865" s="1">
        <v>1930</v>
      </c>
      <c r="K1865" t="s">
        <v>16615</v>
      </c>
      <c r="L1865" t="s">
        <v>16616</v>
      </c>
    </row>
    <row r="1866" spans="1:12">
      <c r="A1866" t="s">
        <v>16618</v>
      </c>
      <c r="B1866" s="1" t="s">
        <v>16619</v>
      </c>
      <c r="E1866">
        <v>1</v>
      </c>
      <c r="G1866" t="str">
        <f>HYPERLINK("http://babel.hathitrust.org/cgi/pt?id=mdp.39015056583944")</f>
        <v>http://babel.hathitrust.org/cgi/pt?id=mdp.39015056583944</v>
      </c>
      <c r="H1866" t="str">
        <f>HYPERLINK("http://catalog.hathitrust.org/Record/001438394")</f>
        <v>http://catalog.hathitrust.org/Record/001438394</v>
      </c>
      <c r="J1866" s="1">
        <v>1775</v>
      </c>
      <c r="K1866" t="s">
        <v>16620</v>
      </c>
      <c r="L1866" t="s">
        <v>16621</v>
      </c>
    </row>
    <row r="1867" spans="1:12">
      <c r="A1867" t="s">
        <v>16622</v>
      </c>
      <c r="B1867" s="1" t="s">
        <v>16623</v>
      </c>
      <c r="F1867">
        <v>1</v>
      </c>
      <c r="G1867" t="str">
        <f>HYPERLINK("http://babel.hathitrust.org/cgi/pt?id=mdp.39015031039608")</f>
        <v>http://babel.hathitrust.org/cgi/pt?id=mdp.39015031039608</v>
      </c>
      <c r="H1867" t="str">
        <f>HYPERLINK("http://catalog.hathitrust.org/Record/001438400")</f>
        <v>http://catalog.hathitrust.org/Record/001438400</v>
      </c>
      <c r="J1867" s="1">
        <v>1910</v>
      </c>
      <c r="K1867" t="s">
        <v>16624</v>
      </c>
      <c r="L1867" t="s">
        <v>16755</v>
      </c>
    </row>
    <row r="1868" spans="1:12">
      <c r="A1868" t="s">
        <v>16625</v>
      </c>
      <c r="B1868" s="1" t="s">
        <v>16623</v>
      </c>
      <c r="F1868">
        <v>1</v>
      </c>
      <c r="G1868" t="str">
        <f>HYPERLINK("http://babel.hathitrust.org/cgi/pt?id=uc1.b258049")</f>
        <v>http://babel.hathitrust.org/cgi/pt?id=uc1.b258049</v>
      </c>
      <c r="H1868" t="str">
        <f>HYPERLINK("http://catalog.hathitrust.org/Record/001438400")</f>
        <v>http://catalog.hathitrust.org/Record/001438400</v>
      </c>
      <c r="J1868" s="1">
        <v>1910</v>
      </c>
      <c r="K1868" t="s">
        <v>16624</v>
      </c>
      <c r="L1868" t="s">
        <v>16755</v>
      </c>
    </row>
    <row r="1869" spans="1:12">
      <c r="A1869" t="s">
        <v>16626</v>
      </c>
      <c r="B1869" s="1" t="s">
        <v>16627</v>
      </c>
      <c r="F1869">
        <v>1</v>
      </c>
      <c r="G1869" t="str">
        <f>HYPERLINK("http://babel.hathitrust.org/cgi/pt?id=mdp.39015031039566")</f>
        <v>http://babel.hathitrust.org/cgi/pt?id=mdp.39015031039566</v>
      </c>
      <c r="H1869" t="str">
        <f>HYPERLINK("http://catalog.hathitrust.org/Record/001438401")</f>
        <v>http://catalog.hathitrust.org/Record/001438401</v>
      </c>
      <c r="J1869" s="1">
        <v>1913</v>
      </c>
      <c r="K1869" t="s">
        <v>16628</v>
      </c>
      <c r="L1869" t="s">
        <v>16755</v>
      </c>
    </row>
    <row r="1870" spans="1:12">
      <c r="A1870" t="s">
        <v>16629</v>
      </c>
      <c r="B1870" s="1" t="s">
        <v>16627</v>
      </c>
      <c r="F1870">
        <v>1</v>
      </c>
      <c r="G1870" t="str">
        <f>HYPERLINK("http://babel.hathitrust.org/cgi/pt?id=uc1.b258033")</f>
        <v>http://babel.hathitrust.org/cgi/pt?id=uc1.b258033</v>
      </c>
      <c r="H1870" t="str">
        <f>HYPERLINK("http://catalog.hathitrust.org/Record/001438401")</f>
        <v>http://catalog.hathitrust.org/Record/001438401</v>
      </c>
      <c r="J1870" s="1">
        <v>1913</v>
      </c>
      <c r="K1870" t="s">
        <v>16628</v>
      </c>
      <c r="L1870" t="s">
        <v>16755</v>
      </c>
    </row>
    <row r="1871" spans="1:12">
      <c r="A1871" t="s">
        <v>16630</v>
      </c>
      <c r="B1871" s="1" t="s">
        <v>16627</v>
      </c>
      <c r="F1871">
        <v>1</v>
      </c>
      <c r="G1871" t="str">
        <f>HYPERLINK("http://babel.hathitrust.org/cgi/pt?id=uc2.ark:/13960/t79s1pj9m")</f>
        <v>http://babel.hathitrust.org/cgi/pt?id=uc2.ark:/13960/t79s1pj9m</v>
      </c>
      <c r="H1871" t="str">
        <f>HYPERLINK("http://catalog.hathitrust.org/Record/001438401")</f>
        <v>http://catalog.hathitrust.org/Record/001438401</v>
      </c>
      <c r="J1871" s="1">
        <v>1913</v>
      </c>
      <c r="K1871" t="s">
        <v>16628</v>
      </c>
      <c r="L1871" t="s">
        <v>16755</v>
      </c>
    </row>
    <row r="1872" spans="1:12">
      <c r="A1872" t="s">
        <v>16631</v>
      </c>
      <c r="B1872" s="1" t="s">
        <v>16632</v>
      </c>
      <c r="F1872">
        <v>1</v>
      </c>
      <c r="G1872" t="str">
        <f>HYPERLINK("http://babel.hathitrust.org/cgi/pt?id=mdp.39015065249974")</f>
        <v>http://babel.hathitrust.org/cgi/pt?id=mdp.39015065249974</v>
      </c>
      <c r="H1872" t="str">
        <f>HYPERLINK("http://catalog.hathitrust.org/Record/001438403")</f>
        <v>http://catalog.hathitrust.org/Record/001438403</v>
      </c>
      <c r="J1872" s="1">
        <v>1884</v>
      </c>
      <c r="K1872" t="s">
        <v>16633</v>
      </c>
      <c r="L1872" t="s">
        <v>16634</v>
      </c>
    </row>
    <row r="1873" spans="1:12">
      <c r="A1873" t="s">
        <v>16635</v>
      </c>
      <c r="B1873" s="1" t="s">
        <v>16636</v>
      </c>
      <c r="F1873">
        <v>1</v>
      </c>
      <c r="G1873" t="str">
        <f>HYPERLINK("http://babel.hathitrust.org/cgi/pt?id=mdp.39015031039533")</f>
        <v>http://babel.hathitrust.org/cgi/pt?id=mdp.39015031039533</v>
      </c>
      <c r="H1873" t="str">
        <f>HYPERLINK("http://catalog.hathitrust.org/Record/001438407")</f>
        <v>http://catalog.hathitrust.org/Record/001438407</v>
      </c>
      <c r="J1873" s="1">
        <v>1924</v>
      </c>
      <c r="K1873" t="s">
        <v>16637</v>
      </c>
      <c r="L1873" t="s">
        <v>16638</v>
      </c>
    </row>
    <row r="1874" spans="1:12">
      <c r="A1874" t="s">
        <v>16639</v>
      </c>
      <c r="B1874" s="1" t="s">
        <v>16640</v>
      </c>
      <c r="F1874">
        <v>1</v>
      </c>
      <c r="G1874" t="str">
        <f>HYPERLINK("http://babel.hathitrust.org/cgi/pt?id=mdp.39015031039475")</f>
        <v>http://babel.hathitrust.org/cgi/pt?id=mdp.39015031039475</v>
      </c>
      <c r="H1874" t="str">
        <f>HYPERLINK("http://catalog.hathitrust.org/Record/001438409")</f>
        <v>http://catalog.hathitrust.org/Record/001438409</v>
      </c>
      <c r="J1874" s="1">
        <v>1911</v>
      </c>
      <c r="K1874" t="s">
        <v>16641</v>
      </c>
      <c r="L1874" t="s">
        <v>16642</v>
      </c>
    </row>
    <row r="1875" spans="1:12">
      <c r="A1875" t="s">
        <v>16643</v>
      </c>
      <c r="B1875" s="1" t="s">
        <v>16640</v>
      </c>
      <c r="F1875">
        <v>1</v>
      </c>
      <c r="G1875" t="str">
        <f>HYPERLINK("http://babel.hathitrust.org/cgi/pt?id=nyp.33433082523758")</f>
        <v>http://babel.hathitrust.org/cgi/pt?id=nyp.33433082523758</v>
      </c>
      <c r="H1875" t="str">
        <f>HYPERLINK("http://catalog.hathitrust.org/Record/001438409")</f>
        <v>http://catalog.hathitrust.org/Record/001438409</v>
      </c>
      <c r="J1875" s="1">
        <v>1911</v>
      </c>
      <c r="K1875" t="s">
        <v>16641</v>
      </c>
      <c r="L1875" t="s">
        <v>16642</v>
      </c>
    </row>
    <row r="1876" spans="1:12">
      <c r="A1876" t="s">
        <v>16644</v>
      </c>
      <c r="B1876" s="1" t="s">
        <v>16640</v>
      </c>
      <c r="F1876">
        <v>1</v>
      </c>
      <c r="G1876" t="str">
        <f>HYPERLINK("http://babel.hathitrust.org/cgi/pt?id=uc1.b258041")</f>
        <v>http://babel.hathitrust.org/cgi/pt?id=uc1.b258041</v>
      </c>
      <c r="H1876" t="str">
        <f>HYPERLINK("http://catalog.hathitrust.org/Record/001438409")</f>
        <v>http://catalog.hathitrust.org/Record/001438409</v>
      </c>
      <c r="J1876" s="1">
        <v>1911</v>
      </c>
      <c r="K1876" t="s">
        <v>16641</v>
      </c>
      <c r="L1876" t="s">
        <v>16642</v>
      </c>
    </row>
    <row r="1877" spans="1:12">
      <c r="A1877" t="s">
        <v>16645</v>
      </c>
      <c r="B1877" s="1" t="s">
        <v>16640</v>
      </c>
      <c r="F1877">
        <v>1</v>
      </c>
      <c r="G1877" t="str">
        <f>HYPERLINK("http://babel.hathitrust.org/cgi/pt?id=uc2.ark:/13960/t6d21vf69")</f>
        <v>http://babel.hathitrust.org/cgi/pt?id=uc2.ark:/13960/t6d21vf69</v>
      </c>
      <c r="H1877" t="str">
        <f>HYPERLINK("http://catalog.hathitrust.org/Record/001438409")</f>
        <v>http://catalog.hathitrust.org/Record/001438409</v>
      </c>
      <c r="J1877" s="1">
        <v>1911</v>
      </c>
      <c r="K1877" t="s">
        <v>16641</v>
      </c>
      <c r="L1877" t="s">
        <v>16642</v>
      </c>
    </row>
    <row r="1878" spans="1:12">
      <c r="A1878" t="s">
        <v>16646</v>
      </c>
      <c r="B1878" s="1" t="s">
        <v>16647</v>
      </c>
      <c r="F1878">
        <v>1</v>
      </c>
      <c r="G1878" t="str">
        <f>HYPERLINK("http://babel.hathitrust.org/cgi/pt?id=mdp.39015031039228")</f>
        <v>http://babel.hathitrust.org/cgi/pt?id=mdp.39015031039228</v>
      </c>
      <c r="H1878" t="str">
        <f>HYPERLINK("http://catalog.hathitrust.org/Record/001438424")</f>
        <v>http://catalog.hathitrust.org/Record/001438424</v>
      </c>
      <c r="J1878" s="1">
        <v>1913</v>
      </c>
      <c r="K1878" t="s">
        <v>16648</v>
      </c>
      <c r="L1878" t="s">
        <v>16649</v>
      </c>
    </row>
    <row r="1879" spans="1:12">
      <c r="A1879" t="s">
        <v>16650</v>
      </c>
      <c r="B1879" s="1" t="s">
        <v>16647</v>
      </c>
      <c r="F1879">
        <v>1</v>
      </c>
      <c r="G1879" t="str">
        <f>HYPERLINK("http://babel.hathitrust.org/cgi/pt?id=nyp.33433084113574")</f>
        <v>http://babel.hathitrust.org/cgi/pt?id=nyp.33433084113574</v>
      </c>
      <c r="H1879" t="str">
        <f>HYPERLINK("http://catalog.hathitrust.org/Record/001438424")</f>
        <v>http://catalog.hathitrust.org/Record/001438424</v>
      </c>
      <c r="J1879" s="1">
        <v>1913</v>
      </c>
      <c r="K1879" t="s">
        <v>16648</v>
      </c>
      <c r="L1879" t="s">
        <v>16649</v>
      </c>
    </row>
    <row r="1880" spans="1:12">
      <c r="A1880" t="s">
        <v>16651</v>
      </c>
      <c r="B1880" s="1" t="s">
        <v>16652</v>
      </c>
      <c r="F1880">
        <v>1</v>
      </c>
      <c r="G1880" t="str">
        <f>HYPERLINK("http://babel.hathitrust.org/cgi/pt?id=mdp.39015030837499")</f>
        <v>http://babel.hathitrust.org/cgi/pt?id=mdp.39015030837499</v>
      </c>
      <c r="H1880" t="str">
        <f>HYPERLINK("http://catalog.hathitrust.org/Record/001438432")</f>
        <v>http://catalog.hathitrust.org/Record/001438432</v>
      </c>
      <c r="J1880" s="1">
        <v>1916</v>
      </c>
      <c r="K1880" t="s">
        <v>16653</v>
      </c>
      <c r="L1880" t="s">
        <v>16654</v>
      </c>
    </row>
    <row r="1881" spans="1:12">
      <c r="A1881" t="s">
        <v>16655</v>
      </c>
      <c r="B1881" s="1" t="s">
        <v>16652</v>
      </c>
      <c r="F1881">
        <v>1</v>
      </c>
      <c r="G1881" t="str">
        <f>HYPERLINK("http://babel.hathitrust.org/cgi/pt?id=uc2.ark:/13960/t0js9ph41")</f>
        <v>http://babel.hathitrust.org/cgi/pt?id=uc2.ark:/13960/t0js9ph41</v>
      </c>
      <c r="H1881" t="str">
        <f>HYPERLINK("http://catalog.hathitrust.org/Record/001438432")</f>
        <v>http://catalog.hathitrust.org/Record/001438432</v>
      </c>
      <c r="J1881" s="1">
        <v>1916</v>
      </c>
      <c r="K1881" t="s">
        <v>16653</v>
      </c>
      <c r="L1881" t="s">
        <v>16654</v>
      </c>
    </row>
    <row r="1882" spans="1:12">
      <c r="A1882" t="s">
        <v>16656</v>
      </c>
      <c r="B1882" s="1" t="s">
        <v>16657</v>
      </c>
      <c r="F1882">
        <v>1</v>
      </c>
      <c r="G1882" t="str">
        <f>HYPERLINK("http://babel.hathitrust.org/cgi/pt?id=mdp.39015031039129")</f>
        <v>http://babel.hathitrust.org/cgi/pt?id=mdp.39015031039129</v>
      </c>
      <c r="H1882" t="str">
        <f>HYPERLINK("http://catalog.hathitrust.org/Record/001438450")</f>
        <v>http://catalog.hathitrust.org/Record/001438450</v>
      </c>
      <c r="J1882" s="1">
        <v>1918</v>
      </c>
      <c r="K1882" t="s">
        <v>16658</v>
      </c>
      <c r="L1882" t="s">
        <v>16659</v>
      </c>
    </row>
    <row r="1883" spans="1:12">
      <c r="A1883" t="s">
        <v>16660</v>
      </c>
      <c r="B1883" s="1" t="s">
        <v>16657</v>
      </c>
      <c r="F1883">
        <v>1</v>
      </c>
      <c r="G1883" t="str">
        <f>HYPERLINK("http://babel.hathitrust.org/cgi/pt?id=nyp.33433066604715")</f>
        <v>http://babel.hathitrust.org/cgi/pt?id=nyp.33433066604715</v>
      </c>
      <c r="H1883" t="str">
        <f>HYPERLINK("http://catalog.hathitrust.org/Record/001438450")</f>
        <v>http://catalog.hathitrust.org/Record/001438450</v>
      </c>
      <c r="J1883" s="1">
        <v>1918</v>
      </c>
      <c r="K1883" t="s">
        <v>16658</v>
      </c>
      <c r="L1883" t="s">
        <v>16659</v>
      </c>
    </row>
    <row r="1884" spans="1:12">
      <c r="A1884" t="s">
        <v>16661</v>
      </c>
      <c r="B1884" s="1" t="s">
        <v>16662</v>
      </c>
      <c r="F1884">
        <v>1</v>
      </c>
      <c r="G1884" t="str">
        <f>HYPERLINK("http://babel.hathitrust.org/cgi/pt?id=uc1.b257975")</f>
        <v>http://babel.hathitrust.org/cgi/pt?id=uc1.b257975</v>
      </c>
      <c r="H1884" t="str">
        <f>HYPERLINK("http://catalog.hathitrust.org/Record/001438453")</f>
        <v>http://catalog.hathitrust.org/Record/001438453</v>
      </c>
      <c r="J1884" s="1">
        <v>1902</v>
      </c>
      <c r="K1884" t="s">
        <v>16663</v>
      </c>
      <c r="L1884" t="s">
        <v>16664</v>
      </c>
    </row>
    <row r="1885" spans="1:12">
      <c r="A1885" t="s">
        <v>16665</v>
      </c>
      <c r="B1885" s="1" t="s">
        <v>16662</v>
      </c>
      <c r="F1885">
        <v>1</v>
      </c>
      <c r="G1885" t="str">
        <f>HYPERLINK("http://babel.hathitrust.org/cgi/pt?id=uc2.ark:/13960/t73t9h70p")</f>
        <v>http://babel.hathitrust.org/cgi/pt?id=uc2.ark:/13960/t73t9h70p</v>
      </c>
      <c r="H1885" t="str">
        <f>HYPERLINK("http://catalog.hathitrust.org/Record/001438453")</f>
        <v>http://catalog.hathitrust.org/Record/001438453</v>
      </c>
      <c r="J1885" s="1">
        <v>1902</v>
      </c>
      <c r="K1885" t="s">
        <v>16663</v>
      </c>
      <c r="L1885" t="s">
        <v>16664</v>
      </c>
    </row>
    <row r="1886" spans="1:12">
      <c r="A1886" t="s">
        <v>16666</v>
      </c>
      <c r="B1886" s="1" t="s">
        <v>16667</v>
      </c>
      <c r="F1886">
        <v>1</v>
      </c>
      <c r="G1886" t="str">
        <f>HYPERLINK("http://babel.hathitrust.org/cgi/pt?id=mdp.39015055030491")</f>
        <v>http://babel.hathitrust.org/cgi/pt?id=mdp.39015055030491</v>
      </c>
      <c r="H1886" t="str">
        <f>HYPERLINK("http://catalog.hathitrust.org/Record/001438457")</f>
        <v>http://catalog.hathitrust.org/Record/001438457</v>
      </c>
      <c r="J1886" s="1">
        <v>1916</v>
      </c>
      <c r="K1886" t="s">
        <v>16668</v>
      </c>
      <c r="L1886" t="s">
        <v>16669</v>
      </c>
    </row>
    <row r="1887" spans="1:12">
      <c r="A1887" t="s">
        <v>16670</v>
      </c>
      <c r="B1887" s="1" t="s">
        <v>16671</v>
      </c>
      <c r="F1887">
        <v>1</v>
      </c>
      <c r="G1887" t="str">
        <f>HYPERLINK("http://babel.hathitrust.org/cgi/pt?id=uc1.$b796013")</f>
        <v>http://babel.hathitrust.org/cgi/pt?id=uc1.$b796013</v>
      </c>
      <c r="H1887" t="str">
        <f>HYPERLINK("http://catalog.hathitrust.org/Record/001438459")</f>
        <v>http://catalog.hathitrust.org/Record/001438459</v>
      </c>
      <c r="J1887" s="1">
        <v>1915</v>
      </c>
      <c r="K1887" t="s">
        <v>16672</v>
      </c>
      <c r="L1887" t="s">
        <v>16673</v>
      </c>
    </row>
    <row r="1888" spans="1:12">
      <c r="A1888" t="s">
        <v>16674</v>
      </c>
      <c r="B1888" s="1" t="s">
        <v>16671</v>
      </c>
      <c r="F1888">
        <v>1</v>
      </c>
      <c r="G1888" t="str">
        <f>HYPERLINK("http://babel.hathitrust.org/cgi/pt?id=uc2.ark:/13960/t3rv0m409")</f>
        <v>http://babel.hathitrust.org/cgi/pt?id=uc2.ark:/13960/t3rv0m409</v>
      </c>
      <c r="H1888" t="str">
        <f>HYPERLINK("http://catalog.hathitrust.org/Record/001438459")</f>
        <v>http://catalog.hathitrust.org/Record/001438459</v>
      </c>
      <c r="J1888" s="1">
        <v>1915</v>
      </c>
      <c r="K1888" t="s">
        <v>16672</v>
      </c>
      <c r="L1888" t="s">
        <v>16673</v>
      </c>
    </row>
    <row r="1889" spans="1:12">
      <c r="A1889" t="s">
        <v>16675</v>
      </c>
      <c r="B1889" s="1" t="s">
        <v>16676</v>
      </c>
      <c r="F1889">
        <v>1</v>
      </c>
      <c r="G1889" t="str">
        <f>HYPERLINK("http://babel.hathitrust.org/cgi/pt?id=mdp.39015008400528")</f>
        <v>http://babel.hathitrust.org/cgi/pt?id=mdp.39015008400528</v>
      </c>
      <c r="H1889" t="str">
        <f>HYPERLINK("http://catalog.hathitrust.org/Record/001438467")</f>
        <v>http://catalog.hathitrust.org/Record/001438467</v>
      </c>
      <c r="J1889" s="1">
        <v>1905</v>
      </c>
      <c r="K1889" t="s">
        <v>16677</v>
      </c>
      <c r="L1889" t="s">
        <v>16547</v>
      </c>
    </row>
    <row r="1890" spans="1:12">
      <c r="A1890" t="s">
        <v>16548</v>
      </c>
      <c r="B1890" s="1" t="s">
        <v>16676</v>
      </c>
      <c r="F1890">
        <v>1</v>
      </c>
      <c r="G1890" t="str">
        <f>HYPERLINK("http://babel.hathitrust.org/cgi/pt?id=nyp.33433084112360")</f>
        <v>http://babel.hathitrust.org/cgi/pt?id=nyp.33433084112360</v>
      </c>
      <c r="H1890" t="str">
        <f>HYPERLINK("http://catalog.hathitrust.org/Record/001438467")</f>
        <v>http://catalog.hathitrust.org/Record/001438467</v>
      </c>
      <c r="J1890" s="1">
        <v>1905</v>
      </c>
      <c r="K1890" t="s">
        <v>16677</v>
      </c>
      <c r="L1890" t="s">
        <v>16547</v>
      </c>
    </row>
    <row r="1891" spans="1:12">
      <c r="A1891" t="s">
        <v>16549</v>
      </c>
      <c r="B1891" s="1" t="s">
        <v>16550</v>
      </c>
      <c r="E1891">
        <v>1</v>
      </c>
      <c r="F1891">
        <v>1</v>
      </c>
      <c r="G1891" t="str">
        <f>HYPERLINK("http://babel.hathitrust.org/cgi/pt?id=mdp.39015028573288")</f>
        <v>http://babel.hathitrust.org/cgi/pt?id=mdp.39015028573288</v>
      </c>
      <c r="H1891" t="str">
        <f>HYPERLINK("http://catalog.hathitrust.org/Record/001438468")</f>
        <v>http://catalog.hathitrust.org/Record/001438468</v>
      </c>
      <c r="J1891" s="1">
        <v>1882</v>
      </c>
      <c r="K1891" t="s">
        <v>16551</v>
      </c>
      <c r="L1891" t="s">
        <v>19514</v>
      </c>
    </row>
    <row r="1892" spans="1:12">
      <c r="A1892" t="s">
        <v>16552</v>
      </c>
      <c r="B1892" s="1" t="s">
        <v>16553</v>
      </c>
      <c r="E1892">
        <v>1</v>
      </c>
      <c r="F1892">
        <v>1</v>
      </c>
      <c r="G1892" t="str">
        <f>HYPERLINK("http://babel.hathitrust.org/cgi/pt?id=mdp.39015016881438")</f>
        <v>http://babel.hathitrust.org/cgi/pt?id=mdp.39015016881438</v>
      </c>
      <c r="H1892" t="str">
        <f>HYPERLINK("http://catalog.hathitrust.org/Record/001438469")</f>
        <v>http://catalog.hathitrust.org/Record/001438469</v>
      </c>
      <c r="J1892" s="1">
        <v>1915</v>
      </c>
      <c r="K1892" t="s">
        <v>16554</v>
      </c>
      <c r="L1892" t="s">
        <v>16555</v>
      </c>
    </row>
    <row r="1893" spans="1:12">
      <c r="A1893" t="s">
        <v>16556</v>
      </c>
      <c r="B1893" s="1" t="s">
        <v>16557</v>
      </c>
      <c r="F1893">
        <v>1</v>
      </c>
      <c r="G1893" t="str">
        <f>HYPERLINK("http://babel.hathitrust.org/cgi/pt?id=mdp.39015059909286")</f>
        <v>http://babel.hathitrust.org/cgi/pt?id=mdp.39015059909286</v>
      </c>
      <c r="H1893" t="str">
        <f>HYPERLINK("http://catalog.hathitrust.org/Record/001438605")</f>
        <v>http://catalog.hathitrust.org/Record/001438605</v>
      </c>
      <c r="J1893" s="1">
        <v>1917</v>
      </c>
      <c r="K1893" t="s">
        <v>16558</v>
      </c>
      <c r="L1893" t="s">
        <v>16559</v>
      </c>
    </row>
    <row r="1894" spans="1:12">
      <c r="A1894" t="s">
        <v>16560</v>
      </c>
      <c r="B1894" s="1" t="s">
        <v>16557</v>
      </c>
      <c r="F1894">
        <v>1</v>
      </c>
      <c r="G1894" t="str">
        <f>HYPERLINK("http://babel.hathitrust.org/cgi/pt?id=uc2.ark:/13960/t43r0wv7r")</f>
        <v>http://babel.hathitrust.org/cgi/pt?id=uc2.ark:/13960/t43r0wv7r</v>
      </c>
      <c r="H1894" t="str">
        <f>HYPERLINK("http://catalog.hathitrust.org/Record/001438605")</f>
        <v>http://catalog.hathitrust.org/Record/001438605</v>
      </c>
      <c r="J1894" s="1">
        <v>1917</v>
      </c>
      <c r="K1894" t="s">
        <v>16558</v>
      </c>
      <c r="L1894" t="s">
        <v>16559</v>
      </c>
    </row>
    <row r="1895" spans="1:12">
      <c r="A1895" t="s">
        <v>16561</v>
      </c>
      <c r="B1895" s="1" t="s">
        <v>16562</v>
      </c>
      <c r="F1895">
        <v>1</v>
      </c>
      <c r="G1895" t="str">
        <f>HYPERLINK("http://babel.hathitrust.org/cgi/pt?id=mdp.39015059909294")</f>
        <v>http://babel.hathitrust.org/cgi/pt?id=mdp.39015059909294</v>
      </c>
      <c r="H1895" t="str">
        <f>HYPERLINK("http://catalog.hathitrust.org/Record/001438609")</f>
        <v>http://catalog.hathitrust.org/Record/001438609</v>
      </c>
      <c r="J1895" s="1">
        <v>1846</v>
      </c>
      <c r="K1895" t="s">
        <v>16563</v>
      </c>
      <c r="L1895" t="s">
        <v>16564</v>
      </c>
    </row>
    <row r="1896" spans="1:12">
      <c r="A1896" t="s">
        <v>16565</v>
      </c>
      <c r="B1896" s="1" t="s">
        <v>16566</v>
      </c>
      <c r="F1896">
        <v>1</v>
      </c>
      <c r="G1896" t="str">
        <f>HYPERLINK("http://babel.hathitrust.org/cgi/pt?id=mdp.39015066079917")</f>
        <v>http://babel.hathitrust.org/cgi/pt?id=mdp.39015066079917</v>
      </c>
      <c r="H1896" t="str">
        <f>HYPERLINK("http://catalog.hathitrust.org/Record/001438639")</f>
        <v>http://catalog.hathitrust.org/Record/001438639</v>
      </c>
      <c r="J1896" s="1">
        <v>1914</v>
      </c>
      <c r="K1896" t="s">
        <v>16567</v>
      </c>
      <c r="L1896" t="s">
        <v>16568</v>
      </c>
    </row>
    <row r="1897" spans="1:12">
      <c r="A1897" t="s">
        <v>16569</v>
      </c>
      <c r="B1897" s="1" t="s">
        <v>16566</v>
      </c>
      <c r="F1897">
        <v>1</v>
      </c>
      <c r="G1897" t="str">
        <f>HYPERLINK("http://babel.hathitrust.org/cgi/pt?id=uc1.b297684")</f>
        <v>http://babel.hathitrust.org/cgi/pt?id=uc1.b297684</v>
      </c>
      <c r="H1897" t="str">
        <f>HYPERLINK("http://catalog.hathitrust.org/Record/001438639")</f>
        <v>http://catalog.hathitrust.org/Record/001438639</v>
      </c>
      <c r="J1897" s="1">
        <v>1914</v>
      </c>
      <c r="K1897" t="s">
        <v>16567</v>
      </c>
      <c r="L1897" t="s">
        <v>16568</v>
      </c>
    </row>
    <row r="1898" spans="1:12">
      <c r="A1898" t="s">
        <v>16570</v>
      </c>
      <c r="B1898" s="1" t="s">
        <v>16566</v>
      </c>
      <c r="F1898">
        <v>1</v>
      </c>
      <c r="G1898" t="str">
        <f>HYPERLINK("http://babel.hathitrust.org/cgi/pt?id=uc2.ark:/13960/t3028st0m")</f>
        <v>http://babel.hathitrust.org/cgi/pt?id=uc2.ark:/13960/t3028st0m</v>
      </c>
      <c r="H1898" t="str">
        <f>HYPERLINK("http://catalog.hathitrust.org/Record/001438639")</f>
        <v>http://catalog.hathitrust.org/Record/001438639</v>
      </c>
      <c r="J1898" s="1">
        <v>1914</v>
      </c>
      <c r="K1898" t="s">
        <v>16567</v>
      </c>
      <c r="L1898" t="s">
        <v>16568</v>
      </c>
    </row>
    <row r="1899" spans="1:12">
      <c r="A1899" t="s">
        <v>16571</v>
      </c>
      <c r="B1899" s="1" t="s">
        <v>16572</v>
      </c>
      <c r="F1899">
        <v>1</v>
      </c>
      <c r="G1899" t="str">
        <f>HYPERLINK("http://babel.hathitrust.org/cgi/pt?id=mdp.39015055033339")</f>
        <v>http://babel.hathitrust.org/cgi/pt?id=mdp.39015055033339</v>
      </c>
      <c r="H1899" t="str">
        <f t="shared" ref="H1899:H1918" si="34">HYPERLINK("http://catalog.hathitrust.org/Record/001438712")</f>
        <v>http://catalog.hathitrust.org/Record/001438712</v>
      </c>
      <c r="I1899" s="1" t="s">
        <v>16574</v>
      </c>
      <c r="J1899" s="1">
        <v>1900</v>
      </c>
      <c r="K1899" t="s">
        <v>16573</v>
      </c>
      <c r="L1899" t="s">
        <v>16575</v>
      </c>
    </row>
    <row r="1900" spans="1:12">
      <c r="A1900" t="s">
        <v>16576</v>
      </c>
      <c r="B1900" s="1" t="s">
        <v>16572</v>
      </c>
      <c r="F1900">
        <v>1</v>
      </c>
      <c r="G1900" t="str">
        <f>HYPERLINK("http://babel.hathitrust.org/cgi/pt?id=mdp.39015055033347")</f>
        <v>http://babel.hathitrust.org/cgi/pt?id=mdp.39015055033347</v>
      </c>
      <c r="H1900" t="str">
        <f t="shared" si="34"/>
        <v>http://catalog.hathitrust.org/Record/001438712</v>
      </c>
      <c r="I1900" s="1" t="s">
        <v>16577</v>
      </c>
      <c r="J1900" s="1">
        <v>1900</v>
      </c>
      <c r="K1900" t="s">
        <v>16573</v>
      </c>
      <c r="L1900" t="s">
        <v>16575</v>
      </c>
    </row>
    <row r="1901" spans="1:12">
      <c r="A1901" t="s">
        <v>16578</v>
      </c>
      <c r="B1901" s="1" t="s">
        <v>16572</v>
      </c>
      <c r="F1901">
        <v>1</v>
      </c>
      <c r="G1901" t="str">
        <f>HYPERLINK("http://babel.hathitrust.org/cgi/pt?id=mdp.39015055033354")</f>
        <v>http://babel.hathitrust.org/cgi/pt?id=mdp.39015055033354</v>
      </c>
      <c r="H1901" t="str">
        <f t="shared" si="34"/>
        <v>http://catalog.hathitrust.org/Record/001438712</v>
      </c>
      <c r="I1901" s="1" t="s">
        <v>21018</v>
      </c>
      <c r="J1901" s="1">
        <v>1900</v>
      </c>
      <c r="K1901" t="s">
        <v>16573</v>
      </c>
      <c r="L1901" t="s">
        <v>16575</v>
      </c>
    </row>
    <row r="1902" spans="1:12">
      <c r="A1902" t="s">
        <v>16579</v>
      </c>
      <c r="B1902" s="1" t="s">
        <v>16572</v>
      </c>
      <c r="F1902">
        <v>1</v>
      </c>
      <c r="G1902" t="str">
        <f>HYPERLINK("http://babel.hathitrust.org/cgi/pt?id=mdp.39015055033362")</f>
        <v>http://babel.hathitrust.org/cgi/pt?id=mdp.39015055033362</v>
      </c>
      <c r="H1902" t="str">
        <f t="shared" si="34"/>
        <v>http://catalog.hathitrust.org/Record/001438712</v>
      </c>
      <c r="I1902" s="1" t="s">
        <v>20679</v>
      </c>
      <c r="J1902" s="1">
        <v>1900</v>
      </c>
      <c r="K1902" t="s">
        <v>16573</v>
      </c>
      <c r="L1902" t="s">
        <v>16575</v>
      </c>
    </row>
    <row r="1903" spans="1:12">
      <c r="A1903" t="s">
        <v>16580</v>
      </c>
      <c r="B1903" s="1" t="s">
        <v>16572</v>
      </c>
      <c r="F1903">
        <v>1</v>
      </c>
      <c r="G1903" t="str">
        <f>HYPERLINK("http://babel.hathitrust.org/cgi/pt?id=mdp.39015055033370")</f>
        <v>http://babel.hathitrust.org/cgi/pt?id=mdp.39015055033370</v>
      </c>
      <c r="H1903" t="str">
        <f t="shared" si="34"/>
        <v>http://catalog.hathitrust.org/Record/001438712</v>
      </c>
      <c r="I1903" s="1" t="s">
        <v>20916</v>
      </c>
      <c r="J1903" s="1">
        <v>1900</v>
      </c>
      <c r="K1903" t="s">
        <v>16573</v>
      </c>
      <c r="L1903" t="s">
        <v>16575</v>
      </c>
    </row>
    <row r="1904" spans="1:12">
      <c r="A1904" t="s">
        <v>16581</v>
      </c>
      <c r="B1904" s="1" t="s">
        <v>16572</v>
      </c>
      <c r="F1904">
        <v>1</v>
      </c>
      <c r="G1904" t="str">
        <f>HYPERLINK("http://babel.hathitrust.org/cgi/pt?id=mdp.39015055033487")</f>
        <v>http://babel.hathitrust.org/cgi/pt?id=mdp.39015055033487</v>
      </c>
      <c r="H1904" t="str">
        <f t="shared" si="34"/>
        <v>http://catalog.hathitrust.org/Record/001438712</v>
      </c>
      <c r="I1904" s="1" t="s">
        <v>16582</v>
      </c>
      <c r="J1904" s="1">
        <v>1900</v>
      </c>
      <c r="K1904" t="s">
        <v>16573</v>
      </c>
      <c r="L1904" t="s">
        <v>16575</v>
      </c>
    </row>
    <row r="1905" spans="1:12">
      <c r="A1905" t="s">
        <v>16583</v>
      </c>
      <c r="B1905" s="1" t="s">
        <v>16572</v>
      </c>
      <c r="F1905">
        <v>1</v>
      </c>
      <c r="G1905" t="str">
        <f>HYPERLINK("http://babel.hathitrust.org/cgi/pt?id=mdp.39015055033495")</f>
        <v>http://babel.hathitrust.org/cgi/pt?id=mdp.39015055033495</v>
      </c>
      <c r="H1905" t="str">
        <f t="shared" si="34"/>
        <v>http://catalog.hathitrust.org/Record/001438712</v>
      </c>
      <c r="I1905" s="1" t="s">
        <v>21021</v>
      </c>
      <c r="J1905" s="1">
        <v>1900</v>
      </c>
      <c r="K1905" t="s">
        <v>16573</v>
      </c>
      <c r="L1905" t="s">
        <v>16575</v>
      </c>
    </row>
    <row r="1906" spans="1:12">
      <c r="A1906" t="s">
        <v>16584</v>
      </c>
      <c r="B1906" s="1" t="s">
        <v>16572</v>
      </c>
      <c r="F1906">
        <v>1</v>
      </c>
      <c r="G1906" t="str">
        <f>HYPERLINK("http://babel.hathitrust.org/cgi/pt?id=mdp.39015055033503")</f>
        <v>http://babel.hathitrust.org/cgi/pt?id=mdp.39015055033503</v>
      </c>
      <c r="H1906" t="str">
        <f t="shared" si="34"/>
        <v>http://catalog.hathitrust.org/Record/001438712</v>
      </c>
      <c r="I1906" s="1" t="s">
        <v>20681</v>
      </c>
      <c r="J1906" s="1">
        <v>1900</v>
      </c>
      <c r="K1906" t="s">
        <v>16573</v>
      </c>
      <c r="L1906" t="s">
        <v>16575</v>
      </c>
    </row>
    <row r="1907" spans="1:12">
      <c r="A1907" t="s">
        <v>16585</v>
      </c>
      <c r="B1907" s="1" t="s">
        <v>16572</v>
      </c>
      <c r="F1907">
        <v>1</v>
      </c>
      <c r="G1907" t="str">
        <f>HYPERLINK("http://babel.hathitrust.org/cgi/pt?id=mdp.39015055033511")</f>
        <v>http://babel.hathitrust.org/cgi/pt?id=mdp.39015055033511</v>
      </c>
      <c r="H1907" t="str">
        <f t="shared" si="34"/>
        <v>http://catalog.hathitrust.org/Record/001438712</v>
      </c>
      <c r="I1907" s="1" t="s">
        <v>20920</v>
      </c>
      <c r="J1907" s="1">
        <v>1900</v>
      </c>
      <c r="K1907" t="s">
        <v>16573</v>
      </c>
      <c r="L1907" t="s">
        <v>16575</v>
      </c>
    </row>
    <row r="1908" spans="1:12">
      <c r="A1908" t="s">
        <v>16586</v>
      </c>
      <c r="B1908" s="1" t="s">
        <v>16572</v>
      </c>
      <c r="F1908">
        <v>1</v>
      </c>
      <c r="G1908" t="str">
        <f>HYPERLINK("http://babel.hathitrust.org/cgi/pt?id=mdp.39015055033529")</f>
        <v>http://babel.hathitrust.org/cgi/pt?id=mdp.39015055033529</v>
      </c>
      <c r="H1908" t="str">
        <f t="shared" si="34"/>
        <v>http://catalog.hathitrust.org/Record/001438712</v>
      </c>
      <c r="I1908" s="1" t="s">
        <v>20755</v>
      </c>
      <c r="J1908" s="1">
        <v>1900</v>
      </c>
      <c r="K1908" t="s">
        <v>16573</v>
      </c>
      <c r="L1908" t="s">
        <v>16575</v>
      </c>
    </row>
    <row r="1909" spans="1:12">
      <c r="A1909" t="s">
        <v>16587</v>
      </c>
      <c r="B1909" s="1" t="s">
        <v>16572</v>
      </c>
      <c r="F1909">
        <v>1</v>
      </c>
      <c r="G1909" t="str">
        <f>HYPERLINK("http://babel.hathitrust.org/cgi/pt?id=uc1.b2867642")</f>
        <v>http://babel.hathitrust.org/cgi/pt?id=uc1.b2867642</v>
      </c>
      <c r="H1909" t="str">
        <f t="shared" si="34"/>
        <v>http://catalog.hathitrust.org/Record/001438712</v>
      </c>
      <c r="I1909" s="1" t="s">
        <v>20916</v>
      </c>
      <c r="J1909" s="1">
        <v>1900</v>
      </c>
      <c r="K1909" t="s">
        <v>16573</v>
      </c>
      <c r="L1909" t="s">
        <v>16575</v>
      </c>
    </row>
    <row r="1910" spans="1:12">
      <c r="A1910" t="s">
        <v>16588</v>
      </c>
      <c r="B1910" s="1" t="s">
        <v>16572</v>
      </c>
      <c r="F1910">
        <v>1</v>
      </c>
      <c r="G1910" t="str">
        <f>HYPERLINK("http://babel.hathitrust.org/cgi/pt?id=uc1.b2867643")</f>
        <v>http://babel.hathitrust.org/cgi/pt?id=uc1.b2867643</v>
      </c>
      <c r="H1910" t="str">
        <f t="shared" si="34"/>
        <v>http://catalog.hathitrust.org/Record/001438712</v>
      </c>
      <c r="I1910" s="1" t="s">
        <v>20755</v>
      </c>
      <c r="J1910" s="1">
        <v>1900</v>
      </c>
      <c r="K1910" t="s">
        <v>16573</v>
      </c>
      <c r="L1910" t="s">
        <v>16575</v>
      </c>
    </row>
    <row r="1911" spans="1:12">
      <c r="A1911" t="s">
        <v>16589</v>
      </c>
      <c r="B1911" s="1" t="s">
        <v>16572</v>
      </c>
      <c r="F1911">
        <v>1</v>
      </c>
      <c r="G1911" t="str">
        <f>HYPERLINK("http://babel.hathitrust.org/cgi/pt?id=uc1.b2867644")</f>
        <v>http://babel.hathitrust.org/cgi/pt?id=uc1.b2867644</v>
      </c>
      <c r="H1911" t="str">
        <f t="shared" si="34"/>
        <v>http://catalog.hathitrust.org/Record/001438712</v>
      </c>
      <c r="I1911" s="1" t="s">
        <v>20920</v>
      </c>
      <c r="J1911" s="1">
        <v>1900</v>
      </c>
      <c r="K1911" t="s">
        <v>16573</v>
      </c>
      <c r="L1911" t="s">
        <v>16575</v>
      </c>
    </row>
    <row r="1912" spans="1:12">
      <c r="A1912" t="s">
        <v>16590</v>
      </c>
      <c r="B1912" s="1" t="s">
        <v>16572</v>
      </c>
      <c r="F1912">
        <v>1</v>
      </c>
      <c r="G1912" t="str">
        <f>HYPERLINK("http://babel.hathitrust.org/cgi/pt?id=uc1.b2867645")</f>
        <v>http://babel.hathitrust.org/cgi/pt?id=uc1.b2867645</v>
      </c>
      <c r="H1912" t="str">
        <f t="shared" si="34"/>
        <v>http://catalog.hathitrust.org/Record/001438712</v>
      </c>
      <c r="I1912" s="1" t="s">
        <v>20679</v>
      </c>
      <c r="J1912" s="1">
        <v>1900</v>
      </c>
      <c r="K1912" t="s">
        <v>16573</v>
      </c>
      <c r="L1912" t="s">
        <v>16575</v>
      </c>
    </row>
    <row r="1913" spans="1:12">
      <c r="A1913" t="s">
        <v>16591</v>
      </c>
      <c r="B1913" s="1" t="s">
        <v>16572</v>
      </c>
      <c r="F1913">
        <v>1</v>
      </c>
      <c r="G1913" t="str">
        <f>HYPERLINK("http://babel.hathitrust.org/cgi/pt?id=uc1.b2867646")</f>
        <v>http://babel.hathitrust.org/cgi/pt?id=uc1.b2867646</v>
      </c>
      <c r="H1913" t="str">
        <f t="shared" si="34"/>
        <v>http://catalog.hathitrust.org/Record/001438712</v>
      </c>
      <c r="I1913" s="1" t="s">
        <v>20681</v>
      </c>
      <c r="J1913" s="1">
        <v>1900</v>
      </c>
      <c r="K1913" t="s">
        <v>16573</v>
      </c>
      <c r="L1913" t="s">
        <v>16575</v>
      </c>
    </row>
    <row r="1914" spans="1:12">
      <c r="A1914" t="s">
        <v>16592</v>
      </c>
      <c r="B1914" s="1" t="s">
        <v>16572</v>
      </c>
      <c r="F1914">
        <v>1</v>
      </c>
      <c r="G1914" t="str">
        <f>HYPERLINK("http://babel.hathitrust.org/cgi/pt?id=uc1.b2867647")</f>
        <v>http://babel.hathitrust.org/cgi/pt?id=uc1.b2867647</v>
      </c>
      <c r="H1914" t="str">
        <f t="shared" si="34"/>
        <v>http://catalog.hathitrust.org/Record/001438712</v>
      </c>
      <c r="I1914" s="1" t="s">
        <v>21018</v>
      </c>
      <c r="J1914" s="1">
        <v>1900</v>
      </c>
      <c r="K1914" t="s">
        <v>16573</v>
      </c>
      <c r="L1914" t="s">
        <v>16575</v>
      </c>
    </row>
    <row r="1915" spans="1:12">
      <c r="A1915" t="s">
        <v>16593</v>
      </c>
      <c r="B1915" s="1" t="s">
        <v>16572</v>
      </c>
      <c r="F1915">
        <v>1</v>
      </c>
      <c r="G1915" t="str">
        <f>HYPERLINK("http://babel.hathitrust.org/cgi/pt?id=uc1.b2867648")</f>
        <v>http://babel.hathitrust.org/cgi/pt?id=uc1.b2867648</v>
      </c>
      <c r="H1915" t="str">
        <f t="shared" si="34"/>
        <v>http://catalog.hathitrust.org/Record/001438712</v>
      </c>
      <c r="I1915" s="1" t="s">
        <v>16577</v>
      </c>
      <c r="J1915" s="1">
        <v>1900</v>
      </c>
      <c r="K1915" t="s">
        <v>16573</v>
      </c>
      <c r="L1915" t="s">
        <v>16575</v>
      </c>
    </row>
    <row r="1916" spans="1:12">
      <c r="A1916" t="s">
        <v>16594</v>
      </c>
      <c r="B1916" s="1" t="s">
        <v>16572</v>
      </c>
      <c r="F1916">
        <v>1</v>
      </c>
      <c r="G1916" t="str">
        <f>HYPERLINK("http://babel.hathitrust.org/cgi/pt?id=uc1.b2867649")</f>
        <v>http://babel.hathitrust.org/cgi/pt?id=uc1.b2867649</v>
      </c>
      <c r="H1916" t="str">
        <f t="shared" si="34"/>
        <v>http://catalog.hathitrust.org/Record/001438712</v>
      </c>
      <c r="I1916" s="1" t="s">
        <v>21021</v>
      </c>
      <c r="J1916" s="1">
        <v>1900</v>
      </c>
      <c r="K1916" t="s">
        <v>16573</v>
      </c>
      <c r="L1916" t="s">
        <v>16575</v>
      </c>
    </row>
    <row r="1917" spans="1:12">
      <c r="A1917" t="s">
        <v>16595</v>
      </c>
      <c r="B1917" s="1" t="s">
        <v>16572</v>
      </c>
      <c r="F1917">
        <v>1</v>
      </c>
      <c r="G1917" t="str">
        <f>HYPERLINK("http://babel.hathitrust.org/cgi/pt?id=uc1.b2867650")</f>
        <v>http://babel.hathitrust.org/cgi/pt?id=uc1.b2867650</v>
      </c>
      <c r="H1917" t="str">
        <f t="shared" si="34"/>
        <v>http://catalog.hathitrust.org/Record/001438712</v>
      </c>
      <c r="I1917" s="1" t="s">
        <v>16582</v>
      </c>
      <c r="J1917" s="1">
        <v>1900</v>
      </c>
      <c r="K1917" t="s">
        <v>16573</v>
      </c>
      <c r="L1917" t="s">
        <v>16575</v>
      </c>
    </row>
    <row r="1918" spans="1:12">
      <c r="A1918" t="s">
        <v>16596</v>
      </c>
      <c r="B1918" s="1" t="s">
        <v>16572</v>
      </c>
      <c r="F1918">
        <v>1</v>
      </c>
      <c r="G1918" t="str">
        <f>HYPERLINK("http://babel.hathitrust.org/cgi/pt?id=uc1.b2867651")</f>
        <v>http://babel.hathitrust.org/cgi/pt?id=uc1.b2867651</v>
      </c>
      <c r="H1918" t="str">
        <f t="shared" si="34"/>
        <v>http://catalog.hathitrust.org/Record/001438712</v>
      </c>
      <c r="I1918" s="1" t="s">
        <v>16574</v>
      </c>
      <c r="J1918" s="1">
        <v>1900</v>
      </c>
      <c r="K1918" t="s">
        <v>16573</v>
      </c>
      <c r="L1918" t="s">
        <v>16575</v>
      </c>
    </row>
    <row r="1919" spans="1:12">
      <c r="A1919" t="s">
        <v>16597</v>
      </c>
      <c r="B1919" s="1" t="s">
        <v>16598</v>
      </c>
      <c r="F1919">
        <v>1</v>
      </c>
      <c r="G1919" t="str">
        <f>HYPERLINK("http://babel.hathitrust.org/cgi/pt?id=mdp.39015016426275")</f>
        <v>http://babel.hathitrust.org/cgi/pt?id=mdp.39015016426275</v>
      </c>
      <c r="H1919" t="str">
        <f>HYPERLINK("http://catalog.hathitrust.org/Record/001438771")</f>
        <v>http://catalog.hathitrust.org/Record/001438771</v>
      </c>
      <c r="J1919" s="1">
        <v>1824</v>
      </c>
      <c r="K1919" t="s">
        <v>16599</v>
      </c>
      <c r="L1919" t="s">
        <v>16600</v>
      </c>
    </row>
    <row r="1920" spans="1:12">
      <c r="A1920" t="s">
        <v>16601</v>
      </c>
      <c r="B1920" s="1" t="s">
        <v>16598</v>
      </c>
      <c r="F1920">
        <v>1</v>
      </c>
      <c r="G1920" t="str">
        <f>HYPERLINK("http://babel.hathitrust.org/cgi/pt?id=nyp.33433076078660")</f>
        <v>http://babel.hathitrust.org/cgi/pt?id=nyp.33433076078660</v>
      </c>
      <c r="H1920" t="str">
        <f>HYPERLINK("http://catalog.hathitrust.org/Record/001438771")</f>
        <v>http://catalog.hathitrust.org/Record/001438771</v>
      </c>
      <c r="J1920" s="1">
        <v>1824</v>
      </c>
      <c r="K1920" t="s">
        <v>16599</v>
      </c>
      <c r="L1920" t="s">
        <v>16600</v>
      </c>
    </row>
    <row r="1921" spans="1:12">
      <c r="A1921" t="s">
        <v>16602</v>
      </c>
      <c r="B1921" s="1" t="s">
        <v>16598</v>
      </c>
      <c r="F1921">
        <v>1</v>
      </c>
      <c r="G1921" t="str">
        <f>HYPERLINK("http://babel.hathitrust.org/cgi/pt?id=uc2.ark:/13960/t9765px4q")</f>
        <v>http://babel.hathitrust.org/cgi/pt?id=uc2.ark:/13960/t9765px4q</v>
      </c>
      <c r="H1921" t="str">
        <f>HYPERLINK("http://catalog.hathitrust.org/Record/001438771")</f>
        <v>http://catalog.hathitrust.org/Record/001438771</v>
      </c>
      <c r="J1921" s="1">
        <v>1824</v>
      </c>
      <c r="K1921" t="s">
        <v>16599</v>
      </c>
      <c r="L1921" t="s">
        <v>16600</v>
      </c>
    </row>
    <row r="1922" spans="1:12">
      <c r="A1922" t="s">
        <v>16603</v>
      </c>
      <c r="B1922" s="1" t="s">
        <v>16604</v>
      </c>
      <c r="F1922">
        <v>1</v>
      </c>
      <c r="G1922" t="str">
        <f>HYPERLINK("http://babel.hathitrust.org/cgi/pt?id=mdp.39015066082002")</f>
        <v>http://babel.hathitrust.org/cgi/pt?id=mdp.39015066082002</v>
      </c>
      <c r="H1922" t="str">
        <f>HYPERLINK("http://catalog.hathitrust.org/Record/001439258")</f>
        <v>http://catalog.hathitrust.org/Record/001439258</v>
      </c>
      <c r="J1922" s="1">
        <v>1929</v>
      </c>
      <c r="K1922" t="s">
        <v>16605</v>
      </c>
      <c r="L1922" t="s">
        <v>16606</v>
      </c>
    </row>
    <row r="1923" spans="1:12">
      <c r="A1923" t="s">
        <v>16607</v>
      </c>
      <c r="B1923" s="1" t="s">
        <v>16608</v>
      </c>
      <c r="F1923">
        <v>1</v>
      </c>
      <c r="G1923" t="str">
        <f>HYPERLINK("http://babel.hathitrust.org/cgi/pt?id=mdp.39015059390321")</f>
        <v>http://babel.hathitrust.org/cgi/pt?id=mdp.39015059390321</v>
      </c>
      <c r="H1923" t="str">
        <f>HYPERLINK("http://catalog.hathitrust.org/Record/001439754")</f>
        <v>http://catalog.hathitrust.org/Record/001439754</v>
      </c>
      <c r="J1923" s="1">
        <v>1898</v>
      </c>
      <c r="K1923" t="s">
        <v>16609</v>
      </c>
      <c r="L1923" t="s">
        <v>16610</v>
      </c>
    </row>
    <row r="1924" spans="1:12">
      <c r="A1924" t="s">
        <v>16611</v>
      </c>
      <c r="B1924" s="1" t="s">
        <v>16608</v>
      </c>
      <c r="F1924">
        <v>1</v>
      </c>
      <c r="G1924" t="str">
        <f>HYPERLINK("http://babel.hathitrust.org/cgi/pt?id=uc1.$b661465")</f>
        <v>http://babel.hathitrust.org/cgi/pt?id=uc1.$b661465</v>
      </c>
      <c r="H1924" t="str">
        <f>HYPERLINK("http://catalog.hathitrust.org/Record/001439754")</f>
        <v>http://catalog.hathitrust.org/Record/001439754</v>
      </c>
      <c r="J1924" s="1">
        <v>1898</v>
      </c>
      <c r="K1924" t="s">
        <v>16609</v>
      </c>
      <c r="L1924" t="s">
        <v>16610</v>
      </c>
    </row>
    <row r="1925" spans="1:12">
      <c r="A1925" t="s">
        <v>16612</v>
      </c>
      <c r="B1925" s="1" t="s">
        <v>16613</v>
      </c>
      <c r="F1925">
        <v>1</v>
      </c>
      <c r="G1925" t="str">
        <f>HYPERLINK("http://babel.hathitrust.org/cgi/pt?id=mdp.39015005727584")</f>
        <v>http://babel.hathitrust.org/cgi/pt?id=mdp.39015005727584</v>
      </c>
      <c r="H1925" t="str">
        <f>HYPERLINK("http://catalog.hathitrust.org/Record/001440701")</f>
        <v>http://catalog.hathitrust.org/Record/001440701</v>
      </c>
      <c r="J1925" s="1">
        <v>1963</v>
      </c>
      <c r="K1925" t="s">
        <v>16480</v>
      </c>
      <c r="L1925" t="s">
        <v>16481</v>
      </c>
    </row>
    <row r="1926" spans="1:12">
      <c r="A1926" t="s">
        <v>16482</v>
      </c>
      <c r="B1926" s="1" t="s">
        <v>16483</v>
      </c>
      <c r="F1926">
        <v>1</v>
      </c>
      <c r="G1926" t="str">
        <f>HYPERLINK("http://babel.hathitrust.org/cgi/pt?id=mdp.39015005684868")</f>
        <v>http://babel.hathitrust.org/cgi/pt?id=mdp.39015005684868</v>
      </c>
      <c r="H1926" t="str">
        <f>HYPERLINK("http://catalog.hathitrust.org/Record/001440726")</f>
        <v>http://catalog.hathitrust.org/Record/001440726</v>
      </c>
      <c r="J1926" s="1">
        <v>1909</v>
      </c>
      <c r="K1926" t="s">
        <v>16484</v>
      </c>
      <c r="L1926" t="s">
        <v>16485</v>
      </c>
    </row>
    <row r="1927" spans="1:12">
      <c r="A1927" t="s">
        <v>16486</v>
      </c>
      <c r="B1927" s="1" t="s">
        <v>16483</v>
      </c>
      <c r="F1927">
        <v>1</v>
      </c>
      <c r="G1927" t="str">
        <f>HYPERLINK("http://babel.hathitrust.org/cgi/pt?id=uc1.b3539773")</f>
        <v>http://babel.hathitrust.org/cgi/pt?id=uc1.b3539773</v>
      </c>
      <c r="H1927" t="str">
        <f>HYPERLINK("http://catalog.hathitrust.org/Record/001440726")</f>
        <v>http://catalog.hathitrust.org/Record/001440726</v>
      </c>
      <c r="J1927" s="1">
        <v>1909</v>
      </c>
      <c r="K1927" t="s">
        <v>16484</v>
      </c>
      <c r="L1927" t="s">
        <v>16485</v>
      </c>
    </row>
    <row r="1928" spans="1:12">
      <c r="A1928" t="s">
        <v>16487</v>
      </c>
      <c r="B1928" s="1" t="s">
        <v>16488</v>
      </c>
      <c r="F1928">
        <v>1</v>
      </c>
      <c r="G1928" t="str">
        <f>HYPERLINK("http://babel.hathitrust.org/cgi/pt?id=mdp.39015029915348")</f>
        <v>http://babel.hathitrust.org/cgi/pt?id=mdp.39015029915348</v>
      </c>
      <c r="H1928" t="str">
        <f>HYPERLINK("http://catalog.hathitrust.org/Record/001440730")</f>
        <v>http://catalog.hathitrust.org/Record/001440730</v>
      </c>
      <c r="J1928" s="1">
        <v>1915</v>
      </c>
      <c r="K1928" t="s">
        <v>16489</v>
      </c>
      <c r="L1928" t="s">
        <v>16490</v>
      </c>
    </row>
    <row r="1929" spans="1:12">
      <c r="A1929" t="s">
        <v>16491</v>
      </c>
      <c r="B1929" s="1" t="s">
        <v>16488</v>
      </c>
      <c r="F1929">
        <v>1</v>
      </c>
      <c r="G1929" t="str">
        <f>HYPERLINK("http://babel.hathitrust.org/cgi/pt?id=uc1.b250012")</f>
        <v>http://babel.hathitrust.org/cgi/pt?id=uc1.b250012</v>
      </c>
      <c r="H1929" t="str">
        <f>HYPERLINK("http://catalog.hathitrust.org/Record/001440730")</f>
        <v>http://catalog.hathitrust.org/Record/001440730</v>
      </c>
      <c r="J1929" s="1">
        <v>1915</v>
      </c>
      <c r="K1929" t="s">
        <v>16489</v>
      </c>
      <c r="L1929" t="s">
        <v>16490</v>
      </c>
    </row>
    <row r="1930" spans="1:12">
      <c r="A1930" t="s">
        <v>16492</v>
      </c>
      <c r="B1930" s="1" t="s">
        <v>16493</v>
      </c>
      <c r="F1930">
        <v>1</v>
      </c>
      <c r="G1930" t="str">
        <f>HYPERLINK("http://babel.hathitrust.org/cgi/pt?id=loc.ark:/13960/t9t15gb64")</f>
        <v>http://babel.hathitrust.org/cgi/pt?id=loc.ark:/13960/t9t15gb64</v>
      </c>
      <c r="H1930" t="str">
        <f>HYPERLINK("http://catalog.hathitrust.org/Record/001440735")</f>
        <v>http://catalog.hathitrust.org/Record/001440735</v>
      </c>
      <c r="J1930" s="1">
        <v>1832</v>
      </c>
      <c r="K1930" t="s">
        <v>16494</v>
      </c>
      <c r="L1930" t="s">
        <v>16495</v>
      </c>
    </row>
    <row r="1931" spans="1:12">
      <c r="A1931" t="s">
        <v>16496</v>
      </c>
      <c r="B1931" s="1" t="s">
        <v>16493</v>
      </c>
      <c r="F1931">
        <v>1</v>
      </c>
      <c r="G1931" t="str">
        <f>HYPERLINK("http://babel.hathitrust.org/cgi/pt?id=mdp.39015016462056")</f>
        <v>http://babel.hathitrust.org/cgi/pt?id=mdp.39015016462056</v>
      </c>
      <c r="H1931" t="str">
        <f>HYPERLINK("http://catalog.hathitrust.org/Record/001440735")</f>
        <v>http://catalog.hathitrust.org/Record/001440735</v>
      </c>
      <c r="J1931" s="1">
        <v>1832</v>
      </c>
      <c r="K1931" t="s">
        <v>16494</v>
      </c>
      <c r="L1931" t="s">
        <v>16495</v>
      </c>
    </row>
    <row r="1932" spans="1:12">
      <c r="A1932" t="s">
        <v>16497</v>
      </c>
      <c r="B1932" s="1" t="s">
        <v>16498</v>
      </c>
      <c r="F1932">
        <v>1</v>
      </c>
      <c r="G1932" t="str">
        <f>HYPERLINK("http://babel.hathitrust.org/cgi/pt?id=mdp.39015031023289")</f>
        <v>http://babel.hathitrust.org/cgi/pt?id=mdp.39015031023289</v>
      </c>
      <c r="H1932" t="str">
        <f>HYPERLINK("http://catalog.hathitrust.org/Record/001440739")</f>
        <v>http://catalog.hathitrust.org/Record/001440739</v>
      </c>
      <c r="J1932" s="1">
        <v>1916</v>
      </c>
      <c r="K1932" t="s">
        <v>16499</v>
      </c>
      <c r="L1932" t="s">
        <v>16500</v>
      </c>
    </row>
    <row r="1933" spans="1:12">
      <c r="A1933" t="s">
        <v>16501</v>
      </c>
      <c r="B1933" s="1" t="s">
        <v>16498</v>
      </c>
      <c r="F1933">
        <v>1</v>
      </c>
      <c r="G1933" t="str">
        <f>HYPERLINK("http://babel.hathitrust.org/cgi/pt?id=uc1.b113564")</f>
        <v>http://babel.hathitrust.org/cgi/pt?id=uc1.b113564</v>
      </c>
      <c r="H1933" t="str">
        <f>HYPERLINK("http://catalog.hathitrust.org/Record/001440739")</f>
        <v>http://catalog.hathitrust.org/Record/001440739</v>
      </c>
      <c r="J1933" s="1">
        <v>1916</v>
      </c>
      <c r="K1933" t="s">
        <v>16499</v>
      </c>
      <c r="L1933" t="s">
        <v>16500</v>
      </c>
    </row>
    <row r="1934" spans="1:12">
      <c r="A1934" t="s">
        <v>16502</v>
      </c>
      <c r="B1934" s="1" t="s">
        <v>16498</v>
      </c>
      <c r="F1934">
        <v>1</v>
      </c>
      <c r="G1934" t="str">
        <f>HYPERLINK("http://babel.hathitrust.org/cgi/pt?id=uc2.ark:/13960/t4xg9hn64")</f>
        <v>http://babel.hathitrust.org/cgi/pt?id=uc2.ark:/13960/t4xg9hn64</v>
      </c>
      <c r="H1934" t="str">
        <f>HYPERLINK("http://catalog.hathitrust.org/Record/001440739")</f>
        <v>http://catalog.hathitrust.org/Record/001440739</v>
      </c>
      <c r="J1934" s="1">
        <v>1916</v>
      </c>
      <c r="K1934" t="s">
        <v>16499</v>
      </c>
      <c r="L1934" t="s">
        <v>16500</v>
      </c>
    </row>
    <row r="1935" spans="1:12">
      <c r="A1935" t="s">
        <v>16503</v>
      </c>
      <c r="B1935" s="1" t="s">
        <v>16504</v>
      </c>
      <c r="F1935">
        <v>1</v>
      </c>
      <c r="G1935" t="str">
        <f>HYPERLINK("http://babel.hathitrust.org/cgi/pt?id=mdp.39015011350611")</f>
        <v>http://babel.hathitrust.org/cgi/pt?id=mdp.39015011350611</v>
      </c>
      <c r="H1935" t="str">
        <f>HYPERLINK("http://catalog.hathitrust.org/Record/001440742")</f>
        <v>http://catalog.hathitrust.org/Record/001440742</v>
      </c>
      <c r="J1935" s="1">
        <v>1919</v>
      </c>
      <c r="K1935" t="s">
        <v>16505</v>
      </c>
      <c r="L1935" t="s">
        <v>20422</v>
      </c>
    </row>
    <row r="1936" spans="1:12">
      <c r="A1936" t="s">
        <v>16506</v>
      </c>
      <c r="B1936" s="1" t="s">
        <v>16504</v>
      </c>
      <c r="F1936">
        <v>1</v>
      </c>
      <c r="G1936" t="str">
        <f>HYPERLINK("http://babel.hathitrust.org/cgi/pt?id=nyp.33433076020589")</f>
        <v>http://babel.hathitrust.org/cgi/pt?id=nyp.33433076020589</v>
      </c>
      <c r="H1936" t="str">
        <f>HYPERLINK("http://catalog.hathitrust.org/Record/001440742")</f>
        <v>http://catalog.hathitrust.org/Record/001440742</v>
      </c>
      <c r="J1936" s="1">
        <v>1919</v>
      </c>
      <c r="K1936" t="s">
        <v>16505</v>
      </c>
      <c r="L1936" t="s">
        <v>20422</v>
      </c>
    </row>
    <row r="1937" spans="1:12">
      <c r="A1937" t="s">
        <v>16507</v>
      </c>
      <c r="B1937" s="1" t="s">
        <v>16508</v>
      </c>
      <c r="F1937">
        <v>1</v>
      </c>
      <c r="G1937" t="str">
        <f>HYPERLINK("http://babel.hathitrust.org/cgi/pt?id=mdp.39015017655765")</f>
        <v>http://babel.hathitrust.org/cgi/pt?id=mdp.39015017655765</v>
      </c>
      <c r="H1937" t="str">
        <f>HYPERLINK("http://catalog.hathitrust.org/Record/001440893")</f>
        <v>http://catalog.hathitrust.org/Record/001440893</v>
      </c>
      <c r="I1937" s="1" t="s">
        <v>20916</v>
      </c>
      <c r="J1937" s="1">
        <v>1877</v>
      </c>
      <c r="K1937" t="s">
        <v>16509</v>
      </c>
      <c r="L1937" t="s">
        <v>19561</v>
      </c>
    </row>
    <row r="1938" spans="1:12">
      <c r="A1938" t="s">
        <v>16510</v>
      </c>
      <c r="B1938" s="1" t="s">
        <v>16508</v>
      </c>
      <c r="F1938">
        <v>1</v>
      </c>
      <c r="G1938" t="str">
        <f>HYPERLINK("http://babel.hathitrust.org/cgi/pt?id=mdp.39015017655872")</f>
        <v>http://babel.hathitrust.org/cgi/pt?id=mdp.39015017655872</v>
      </c>
      <c r="H1938" t="str">
        <f>HYPERLINK("http://catalog.hathitrust.org/Record/001440893")</f>
        <v>http://catalog.hathitrust.org/Record/001440893</v>
      </c>
      <c r="I1938" s="1" t="s">
        <v>20755</v>
      </c>
      <c r="J1938" s="1">
        <v>1877</v>
      </c>
      <c r="K1938" t="s">
        <v>16509</v>
      </c>
      <c r="L1938" t="s">
        <v>19561</v>
      </c>
    </row>
    <row r="1939" spans="1:12">
      <c r="A1939" t="s">
        <v>16511</v>
      </c>
      <c r="B1939" s="1" t="s">
        <v>16512</v>
      </c>
      <c r="F1939">
        <v>1</v>
      </c>
      <c r="G1939" t="str">
        <f>HYPERLINK("http://babel.hathitrust.org/cgi/pt?id=mdp.39015011052316")</f>
        <v>http://babel.hathitrust.org/cgi/pt?id=mdp.39015011052316</v>
      </c>
      <c r="H1939" t="str">
        <f t="shared" ref="H1939:H1944" si="35">HYPERLINK("http://catalog.hathitrust.org/Record/001440930")</f>
        <v>http://catalog.hathitrust.org/Record/001440930</v>
      </c>
      <c r="I1939" s="1" t="s">
        <v>20916</v>
      </c>
      <c r="J1939" s="1">
        <v>1886</v>
      </c>
      <c r="K1939" t="s">
        <v>16513</v>
      </c>
      <c r="L1939" t="s">
        <v>16514</v>
      </c>
    </row>
    <row r="1940" spans="1:12">
      <c r="A1940" t="s">
        <v>16515</v>
      </c>
      <c r="B1940" s="1" t="s">
        <v>16512</v>
      </c>
      <c r="F1940">
        <v>1</v>
      </c>
      <c r="G1940" t="str">
        <f>HYPERLINK("http://babel.hathitrust.org/cgi/pt?id=mdp.39015031031043")</f>
        <v>http://babel.hathitrust.org/cgi/pt?id=mdp.39015031031043</v>
      </c>
      <c r="H1940" t="str">
        <f t="shared" si="35"/>
        <v>http://catalog.hathitrust.org/Record/001440930</v>
      </c>
      <c r="I1940" s="1" t="s">
        <v>20916</v>
      </c>
      <c r="J1940" s="1">
        <v>1886</v>
      </c>
      <c r="K1940" t="s">
        <v>16513</v>
      </c>
      <c r="L1940" t="s">
        <v>16514</v>
      </c>
    </row>
    <row r="1941" spans="1:12">
      <c r="A1941" t="s">
        <v>16516</v>
      </c>
      <c r="B1941" s="1" t="s">
        <v>16512</v>
      </c>
      <c r="F1941">
        <v>1</v>
      </c>
      <c r="G1941" t="str">
        <f>HYPERLINK("http://babel.hathitrust.org/cgi/pt?id=mdp.39015031031076")</f>
        <v>http://babel.hathitrust.org/cgi/pt?id=mdp.39015031031076</v>
      </c>
      <c r="H1941" t="str">
        <f t="shared" si="35"/>
        <v>http://catalog.hathitrust.org/Record/001440930</v>
      </c>
      <c r="I1941" s="1" t="s">
        <v>20755</v>
      </c>
      <c r="J1941" s="1">
        <v>1886</v>
      </c>
      <c r="K1941" t="s">
        <v>16513</v>
      </c>
      <c r="L1941" t="s">
        <v>16514</v>
      </c>
    </row>
    <row r="1942" spans="1:12">
      <c r="A1942" t="s">
        <v>16517</v>
      </c>
      <c r="B1942" s="1" t="s">
        <v>16512</v>
      </c>
      <c r="F1942">
        <v>1</v>
      </c>
      <c r="G1942" t="str">
        <f>HYPERLINK("http://babel.hathitrust.org/cgi/pt?id=mdp.39015054110377")</f>
        <v>http://babel.hathitrust.org/cgi/pt?id=mdp.39015054110377</v>
      </c>
      <c r="H1942" t="str">
        <f t="shared" si="35"/>
        <v>http://catalog.hathitrust.org/Record/001440930</v>
      </c>
      <c r="I1942" s="1" t="s">
        <v>20755</v>
      </c>
      <c r="J1942" s="1">
        <v>1886</v>
      </c>
      <c r="K1942" t="s">
        <v>16513</v>
      </c>
      <c r="L1942" t="s">
        <v>16514</v>
      </c>
    </row>
    <row r="1943" spans="1:12">
      <c r="A1943" t="s">
        <v>16518</v>
      </c>
      <c r="B1943" s="1" t="s">
        <v>16512</v>
      </c>
      <c r="F1943">
        <v>1</v>
      </c>
      <c r="G1943" t="str">
        <f>HYPERLINK("http://babel.hathitrust.org/cgi/pt?id=nyp.33433075922694")</f>
        <v>http://babel.hathitrust.org/cgi/pt?id=nyp.33433075922694</v>
      </c>
      <c r="H1943" t="str">
        <f t="shared" si="35"/>
        <v>http://catalog.hathitrust.org/Record/001440930</v>
      </c>
      <c r="I1943" s="1" t="s">
        <v>20799</v>
      </c>
      <c r="J1943" s="1">
        <v>1886</v>
      </c>
      <c r="K1943" t="s">
        <v>16513</v>
      </c>
      <c r="L1943" t="s">
        <v>16514</v>
      </c>
    </row>
    <row r="1944" spans="1:12">
      <c r="A1944" t="s">
        <v>16519</v>
      </c>
      <c r="B1944" s="1" t="s">
        <v>16512</v>
      </c>
      <c r="F1944">
        <v>1</v>
      </c>
      <c r="G1944" t="str">
        <f>HYPERLINK("http://babel.hathitrust.org/cgi/pt?id=nyp.33433075922702")</f>
        <v>http://babel.hathitrust.org/cgi/pt?id=nyp.33433075922702</v>
      </c>
      <c r="H1944" t="str">
        <f t="shared" si="35"/>
        <v>http://catalog.hathitrust.org/Record/001440930</v>
      </c>
      <c r="I1944" s="1" t="s">
        <v>20796</v>
      </c>
      <c r="J1944" s="1">
        <v>1886</v>
      </c>
      <c r="K1944" t="s">
        <v>16513</v>
      </c>
      <c r="L1944" t="s">
        <v>16514</v>
      </c>
    </row>
    <row r="1945" spans="1:12">
      <c r="A1945" t="s">
        <v>16520</v>
      </c>
      <c r="B1945" s="1" t="s">
        <v>16521</v>
      </c>
      <c r="F1945">
        <v>1</v>
      </c>
      <c r="G1945" t="str">
        <f>HYPERLINK("http://babel.hathitrust.org/cgi/pt?id=mdp.39015031030136")</f>
        <v>http://babel.hathitrust.org/cgi/pt?id=mdp.39015031030136</v>
      </c>
      <c r="H1945" t="str">
        <f>HYPERLINK("http://catalog.hathitrust.org/Record/001440981")</f>
        <v>http://catalog.hathitrust.org/Record/001440981</v>
      </c>
      <c r="J1945" s="1">
        <v>1920</v>
      </c>
      <c r="K1945" t="s">
        <v>16522</v>
      </c>
      <c r="L1945" t="s">
        <v>16523</v>
      </c>
    </row>
    <row r="1946" spans="1:12">
      <c r="A1946" t="s">
        <v>16524</v>
      </c>
      <c r="B1946" s="1" t="s">
        <v>16521</v>
      </c>
      <c r="F1946">
        <v>1</v>
      </c>
      <c r="G1946" t="str">
        <f>HYPERLINK("http://babel.hathitrust.org/cgi/pt?id=uc1.$b616501")</f>
        <v>http://babel.hathitrust.org/cgi/pt?id=uc1.$b616501</v>
      </c>
      <c r="H1946" t="str">
        <f>HYPERLINK("http://catalog.hathitrust.org/Record/001440981")</f>
        <v>http://catalog.hathitrust.org/Record/001440981</v>
      </c>
      <c r="J1946" s="1">
        <v>1920</v>
      </c>
      <c r="K1946" t="s">
        <v>16522</v>
      </c>
      <c r="L1946" t="s">
        <v>16523</v>
      </c>
    </row>
    <row r="1947" spans="1:12">
      <c r="A1947" t="s">
        <v>16525</v>
      </c>
      <c r="B1947" s="1" t="s">
        <v>16521</v>
      </c>
      <c r="F1947">
        <v>1</v>
      </c>
      <c r="G1947" t="str">
        <f>HYPERLINK("http://babel.hathitrust.org/cgi/pt?id=uc2.ark:/13960/t5r78bt86")</f>
        <v>http://babel.hathitrust.org/cgi/pt?id=uc2.ark:/13960/t5r78bt86</v>
      </c>
      <c r="H1947" t="str">
        <f>HYPERLINK("http://catalog.hathitrust.org/Record/001440981")</f>
        <v>http://catalog.hathitrust.org/Record/001440981</v>
      </c>
      <c r="J1947" s="1">
        <v>1920</v>
      </c>
      <c r="K1947" t="s">
        <v>16522</v>
      </c>
      <c r="L1947" t="s">
        <v>16523</v>
      </c>
    </row>
    <row r="1948" spans="1:12">
      <c r="A1948" t="s">
        <v>16526</v>
      </c>
      <c r="B1948" s="1" t="s">
        <v>16527</v>
      </c>
      <c r="F1948">
        <v>1</v>
      </c>
      <c r="G1948" t="str">
        <f>HYPERLINK("http://babel.hathitrust.org/cgi/pt?id=mdp.39015032856216")</f>
        <v>http://babel.hathitrust.org/cgi/pt?id=mdp.39015032856216</v>
      </c>
      <c r="H1948" t="str">
        <f>HYPERLINK("http://catalog.hathitrust.org/Record/001441111")</f>
        <v>http://catalog.hathitrust.org/Record/001441111</v>
      </c>
      <c r="J1948" s="1">
        <v>1937</v>
      </c>
      <c r="K1948" t="s">
        <v>16528</v>
      </c>
      <c r="L1948" t="s">
        <v>16529</v>
      </c>
    </row>
    <row r="1949" spans="1:12">
      <c r="A1949" t="s">
        <v>16530</v>
      </c>
      <c r="B1949" s="1" t="s">
        <v>16531</v>
      </c>
      <c r="F1949">
        <v>1</v>
      </c>
      <c r="G1949" t="str">
        <f>HYPERLINK("http://babel.hathitrust.org/cgi/pt?id=mdp.39015016460456")</f>
        <v>http://babel.hathitrust.org/cgi/pt?id=mdp.39015016460456</v>
      </c>
      <c r="H1949" t="str">
        <f>HYPERLINK("http://catalog.hathitrust.org/Record/001441141")</f>
        <v>http://catalog.hathitrust.org/Record/001441141</v>
      </c>
      <c r="J1949" s="1">
        <v>1912</v>
      </c>
      <c r="K1949" t="s">
        <v>16532</v>
      </c>
      <c r="L1949" t="s">
        <v>16533</v>
      </c>
    </row>
    <row r="1950" spans="1:12">
      <c r="A1950" t="s">
        <v>16534</v>
      </c>
      <c r="B1950" s="1" t="s">
        <v>16535</v>
      </c>
      <c r="F1950">
        <v>1</v>
      </c>
      <c r="G1950" t="str">
        <f>HYPERLINK("http://babel.hathitrust.org/cgi/pt?id=mdp.39015053565290")</f>
        <v>http://babel.hathitrust.org/cgi/pt?id=mdp.39015053565290</v>
      </c>
      <c r="H1950" t="str">
        <f>HYPERLINK("http://catalog.hathitrust.org/Record/001441193")</f>
        <v>http://catalog.hathitrust.org/Record/001441193</v>
      </c>
      <c r="J1950" s="1">
        <v>1948</v>
      </c>
      <c r="K1950" t="s">
        <v>16536</v>
      </c>
      <c r="L1950" t="s">
        <v>16537</v>
      </c>
    </row>
    <row r="1951" spans="1:12">
      <c r="A1951" t="s">
        <v>16538</v>
      </c>
      <c r="B1951" s="1" t="s">
        <v>16539</v>
      </c>
      <c r="F1951">
        <v>1</v>
      </c>
      <c r="G1951" t="str">
        <f>HYPERLINK("http://babel.hathitrust.org/cgi/pt?id=mdp.39015005770394")</f>
        <v>http://babel.hathitrust.org/cgi/pt?id=mdp.39015005770394</v>
      </c>
      <c r="H1951" t="str">
        <f>HYPERLINK("http://catalog.hathitrust.org/Record/001441214")</f>
        <v>http://catalog.hathitrust.org/Record/001441214</v>
      </c>
      <c r="J1951" s="1">
        <v>1929</v>
      </c>
      <c r="K1951" t="s">
        <v>16540</v>
      </c>
      <c r="L1951" t="s">
        <v>16541</v>
      </c>
    </row>
    <row r="1952" spans="1:12">
      <c r="A1952" t="s">
        <v>16542</v>
      </c>
      <c r="B1952" s="1" t="s">
        <v>16543</v>
      </c>
      <c r="E1952">
        <v>1</v>
      </c>
      <c r="G1952" t="str">
        <f>HYPERLINK("http://babel.hathitrust.org/cgi/pt?id=mdp.39015016460407")</f>
        <v>http://babel.hathitrust.org/cgi/pt?id=mdp.39015016460407</v>
      </c>
      <c r="H1952" t="str">
        <f>HYPERLINK("http://catalog.hathitrust.org/Record/001441226")</f>
        <v>http://catalog.hathitrust.org/Record/001441226</v>
      </c>
      <c r="J1952" s="1">
        <v>1904</v>
      </c>
      <c r="K1952" t="s">
        <v>16544</v>
      </c>
      <c r="L1952" t="s">
        <v>20629</v>
      </c>
    </row>
    <row r="1953" spans="1:12">
      <c r="A1953" t="s">
        <v>16545</v>
      </c>
      <c r="B1953" s="1" t="s">
        <v>16546</v>
      </c>
      <c r="F1953">
        <v>1</v>
      </c>
      <c r="G1953" t="str">
        <f>HYPERLINK("http://babel.hathitrust.org/cgi/pt?id=uva.x000380988")</f>
        <v>http://babel.hathitrust.org/cgi/pt?id=uva.x000380988</v>
      </c>
      <c r="H1953" t="str">
        <f>HYPERLINK("http://catalog.hathitrust.org/Record/001441229")</f>
        <v>http://catalog.hathitrust.org/Record/001441229</v>
      </c>
      <c r="J1953" s="1">
        <v>1922</v>
      </c>
      <c r="K1953" t="s">
        <v>16412</v>
      </c>
      <c r="L1953" t="s">
        <v>16413</v>
      </c>
    </row>
    <row r="1954" spans="1:12">
      <c r="A1954" t="s">
        <v>16414</v>
      </c>
      <c r="B1954" s="1" t="s">
        <v>16415</v>
      </c>
      <c r="F1954">
        <v>1</v>
      </c>
      <c r="G1954" t="str">
        <f>HYPERLINK("http://babel.hathitrust.org/cgi/pt?id=mdp.39015028524133")</f>
        <v>http://babel.hathitrust.org/cgi/pt?id=mdp.39015028524133</v>
      </c>
      <c r="H1954" t="str">
        <f>HYPERLINK("http://catalog.hathitrust.org/Record/001441246")</f>
        <v>http://catalog.hathitrust.org/Record/001441246</v>
      </c>
      <c r="J1954" s="1">
        <v>1962</v>
      </c>
      <c r="K1954" t="s">
        <v>16416</v>
      </c>
      <c r="L1954" t="s">
        <v>16417</v>
      </c>
    </row>
    <row r="1955" spans="1:12">
      <c r="A1955" t="s">
        <v>16418</v>
      </c>
      <c r="B1955" s="1" t="s">
        <v>16419</v>
      </c>
      <c r="F1955">
        <v>1</v>
      </c>
      <c r="G1955" t="str">
        <f>HYPERLINK("http://babel.hathitrust.org/cgi/pt?id=mdp.39015030924941")</f>
        <v>http://babel.hathitrust.org/cgi/pt?id=mdp.39015030924941</v>
      </c>
      <c r="H1955" t="str">
        <f>HYPERLINK("http://catalog.hathitrust.org/Record/001441251")</f>
        <v>http://catalog.hathitrust.org/Record/001441251</v>
      </c>
      <c r="J1955" s="1">
        <v>1911</v>
      </c>
      <c r="K1955" t="s">
        <v>16420</v>
      </c>
      <c r="L1955" t="s">
        <v>16421</v>
      </c>
    </row>
    <row r="1956" spans="1:12">
      <c r="A1956" t="s">
        <v>16422</v>
      </c>
      <c r="B1956" s="1" t="s">
        <v>16419</v>
      </c>
      <c r="F1956">
        <v>1</v>
      </c>
      <c r="G1956" t="str">
        <f>HYPERLINK("http://babel.hathitrust.org/cgi/pt?id=uc1.b257578")</f>
        <v>http://babel.hathitrust.org/cgi/pt?id=uc1.b257578</v>
      </c>
      <c r="H1956" t="str">
        <f>HYPERLINK("http://catalog.hathitrust.org/Record/001441251")</f>
        <v>http://catalog.hathitrust.org/Record/001441251</v>
      </c>
      <c r="J1956" s="1">
        <v>1911</v>
      </c>
      <c r="K1956" t="s">
        <v>16420</v>
      </c>
      <c r="L1956" t="s">
        <v>16421</v>
      </c>
    </row>
    <row r="1957" spans="1:12">
      <c r="A1957" t="s">
        <v>16423</v>
      </c>
      <c r="B1957" s="1" t="s">
        <v>16419</v>
      </c>
      <c r="F1957">
        <v>1</v>
      </c>
      <c r="G1957" t="str">
        <f>HYPERLINK("http://babel.hathitrust.org/cgi/pt?id=uc2.ark:/13960/t9w090j2w")</f>
        <v>http://babel.hathitrust.org/cgi/pt?id=uc2.ark:/13960/t9w090j2w</v>
      </c>
      <c r="H1957" t="str">
        <f>HYPERLINK("http://catalog.hathitrust.org/Record/001441251")</f>
        <v>http://catalog.hathitrust.org/Record/001441251</v>
      </c>
      <c r="J1957" s="1">
        <v>1911</v>
      </c>
      <c r="K1957" t="s">
        <v>16420</v>
      </c>
      <c r="L1957" t="s">
        <v>16421</v>
      </c>
    </row>
    <row r="1958" spans="1:12">
      <c r="A1958" t="s">
        <v>16424</v>
      </c>
      <c r="B1958" s="1" t="s">
        <v>16425</v>
      </c>
      <c r="F1958">
        <v>1</v>
      </c>
      <c r="G1958" t="str">
        <f>HYPERLINK("http://babel.hathitrust.org/cgi/pt?id=mdp.39015030924891")</f>
        <v>http://babel.hathitrust.org/cgi/pt?id=mdp.39015030924891</v>
      </c>
      <c r="H1958" t="str">
        <f>HYPERLINK("http://catalog.hathitrust.org/Record/001441259")</f>
        <v>http://catalog.hathitrust.org/Record/001441259</v>
      </c>
      <c r="J1958" s="1">
        <v>1917</v>
      </c>
      <c r="K1958" t="s">
        <v>16426</v>
      </c>
      <c r="L1958" t="s">
        <v>16427</v>
      </c>
    </row>
    <row r="1959" spans="1:12">
      <c r="A1959" t="s">
        <v>16428</v>
      </c>
      <c r="B1959" s="1" t="s">
        <v>16429</v>
      </c>
      <c r="E1959">
        <v>1</v>
      </c>
      <c r="F1959">
        <v>1</v>
      </c>
      <c r="G1959" t="str">
        <f>HYPERLINK("http://babel.hathitrust.org/cgi/pt?id=mdp.39015030925104")</f>
        <v>http://babel.hathitrust.org/cgi/pt?id=mdp.39015030925104</v>
      </c>
      <c r="H1959" t="str">
        <f>HYPERLINK("http://catalog.hathitrust.org/Record/001441262")</f>
        <v>http://catalog.hathitrust.org/Record/001441262</v>
      </c>
      <c r="J1959" s="1">
        <v>1902</v>
      </c>
      <c r="K1959" t="s">
        <v>16430</v>
      </c>
      <c r="L1959" t="s">
        <v>16431</v>
      </c>
    </row>
    <row r="1960" spans="1:12">
      <c r="A1960" t="s">
        <v>16432</v>
      </c>
      <c r="B1960" s="1" t="s">
        <v>16429</v>
      </c>
      <c r="F1960">
        <v>1</v>
      </c>
      <c r="G1960" t="str">
        <f>HYPERLINK("http://babel.hathitrust.org/cgi/pt?id=mdp.39015030925203")</f>
        <v>http://babel.hathitrust.org/cgi/pt?id=mdp.39015030925203</v>
      </c>
      <c r="H1960" t="str">
        <f>HYPERLINK("http://catalog.hathitrust.org/Record/001441262")</f>
        <v>http://catalog.hathitrust.org/Record/001441262</v>
      </c>
      <c r="I1960" s="1" t="s">
        <v>16433</v>
      </c>
      <c r="J1960" s="1">
        <v>1902</v>
      </c>
      <c r="K1960" t="s">
        <v>16430</v>
      </c>
      <c r="L1960" t="s">
        <v>16431</v>
      </c>
    </row>
    <row r="1961" spans="1:12">
      <c r="A1961" t="s">
        <v>16434</v>
      </c>
      <c r="B1961" s="1" t="s">
        <v>16429</v>
      </c>
      <c r="F1961">
        <v>1</v>
      </c>
      <c r="G1961" t="str">
        <f>HYPERLINK("http://babel.hathitrust.org/cgi/pt?id=uc2.ark:/13960/t8kd1vc40")</f>
        <v>http://babel.hathitrust.org/cgi/pt?id=uc2.ark:/13960/t8kd1vc40</v>
      </c>
      <c r="H1961" t="str">
        <f>HYPERLINK("http://catalog.hathitrust.org/Record/001441262")</f>
        <v>http://catalog.hathitrust.org/Record/001441262</v>
      </c>
      <c r="J1961" s="1">
        <v>1902</v>
      </c>
      <c r="K1961" t="s">
        <v>16430</v>
      </c>
      <c r="L1961" t="s">
        <v>16431</v>
      </c>
    </row>
    <row r="1962" spans="1:12">
      <c r="A1962" t="s">
        <v>16435</v>
      </c>
      <c r="B1962" s="1" t="s">
        <v>16429</v>
      </c>
      <c r="F1962">
        <v>1</v>
      </c>
      <c r="G1962" t="str">
        <f>HYPERLINK("http://babel.hathitrust.org/cgi/pt?id=uva.x004152799")</f>
        <v>http://babel.hathitrust.org/cgi/pt?id=uva.x004152799</v>
      </c>
      <c r="H1962" t="str">
        <f>HYPERLINK("http://catalog.hathitrust.org/Record/001441262")</f>
        <v>http://catalog.hathitrust.org/Record/001441262</v>
      </c>
      <c r="J1962" s="1">
        <v>1902</v>
      </c>
      <c r="K1962" t="s">
        <v>16430</v>
      </c>
      <c r="L1962" t="s">
        <v>16431</v>
      </c>
    </row>
    <row r="1963" spans="1:12">
      <c r="A1963" t="s">
        <v>16436</v>
      </c>
      <c r="B1963" s="1" t="s">
        <v>16437</v>
      </c>
      <c r="F1963">
        <v>1</v>
      </c>
      <c r="G1963" t="str">
        <f>HYPERLINK("http://babel.hathitrust.org/cgi/pt?id=mdp.39015001570723")</f>
        <v>http://babel.hathitrust.org/cgi/pt?id=mdp.39015001570723</v>
      </c>
      <c r="H1963" t="str">
        <f>HYPERLINK("http://catalog.hathitrust.org/Record/001441294")</f>
        <v>http://catalog.hathitrust.org/Record/001441294</v>
      </c>
      <c r="J1963" s="1">
        <v>1901</v>
      </c>
      <c r="K1963" t="s">
        <v>16438</v>
      </c>
      <c r="L1963" t="s">
        <v>16439</v>
      </c>
    </row>
    <row r="1964" spans="1:12">
      <c r="A1964" t="s">
        <v>16440</v>
      </c>
      <c r="B1964" s="1" t="s">
        <v>16441</v>
      </c>
      <c r="F1964">
        <v>1</v>
      </c>
      <c r="G1964" t="str">
        <f>HYPERLINK("http://babel.hathitrust.org/cgi/pt?id=mdp.39015030997152")</f>
        <v>http://babel.hathitrust.org/cgi/pt?id=mdp.39015030997152</v>
      </c>
      <c r="H1964" t="str">
        <f>HYPERLINK("http://catalog.hathitrust.org/Record/001441299")</f>
        <v>http://catalog.hathitrust.org/Record/001441299</v>
      </c>
      <c r="J1964" s="1">
        <v>1918</v>
      </c>
      <c r="K1964" t="s">
        <v>16442</v>
      </c>
      <c r="L1964" t="s">
        <v>16443</v>
      </c>
    </row>
    <row r="1965" spans="1:12">
      <c r="A1965" t="s">
        <v>16444</v>
      </c>
      <c r="B1965" s="1" t="s">
        <v>16441</v>
      </c>
      <c r="F1965">
        <v>1</v>
      </c>
      <c r="G1965" t="str">
        <f>HYPERLINK("http://babel.hathitrust.org/cgi/pt?id=uva.x030485909")</f>
        <v>http://babel.hathitrust.org/cgi/pt?id=uva.x030485909</v>
      </c>
      <c r="H1965" t="str">
        <f>HYPERLINK("http://catalog.hathitrust.org/Record/001441299")</f>
        <v>http://catalog.hathitrust.org/Record/001441299</v>
      </c>
      <c r="I1965" s="1" t="s">
        <v>16445</v>
      </c>
      <c r="J1965" s="1">
        <v>1918</v>
      </c>
      <c r="K1965" t="s">
        <v>16442</v>
      </c>
      <c r="L1965" t="s">
        <v>16443</v>
      </c>
    </row>
    <row r="1966" spans="1:12">
      <c r="A1966" t="s">
        <v>16446</v>
      </c>
      <c r="B1966" s="1" t="s">
        <v>16447</v>
      </c>
      <c r="F1966">
        <v>1</v>
      </c>
      <c r="G1966" t="str">
        <f>HYPERLINK("http://babel.hathitrust.org/cgi/pt?id=mdp.39015001570756")</f>
        <v>http://babel.hathitrust.org/cgi/pt?id=mdp.39015001570756</v>
      </c>
      <c r="H1966" t="str">
        <f>HYPERLINK("http://catalog.hathitrust.org/Record/001441302")</f>
        <v>http://catalog.hathitrust.org/Record/001441302</v>
      </c>
      <c r="J1966" s="1">
        <v>1907</v>
      </c>
      <c r="K1966" t="s">
        <v>16448</v>
      </c>
      <c r="L1966" t="s">
        <v>16449</v>
      </c>
    </row>
    <row r="1967" spans="1:12">
      <c r="A1967" t="s">
        <v>16450</v>
      </c>
      <c r="B1967" s="1" t="s">
        <v>16447</v>
      </c>
      <c r="F1967">
        <v>1</v>
      </c>
      <c r="G1967" t="str">
        <f>HYPERLINK("http://babel.hathitrust.org/cgi/pt?id=uc2.ark:/13960/t5n874m9j")</f>
        <v>http://babel.hathitrust.org/cgi/pt?id=uc2.ark:/13960/t5n874m9j</v>
      </c>
      <c r="H1967" t="str">
        <f>HYPERLINK("http://catalog.hathitrust.org/Record/001441302")</f>
        <v>http://catalog.hathitrust.org/Record/001441302</v>
      </c>
      <c r="J1967" s="1">
        <v>1907</v>
      </c>
      <c r="K1967" t="s">
        <v>16448</v>
      </c>
      <c r="L1967" t="s">
        <v>16449</v>
      </c>
    </row>
    <row r="1968" spans="1:12">
      <c r="A1968" t="s">
        <v>16451</v>
      </c>
      <c r="B1968" s="1" t="s">
        <v>16452</v>
      </c>
      <c r="F1968">
        <v>1</v>
      </c>
      <c r="G1968" t="str">
        <f>HYPERLINK("http://babel.hathitrust.org/cgi/pt?id=mdp.39015030996766")</f>
        <v>http://babel.hathitrust.org/cgi/pt?id=mdp.39015030996766</v>
      </c>
      <c r="H1968" t="str">
        <f>HYPERLINK("http://catalog.hathitrust.org/Record/001441306")</f>
        <v>http://catalog.hathitrust.org/Record/001441306</v>
      </c>
      <c r="J1968" s="1">
        <v>1893</v>
      </c>
      <c r="K1968" t="s">
        <v>16453</v>
      </c>
      <c r="L1968" t="s">
        <v>18304</v>
      </c>
    </row>
    <row r="1969" spans="1:12">
      <c r="A1969" t="s">
        <v>16454</v>
      </c>
      <c r="B1969" s="1" t="s">
        <v>16452</v>
      </c>
      <c r="F1969">
        <v>1</v>
      </c>
      <c r="G1969" t="str">
        <f>HYPERLINK("http://babel.hathitrust.org/cgi/pt?id=uc2.ark:/13960/t4fn15257")</f>
        <v>http://babel.hathitrust.org/cgi/pt?id=uc2.ark:/13960/t4fn15257</v>
      </c>
      <c r="H1969" t="str">
        <f>HYPERLINK("http://catalog.hathitrust.org/Record/001441306")</f>
        <v>http://catalog.hathitrust.org/Record/001441306</v>
      </c>
      <c r="J1969" s="1">
        <v>1893</v>
      </c>
      <c r="K1969" t="s">
        <v>16453</v>
      </c>
      <c r="L1969" t="s">
        <v>18304</v>
      </c>
    </row>
    <row r="1970" spans="1:12">
      <c r="A1970" t="s">
        <v>16455</v>
      </c>
      <c r="B1970" s="1" t="s">
        <v>16456</v>
      </c>
      <c r="F1970">
        <v>1</v>
      </c>
      <c r="G1970" t="str">
        <f>HYPERLINK("http://babel.hathitrust.org/cgi/pt?id=mdp.39015049008678")</f>
        <v>http://babel.hathitrust.org/cgi/pt?id=mdp.39015049008678</v>
      </c>
      <c r="H1970" t="str">
        <f>HYPERLINK("http://catalog.hathitrust.org/Record/001441308")</f>
        <v>http://catalog.hathitrust.org/Record/001441308</v>
      </c>
      <c r="J1970" s="1">
        <v>1948</v>
      </c>
      <c r="K1970" t="s">
        <v>16457</v>
      </c>
      <c r="L1970" t="s">
        <v>16458</v>
      </c>
    </row>
    <row r="1971" spans="1:12">
      <c r="A1971" t="s">
        <v>16459</v>
      </c>
      <c r="B1971" s="1" t="s">
        <v>16456</v>
      </c>
      <c r="F1971">
        <v>1</v>
      </c>
      <c r="G1971" t="str">
        <f>HYPERLINK("http://babel.hathitrust.org/cgi/pt?id=wu.89092560275")</f>
        <v>http://babel.hathitrust.org/cgi/pt?id=wu.89092560275</v>
      </c>
      <c r="H1971" t="str">
        <f>HYPERLINK("http://catalog.hathitrust.org/Record/001441308")</f>
        <v>http://catalog.hathitrust.org/Record/001441308</v>
      </c>
      <c r="J1971" s="1">
        <v>1948</v>
      </c>
      <c r="K1971" t="s">
        <v>16457</v>
      </c>
      <c r="L1971" t="s">
        <v>16458</v>
      </c>
    </row>
    <row r="1972" spans="1:12">
      <c r="A1972" t="s">
        <v>16460</v>
      </c>
      <c r="B1972" s="1" t="s">
        <v>16461</v>
      </c>
      <c r="F1972">
        <v>1</v>
      </c>
      <c r="G1972" t="str">
        <f>HYPERLINK("http://babel.hathitrust.org/cgi/pt?id=mdp.39015016460886")</f>
        <v>http://babel.hathitrust.org/cgi/pt?id=mdp.39015016460886</v>
      </c>
      <c r="H1972" t="str">
        <f>HYPERLINK("http://catalog.hathitrust.org/Record/001441309")</f>
        <v>http://catalog.hathitrust.org/Record/001441309</v>
      </c>
      <c r="J1972" s="1">
        <v>1842</v>
      </c>
      <c r="K1972" t="s">
        <v>16462</v>
      </c>
      <c r="L1972" t="s">
        <v>16463</v>
      </c>
    </row>
    <row r="1973" spans="1:12">
      <c r="A1973" t="s">
        <v>16464</v>
      </c>
      <c r="B1973" s="1" t="s">
        <v>16461</v>
      </c>
      <c r="F1973">
        <v>1</v>
      </c>
      <c r="G1973" t="str">
        <f>HYPERLINK("http://babel.hathitrust.org/cgi/pt?id=nyp.33433069257099")</f>
        <v>http://babel.hathitrust.org/cgi/pt?id=nyp.33433069257099</v>
      </c>
      <c r="H1973" t="str">
        <f>HYPERLINK("http://catalog.hathitrust.org/Record/001441309")</f>
        <v>http://catalog.hathitrust.org/Record/001441309</v>
      </c>
      <c r="J1973" s="1">
        <v>1842</v>
      </c>
      <c r="K1973" t="s">
        <v>16462</v>
      </c>
      <c r="L1973" t="s">
        <v>16463</v>
      </c>
    </row>
    <row r="1974" spans="1:12">
      <c r="A1974" t="s">
        <v>16465</v>
      </c>
      <c r="B1974" s="1" t="s">
        <v>16466</v>
      </c>
      <c r="F1974">
        <v>1</v>
      </c>
      <c r="G1974" t="str">
        <f>HYPERLINK("http://babel.hathitrust.org/cgi/pt?id=mdp.39015001526790")</f>
        <v>http://babel.hathitrust.org/cgi/pt?id=mdp.39015001526790</v>
      </c>
      <c r="H1974" t="str">
        <f>HYPERLINK("http://catalog.hathitrust.org/Record/001441321")</f>
        <v>http://catalog.hathitrust.org/Record/001441321</v>
      </c>
      <c r="J1974" s="1">
        <v>1907</v>
      </c>
      <c r="K1974" t="s">
        <v>16467</v>
      </c>
      <c r="L1974" t="s">
        <v>18550</v>
      </c>
    </row>
    <row r="1975" spans="1:12">
      <c r="A1975" t="s">
        <v>16468</v>
      </c>
      <c r="B1975" s="1" t="s">
        <v>16466</v>
      </c>
      <c r="F1975">
        <v>1</v>
      </c>
      <c r="G1975" t="str">
        <f>HYPERLINK("http://babel.hathitrust.org/cgi/pt?id=mdp.39015030996782")</f>
        <v>http://babel.hathitrust.org/cgi/pt?id=mdp.39015030996782</v>
      </c>
      <c r="H1975" t="str">
        <f>HYPERLINK("http://catalog.hathitrust.org/Record/001441321")</f>
        <v>http://catalog.hathitrust.org/Record/001441321</v>
      </c>
      <c r="J1975" s="1">
        <v>1907</v>
      </c>
      <c r="K1975" t="s">
        <v>16467</v>
      </c>
      <c r="L1975" t="s">
        <v>18550</v>
      </c>
    </row>
    <row r="1976" spans="1:12">
      <c r="A1976" t="s">
        <v>16469</v>
      </c>
      <c r="B1976" s="1" t="s">
        <v>16470</v>
      </c>
      <c r="F1976">
        <v>1</v>
      </c>
      <c r="G1976" t="str">
        <f>HYPERLINK("http://babel.hathitrust.org/cgi/pt?id=mdp.39015000579873")</f>
        <v>http://babel.hathitrust.org/cgi/pt?id=mdp.39015000579873</v>
      </c>
      <c r="H1976" t="str">
        <f>HYPERLINK("http://catalog.hathitrust.org/Record/001441325")</f>
        <v>http://catalog.hathitrust.org/Record/001441325</v>
      </c>
      <c r="J1976" s="1">
        <v>1909</v>
      </c>
      <c r="K1976" t="s">
        <v>16471</v>
      </c>
      <c r="L1976" t="s">
        <v>17190</v>
      </c>
    </row>
    <row r="1977" spans="1:12">
      <c r="A1977" t="s">
        <v>16472</v>
      </c>
      <c r="B1977" s="1" t="s">
        <v>16470</v>
      </c>
      <c r="F1977">
        <v>1</v>
      </c>
      <c r="G1977" t="str">
        <f>HYPERLINK("http://babel.hathitrust.org/cgi/pt?id=njp.32101063604985")</f>
        <v>http://babel.hathitrust.org/cgi/pt?id=njp.32101063604985</v>
      </c>
      <c r="H1977" t="str">
        <f>HYPERLINK("http://catalog.hathitrust.org/Record/001441325")</f>
        <v>http://catalog.hathitrust.org/Record/001441325</v>
      </c>
      <c r="J1977" s="1">
        <v>1909</v>
      </c>
      <c r="K1977" t="s">
        <v>16471</v>
      </c>
      <c r="L1977" t="s">
        <v>17190</v>
      </c>
    </row>
    <row r="1978" spans="1:12">
      <c r="A1978" t="s">
        <v>16473</v>
      </c>
      <c r="B1978" s="1" t="s">
        <v>16470</v>
      </c>
      <c r="F1978">
        <v>1</v>
      </c>
      <c r="G1978" t="str">
        <f>HYPERLINK("http://babel.hathitrust.org/cgi/pt?id=uc1.$b624791")</f>
        <v>http://babel.hathitrust.org/cgi/pt?id=uc1.$b624791</v>
      </c>
      <c r="H1978" t="str">
        <f>HYPERLINK("http://catalog.hathitrust.org/Record/001441325")</f>
        <v>http://catalog.hathitrust.org/Record/001441325</v>
      </c>
      <c r="J1978" s="1">
        <v>1909</v>
      </c>
      <c r="K1978" t="s">
        <v>16471</v>
      </c>
      <c r="L1978" t="s">
        <v>17190</v>
      </c>
    </row>
    <row r="1979" spans="1:12">
      <c r="A1979" t="s">
        <v>16474</v>
      </c>
      <c r="B1979" s="1" t="s">
        <v>16470</v>
      </c>
      <c r="F1979">
        <v>1</v>
      </c>
      <c r="G1979" t="str">
        <f>HYPERLINK("http://babel.hathitrust.org/cgi/pt?id=uc2.ark:/13960/t6pz5dh6s")</f>
        <v>http://babel.hathitrust.org/cgi/pt?id=uc2.ark:/13960/t6pz5dh6s</v>
      </c>
      <c r="H1979" t="str">
        <f>HYPERLINK("http://catalog.hathitrust.org/Record/001441325")</f>
        <v>http://catalog.hathitrust.org/Record/001441325</v>
      </c>
      <c r="J1979" s="1">
        <v>1909</v>
      </c>
      <c r="K1979" t="s">
        <v>16471</v>
      </c>
      <c r="L1979" t="s">
        <v>17190</v>
      </c>
    </row>
    <row r="1980" spans="1:12">
      <c r="A1980" t="s">
        <v>16475</v>
      </c>
      <c r="B1980" s="1" t="s">
        <v>16476</v>
      </c>
      <c r="F1980">
        <v>1</v>
      </c>
      <c r="G1980" t="str">
        <f>HYPERLINK("http://babel.hathitrust.org/cgi/pt?id=mdp.39015030999984")</f>
        <v>http://babel.hathitrust.org/cgi/pt?id=mdp.39015030999984</v>
      </c>
      <c r="H1980" t="str">
        <f>HYPERLINK("http://catalog.hathitrust.org/Record/001441328")</f>
        <v>http://catalog.hathitrust.org/Record/001441328</v>
      </c>
      <c r="J1980" s="1">
        <v>1935</v>
      </c>
      <c r="K1980" t="s">
        <v>16477</v>
      </c>
      <c r="L1980" t="s">
        <v>20948</v>
      </c>
    </row>
    <row r="1981" spans="1:12">
      <c r="A1981" t="s">
        <v>16478</v>
      </c>
      <c r="B1981" s="1" t="s">
        <v>16479</v>
      </c>
      <c r="E1981">
        <v>1</v>
      </c>
      <c r="F1981">
        <v>1</v>
      </c>
      <c r="G1981" t="str">
        <f>HYPERLINK("http://babel.hathitrust.org/cgi/pt?id=mdp.39015004290360")</f>
        <v>http://babel.hathitrust.org/cgi/pt?id=mdp.39015004290360</v>
      </c>
      <c r="H1981" t="str">
        <f>HYPERLINK("http://catalog.hathitrust.org/Record/001441342")</f>
        <v>http://catalog.hathitrust.org/Record/001441342</v>
      </c>
      <c r="J1981" s="1">
        <v>1908</v>
      </c>
      <c r="K1981" t="s">
        <v>16346</v>
      </c>
      <c r="L1981" t="s">
        <v>16347</v>
      </c>
    </row>
    <row r="1982" spans="1:12">
      <c r="A1982" t="s">
        <v>16348</v>
      </c>
      <c r="B1982" s="1" t="s">
        <v>16479</v>
      </c>
      <c r="F1982">
        <v>1</v>
      </c>
      <c r="G1982" t="str">
        <f>HYPERLINK("http://babel.hathitrust.org/cgi/pt?id=nyp.33433069255259")</f>
        <v>http://babel.hathitrust.org/cgi/pt?id=nyp.33433069255259</v>
      </c>
      <c r="H1982" t="str">
        <f>HYPERLINK("http://catalog.hathitrust.org/Record/001441342")</f>
        <v>http://catalog.hathitrust.org/Record/001441342</v>
      </c>
      <c r="J1982" s="1">
        <v>1908</v>
      </c>
      <c r="K1982" t="s">
        <v>16346</v>
      </c>
      <c r="L1982" t="s">
        <v>16347</v>
      </c>
    </row>
    <row r="1983" spans="1:12">
      <c r="A1983" t="s">
        <v>16349</v>
      </c>
      <c r="B1983" s="1" t="s">
        <v>16479</v>
      </c>
      <c r="F1983">
        <v>1</v>
      </c>
      <c r="G1983" t="str">
        <f>HYPERLINK("http://babel.hathitrust.org/cgi/pt?id=uc1.b257668")</f>
        <v>http://babel.hathitrust.org/cgi/pt?id=uc1.b257668</v>
      </c>
      <c r="H1983" t="str">
        <f>HYPERLINK("http://catalog.hathitrust.org/Record/001441342")</f>
        <v>http://catalog.hathitrust.org/Record/001441342</v>
      </c>
      <c r="J1983" s="1">
        <v>1908</v>
      </c>
      <c r="K1983" t="s">
        <v>16346</v>
      </c>
      <c r="L1983" t="s">
        <v>16347</v>
      </c>
    </row>
    <row r="1984" spans="1:12">
      <c r="A1984" t="s">
        <v>16350</v>
      </c>
      <c r="B1984" s="1" t="s">
        <v>16479</v>
      </c>
      <c r="F1984">
        <v>1</v>
      </c>
      <c r="G1984" t="str">
        <f>HYPERLINK("http://babel.hathitrust.org/cgi/pt?id=uc2.ark:/13960/t6b27st3m")</f>
        <v>http://babel.hathitrust.org/cgi/pt?id=uc2.ark:/13960/t6b27st3m</v>
      </c>
      <c r="H1984" t="str">
        <f>HYPERLINK("http://catalog.hathitrust.org/Record/001441342")</f>
        <v>http://catalog.hathitrust.org/Record/001441342</v>
      </c>
      <c r="J1984" s="1">
        <v>1908</v>
      </c>
      <c r="K1984" t="s">
        <v>16346</v>
      </c>
      <c r="L1984" t="s">
        <v>16347</v>
      </c>
    </row>
    <row r="1985" spans="1:12">
      <c r="A1985" t="s">
        <v>16351</v>
      </c>
      <c r="B1985" s="1" t="s">
        <v>16352</v>
      </c>
      <c r="F1985">
        <v>1</v>
      </c>
      <c r="G1985" t="str">
        <f>HYPERLINK("http://babel.hathitrust.org/cgi/pt?id=nyp.33433082512207")</f>
        <v>http://babel.hathitrust.org/cgi/pt?id=nyp.33433082512207</v>
      </c>
      <c r="H1985" t="str">
        <f>HYPERLINK("http://catalog.hathitrust.org/Record/001441352")</f>
        <v>http://catalog.hathitrust.org/Record/001441352</v>
      </c>
      <c r="J1985" s="1">
        <v>1917</v>
      </c>
      <c r="K1985" t="s">
        <v>16353</v>
      </c>
      <c r="L1985" t="s">
        <v>16354</v>
      </c>
    </row>
    <row r="1986" spans="1:12">
      <c r="A1986" t="s">
        <v>16355</v>
      </c>
      <c r="B1986" s="1" t="s">
        <v>16352</v>
      </c>
      <c r="F1986">
        <v>1</v>
      </c>
      <c r="G1986" t="str">
        <f>HYPERLINK("http://babel.hathitrust.org/cgi/pt?id=uc1.b258329")</f>
        <v>http://babel.hathitrust.org/cgi/pt?id=uc1.b258329</v>
      </c>
      <c r="H1986" t="str">
        <f>HYPERLINK("http://catalog.hathitrust.org/Record/001441352")</f>
        <v>http://catalog.hathitrust.org/Record/001441352</v>
      </c>
      <c r="J1986" s="1">
        <v>1917</v>
      </c>
      <c r="K1986" t="s">
        <v>16353</v>
      </c>
      <c r="L1986" t="s">
        <v>16354</v>
      </c>
    </row>
    <row r="1987" spans="1:12">
      <c r="A1987" t="s">
        <v>16356</v>
      </c>
      <c r="B1987" s="1" t="s">
        <v>16352</v>
      </c>
      <c r="F1987">
        <v>1</v>
      </c>
      <c r="G1987" t="str">
        <f>HYPERLINK("http://babel.hathitrust.org/cgi/pt?id=uc2.ark:/13960/t1ng4mr6h")</f>
        <v>http://babel.hathitrust.org/cgi/pt?id=uc2.ark:/13960/t1ng4mr6h</v>
      </c>
      <c r="H1987" t="str">
        <f>HYPERLINK("http://catalog.hathitrust.org/Record/001441352")</f>
        <v>http://catalog.hathitrust.org/Record/001441352</v>
      </c>
      <c r="J1987" s="1">
        <v>1917</v>
      </c>
      <c r="K1987" t="s">
        <v>16353</v>
      </c>
      <c r="L1987" t="s">
        <v>16354</v>
      </c>
    </row>
    <row r="1988" spans="1:12">
      <c r="A1988" t="s">
        <v>16357</v>
      </c>
      <c r="B1988" s="1" t="s">
        <v>16358</v>
      </c>
      <c r="F1988">
        <v>1</v>
      </c>
      <c r="G1988" t="str">
        <f>HYPERLINK("http://babel.hathitrust.org/cgi/pt?id=mdp.39015011819730")</f>
        <v>http://babel.hathitrust.org/cgi/pt?id=mdp.39015011819730</v>
      </c>
      <c r="H1988" t="str">
        <f>HYPERLINK("http://catalog.hathitrust.org/Record/001441354")</f>
        <v>http://catalog.hathitrust.org/Record/001441354</v>
      </c>
      <c r="J1988" s="1">
        <v>1904</v>
      </c>
      <c r="K1988" t="s">
        <v>16359</v>
      </c>
      <c r="L1988" t="s">
        <v>16360</v>
      </c>
    </row>
    <row r="1989" spans="1:12">
      <c r="A1989" t="s">
        <v>16361</v>
      </c>
      <c r="B1989" s="1" t="s">
        <v>16358</v>
      </c>
      <c r="F1989">
        <v>1</v>
      </c>
      <c r="G1989" t="str">
        <f>HYPERLINK("http://babel.hathitrust.org/cgi/pt?id=nyp.33433069243248")</f>
        <v>http://babel.hathitrust.org/cgi/pt?id=nyp.33433069243248</v>
      </c>
      <c r="H1989" t="str">
        <f>HYPERLINK("http://catalog.hathitrust.org/Record/001441354")</f>
        <v>http://catalog.hathitrust.org/Record/001441354</v>
      </c>
      <c r="J1989" s="1">
        <v>1904</v>
      </c>
      <c r="K1989" t="s">
        <v>16359</v>
      </c>
      <c r="L1989" t="s">
        <v>16360</v>
      </c>
    </row>
    <row r="1990" spans="1:12">
      <c r="A1990" t="s">
        <v>16362</v>
      </c>
      <c r="B1990" s="1" t="s">
        <v>16358</v>
      </c>
      <c r="F1990">
        <v>1</v>
      </c>
      <c r="G1990" t="str">
        <f>HYPERLINK("http://babel.hathitrust.org/cgi/pt?id=uc1.b257561")</f>
        <v>http://babel.hathitrust.org/cgi/pt?id=uc1.b257561</v>
      </c>
      <c r="H1990" t="str">
        <f>HYPERLINK("http://catalog.hathitrust.org/Record/001441354")</f>
        <v>http://catalog.hathitrust.org/Record/001441354</v>
      </c>
      <c r="J1990" s="1">
        <v>1904</v>
      </c>
      <c r="K1990" t="s">
        <v>16359</v>
      </c>
      <c r="L1990" t="s">
        <v>16360</v>
      </c>
    </row>
    <row r="1991" spans="1:12">
      <c r="A1991" t="s">
        <v>16363</v>
      </c>
      <c r="B1991" s="1" t="s">
        <v>16358</v>
      </c>
      <c r="F1991">
        <v>1</v>
      </c>
      <c r="G1991" t="str">
        <f>HYPERLINK("http://babel.hathitrust.org/cgi/pt?id=uc2.ark:/13960/t75t3sp05")</f>
        <v>http://babel.hathitrust.org/cgi/pt?id=uc2.ark:/13960/t75t3sp05</v>
      </c>
      <c r="H1991" t="str">
        <f>HYPERLINK("http://catalog.hathitrust.org/Record/001441354")</f>
        <v>http://catalog.hathitrust.org/Record/001441354</v>
      </c>
      <c r="J1991" s="1">
        <v>1904</v>
      </c>
      <c r="K1991" t="s">
        <v>16359</v>
      </c>
      <c r="L1991" t="s">
        <v>16360</v>
      </c>
    </row>
    <row r="1992" spans="1:12">
      <c r="A1992" t="s">
        <v>16364</v>
      </c>
      <c r="B1992" s="1" t="s">
        <v>16365</v>
      </c>
      <c r="F1992">
        <v>1</v>
      </c>
      <c r="G1992" t="str">
        <f>HYPERLINK("http://babel.hathitrust.org/cgi/pt?id=mdp.39015004270784")</f>
        <v>http://babel.hathitrust.org/cgi/pt?id=mdp.39015004270784</v>
      </c>
      <c r="H1992" t="str">
        <f>HYPERLINK("http://catalog.hathitrust.org/Record/001441367")</f>
        <v>http://catalog.hathitrust.org/Record/001441367</v>
      </c>
      <c r="J1992" s="1">
        <v>1891</v>
      </c>
      <c r="K1992" t="s">
        <v>16366</v>
      </c>
      <c r="L1992" t="s">
        <v>16367</v>
      </c>
    </row>
    <row r="1993" spans="1:12">
      <c r="A1993" t="s">
        <v>16368</v>
      </c>
      <c r="B1993" s="1" t="s">
        <v>16365</v>
      </c>
      <c r="F1993">
        <v>1</v>
      </c>
      <c r="G1993" t="str">
        <f>HYPERLINK("http://babel.hathitrust.org/cgi/pt?id=uc2.ark:/13960/t58c9wg8r")</f>
        <v>http://babel.hathitrust.org/cgi/pt?id=uc2.ark:/13960/t58c9wg8r</v>
      </c>
      <c r="H1993" t="str">
        <f>HYPERLINK("http://catalog.hathitrust.org/Record/001441367")</f>
        <v>http://catalog.hathitrust.org/Record/001441367</v>
      </c>
      <c r="J1993" s="1">
        <v>1891</v>
      </c>
      <c r="K1993" t="s">
        <v>16366</v>
      </c>
      <c r="L1993" t="s">
        <v>16367</v>
      </c>
    </row>
    <row r="1994" spans="1:12">
      <c r="A1994" t="s">
        <v>16369</v>
      </c>
      <c r="B1994" s="1" t="s">
        <v>16370</v>
      </c>
      <c r="F1994">
        <v>1</v>
      </c>
      <c r="G1994" t="str">
        <f>HYPERLINK("http://babel.hathitrust.org/cgi/pt?id=mdp.39015016462353")</f>
        <v>http://babel.hathitrust.org/cgi/pt?id=mdp.39015016462353</v>
      </c>
      <c r="H1994" t="str">
        <f>HYPERLINK("http://catalog.hathitrust.org/Record/001441371")</f>
        <v>http://catalog.hathitrust.org/Record/001441371</v>
      </c>
      <c r="J1994" s="1">
        <v>1898</v>
      </c>
      <c r="K1994" t="s">
        <v>16371</v>
      </c>
      <c r="L1994" t="s">
        <v>16372</v>
      </c>
    </row>
    <row r="1995" spans="1:12">
      <c r="A1995" t="s">
        <v>16373</v>
      </c>
      <c r="B1995" s="1" t="s">
        <v>16374</v>
      </c>
      <c r="F1995">
        <v>1</v>
      </c>
      <c r="G1995" t="str">
        <f>HYPERLINK("http://babel.hathitrust.org/cgi/pt?id=mdp.39015019992760")</f>
        <v>http://babel.hathitrust.org/cgi/pt?id=mdp.39015019992760</v>
      </c>
      <c r="H1995" t="str">
        <f>HYPERLINK("http://catalog.hathitrust.org/Record/001441380")</f>
        <v>http://catalog.hathitrust.org/Record/001441380</v>
      </c>
      <c r="J1995" s="1">
        <v>1926</v>
      </c>
      <c r="K1995" t="s">
        <v>16375</v>
      </c>
      <c r="L1995" t="s">
        <v>16376</v>
      </c>
    </row>
    <row r="1996" spans="1:12">
      <c r="A1996" t="s">
        <v>16377</v>
      </c>
      <c r="B1996" s="1" t="s">
        <v>16374</v>
      </c>
      <c r="F1996">
        <v>1</v>
      </c>
      <c r="G1996" t="str">
        <f>HYPERLINK("http://babel.hathitrust.org/cgi/pt?id=uc1.b307086")</f>
        <v>http://babel.hathitrust.org/cgi/pt?id=uc1.b307086</v>
      </c>
      <c r="H1996" t="str">
        <f>HYPERLINK("http://catalog.hathitrust.org/Record/001441380")</f>
        <v>http://catalog.hathitrust.org/Record/001441380</v>
      </c>
      <c r="J1996" s="1">
        <v>1926</v>
      </c>
      <c r="K1996" t="s">
        <v>16375</v>
      </c>
      <c r="L1996" t="s">
        <v>16376</v>
      </c>
    </row>
    <row r="1997" spans="1:12">
      <c r="A1997" t="s">
        <v>16378</v>
      </c>
      <c r="B1997" s="1" t="s">
        <v>16379</v>
      </c>
      <c r="D1997">
        <v>1</v>
      </c>
      <c r="G1997" t="str">
        <f>HYPERLINK("http://babel.hathitrust.org/cgi/pt?id=mdp.39015011542704")</f>
        <v>http://babel.hathitrust.org/cgi/pt?id=mdp.39015011542704</v>
      </c>
      <c r="H1997" t="str">
        <f>HYPERLINK("http://catalog.hathitrust.org/Record/001441382")</f>
        <v>http://catalog.hathitrust.org/Record/001441382</v>
      </c>
      <c r="J1997" s="1">
        <v>1843</v>
      </c>
      <c r="K1997" t="s">
        <v>16380</v>
      </c>
      <c r="L1997" t="s">
        <v>20043</v>
      </c>
    </row>
    <row r="1998" spans="1:12">
      <c r="A1998" t="s">
        <v>16381</v>
      </c>
      <c r="B1998" s="1" t="s">
        <v>16382</v>
      </c>
      <c r="F1998">
        <v>1</v>
      </c>
      <c r="G1998" t="str">
        <f>HYPERLINK("http://babel.hathitrust.org/cgi/pt?id=mdp.39015002608993")</f>
        <v>http://babel.hathitrust.org/cgi/pt?id=mdp.39015002608993</v>
      </c>
      <c r="H1998" t="str">
        <f>HYPERLINK("http://catalog.hathitrust.org/Record/001441407")</f>
        <v>http://catalog.hathitrust.org/Record/001441407</v>
      </c>
      <c r="I1998" s="1" t="s">
        <v>16384</v>
      </c>
      <c r="J1998" s="1">
        <v>1904</v>
      </c>
      <c r="K1998" t="s">
        <v>16383</v>
      </c>
      <c r="L1998" t="s">
        <v>16385</v>
      </c>
    </row>
    <row r="1999" spans="1:12">
      <c r="A1999" t="s">
        <v>16386</v>
      </c>
      <c r="B1999" s="1" t="s">
        <v>16382</v>
      </c>
      <c r="F1999">
        <v>1</v>
      </c>
      <c r="G1999" t="str">
        <f>HYPERLINK("http://babel.hathitrust.org/cgi/pt?id=mdp.39015004290246")</f>
        <v>http://babel.hathitrust.org/cgi/pt?id=mdp.39015004290246</v>
      </c>
      <c r="H1999" t="str">
        <f>HYPERLINK("http://catalog.hathitrust.org/Record/001441407")</f>
        <v>http://catalog.hathitrust.org/Record/001441407</v>
      </c>
      <c r="I1999" s="1" t="s">
        <v>16387</v>
      </c>
      <c r="J1999" s="1">
        <v>1904</v>
      </c>
      <c r="K1999" t="s">
        <v>16383</v>
      </c>
      <c r="L1999" t="s">
        <v>16385</v>
      </c>
    </row>
    <row r="2000" spans="1:12">
      <c r="A2000" t="s">
        <v>16388</v>
      </c>
      <c r="B2000" s="1" t="s">
        <v>16382</v>
      </c>
      <c r="F2000">
        <v>1</v>
      </c>
      <c r="G2000" t="str">
        <f>HYPERLINK("http://babel.hathitrust.org/cgi/pt?id=mdp.39015043285819")</f>
        <v>http://babel.hathitrust.org/cgi/pt?id=mdp.39015043285819</v>
      </c>
      <c r="H2000" t="str">
        <f>HYPERLINK("http://catalog.hathitrust.org/Record/001441407")</f>
        <v>http://catalog.hathitrust.org/Record/001441407</v>
      </c>
      <c r="I2000" s="1" t="s">
        <v>16389</v>
      </c>
      <c r="J2000" s="1">
        <v>1904</v>
      </c>
      <c r="K2000" t="s">
        <v>16383</v>
      </c>
      <c r="L2000" t="s">
        <v>16385</v>
      </c>
    </row>
    <row r="2001" spans="1:12">
      <c r="A2001" t="s">
        <v>16390</v>
      </c>
      <c r="B2001" s="1" t="s">
        <v>16382</v>
      </c>
      <c r="F2001">
        <v>1</v>
      </c>
      <c r="G2001" t="str">
        <f>HYPERLINK("http://babel.hathitrust.org/cgi/pt?id=mdp.39015062486215")</f>
        <v>http://babel.hathitrust.org/cgi/pt?id=mdp.39015062486215</v>
      </c>
      <c r="H2001" t="str">
        <f>HYPERLINK("http://catalog.hathitrust.org/Record/001441407")</f>
        <v>http://catalog.hathitrust.org/Record/001441407</v>
      </c>
      <c r="I2001" s="1" t="s">
        <v>16391</v>
      </c>
      <c r="J2001" s="1">
        <v>1904</v>
      </c>
      <c r="K2001" t="s">
        <v>16383</v>
      </c>
      <c r="L2001" t="s">
        <v>16385</v>
      </c>
    </row>
    <row r="2002" spans="1:12">
      <c r="A2002" t="s">
        <v>16392</v>
      </c>
      <c r="B2002" s="1" t="s">
        <v>16382</v>
      </c>
      <c r="F2002">
        <v>1</v>
      </c>
      <c r="G2002" t="str">
        <f>HYPERLINK("http://babel.hathitrust.org/cgi/pt?id=mdp.39015067504590")</f>
        <v>http://babel.hathitrust.org/cgi/pt?id=mdp.39015067504590</v>
      </c>
      <c r="H2002" t="str">
        <f>HYPERLINK("http://catalog.hathitrust.org/Record/001441407")</f>
        <v>http://catalog.hathitrust.org/Record/001441407</v>
      </c>
      <c r="I2002" s="1" t="s">
        <v>16387</v>
      </c>
      <c r="J2002" s="1">
        <v>1904</v>
      </c>
      <c r="K2002" t="s">
        <v>16383</v>
      </c>
      <c r="L2002" t="s">
        <v>16385</v>
      </c>
    </row>
    <row r="2003" spans="1:12">
      <c r="A2003" t="s">
        <v>16393</v>
      </c>
      <c r="B2003" s="1" t="s">
        <v>16394</v>
      </c>
      <c r="F2003">
        <v>1</v>
      </c>
      <c r="G2003" t="str">
        <f>HYPERLINK("http://babel.hathitrust.org/cgi/pt?id=mdp.39015029397943")</f>
        <v>http://babel.hathitrust.org/cgi/pt?id=mdp.39015029397943</v>
      </c>
      <c r="H2003" t="str">
        <f>HYPERLINK("http://catalog.hathitrust.org/Record/001441423")</f>
        <v>http://catalog.hathitrust.org/Record/001441423</v>
      </c>
      <c r="J2003" s="1">
        <v>1922</v>
      </c>
      <c r="K2003" t="s">
        <v>16395</v>
      </c>
      <c r="L2003" t="s">
        <v>16396</v>
      </c>
    </row>
    <row r="2004" spans="1:12">
      <c r="A2004" t="s">
        <v>16397</v>
      </c>
      <c r="B2004" s="1" t="s">
        <v>16398</v>
      </c>
      <c r="F2004">
        <v>1</v>
      </c>
      <c r="G2004" t="str">
        <f>HYPERLINK("http://babel.hathitrust.org/cgi/pt?id=mdp.39015030926060")</f>
        <v>http://babel.hathitrust.org/cgi/pt?id=mdp.39015030926060</v>
      </c>
      <c r="H2004" t="str">
        <f>HYPERLINK("http://catalog.hathitrust.org/Record/001441436")</f>
        <v>http://catalog.hathitrust.org/Record/001441436</v>
      </c>
      <c r="J2004" s="1">
        <v>1905</v>
      </c>
      <c r="K2004" t="s">
        <v>16399</v>
      </c>
      <c r="L2004" t="s">
        <v>16984</v>
      </c>
    </row>
    <row r="2005" spans="1:12">
      <c r="A2005" t="s">
        <v>16400</v>
      </c>
      <c r="B2005" s="1" t="s">
        <v>16398</v>
      </c>
      <c r="F2005">
        <v>1</v>
      </c>
      <c r="G2005" t="str">
        <f>HYPERLINK("http://babel.hathitrust.org/cgi/pt?id=mdp.39015046415918")</f>
        <v>http://babel.hathitrust.org/cgi/pt?id=mdp.39015046415918</v>
      </c>
      <c r="H2005" t="str">
        <f>HYPERLINK("http://catalog.hathitrust.org/Record/001441436")</f>
        <v>http://catalog.hathitrust.org/Record/001441436</v>
      </c>
      <c r="J2005" s="1">
        <v>1905</v>
      </c>
      <c r="K2005" t="s">
        <v>16399</v>
      </c>
      <c r="L2005" t="s">
        <v>16984</v>
      </c>
    </row>
    <row r="2006" spans="1:12">
      <c r="A2006" t="s">
        <v>16401</v>
      </c>
      <c r="B2006" s="1" t="s">
        <v>16402</v>
      </c>
      <c r="F2006">
        <v>1</v>
      </c>
      <c r="G2006" t="str">
        <f>HYPERLINK("http://babel.hathitrust.org/cgi/pt?id=uc1.b307003")</f>
        <v>http://babel.hathitrust.org/cgi/pt?id=uc1.b307003</v>
      </c>
      <c r="H2006" t="str">
        <f>HYPERLINK("http://catalog.hathitrust.org/Record/001441437")</f>
        <v>http://catalog.hathitrust.org/Record/001441437</v>
      </c>
      <c r="I2006" s="1" t="s">
        <v>20916</v>
      </c>
      <c r="J2006" s="1">
        <v>1906</v>
      </c>
      <c r="K2006" t="s">
        <v>16403</v>
      </c>
      <c r="L2006" t="s">
        <v>16984</v>
      </c>
    </row>
    <row r="2007" spans="1:12">
      <c r="A2007" t="s">
        <v>16404</v>
      </c>
      <c r="B2007" s="1" t="s">
        <v>16402</v>
      </c>
      <c r="F2007">
        <v>1</v>
      </c>
      <c r="G2007" t="str">
        <f>HYPERLINK("http://babel.hathitrust.org/cgi/pt?id=uc1.b307004")</f>
        <v>http://babel.hathitrust.org/cgi/pt?id=uc1.b307004</v>
      </c>
      <c r="H2007" t="str">
        <f>HYPERLINK("http://catalog.hathitrust.org/Record/001441437")</f>
        <v>http://catalog.hathitrust.org/Record/001441437</v>
      </c>
      <c r="I2007" s="1" t="s">
        <v>20755</v>
      </c>
      <c r="J2007" s="1">
        <v>1906</v>
      </c>
      <c r="K2007" t="s">
        <v>16403</v>
      </c>
      <c r="L2007" t="s">
        <v>16984</v>
      </c>
    </row>
    <row r="2008" spans="1:12">
      <c r="A2008" t="s">
        <v>16405</v>
      </c>
      <c r="B2008" s="1" t="s">
        <v>16406</v>
      </c>
      <c r="F2008">
        <v>1</v>
      </c>
      <c r="G2008" t="str">
        <f>HYPERLINK("http://babel.hathitrust.org/cgi/pt?id=mdp.39015022201241")</f>
        <v>http://babel.hathitrust.org/cgi/pt?id=mdp.39015022201241</v>
      </c>
      <c r="H2008" t="str">
        <f>HYPERLINK("http://catalog.hathitrust.org/Record/001441441")</f>
        <v>http://catalog.hathitrust.org/Record/001441441</v>
      </c>
      <c r="J2008" s="1">
        <v>1895</v>
      </c>
      <c r="K2008" t="s">
        <v>16407</v>
      </c>
    </row>
    <row r="2009" spans="1:12">
      <c r="A2009" t="s">
        <v>16408</v>
      </c>
      <c r="B2009" s="1" t="s">
        <v>16406</v>
      </c>
      <c r="F2009">
        <v>1</v>
      </c>
      <c r="G2009" t="str">
        <f>HYPERLINK("http://babel.hathitrust.org/cgi/pt?id=nyp.33433069247793")</f>
        <v>http://babel.hathitrust.org/cgi/pt?id=nyp.33433069247793</v>
      </c>
      <c r="H2009" t="str">
        <f>HYPERLINK("http://catalog.hathitrust.org/Record/001441441")</f>
        <v>http://catalog.hathitrust.org/Record/001441441</v>
      </c>
      <c r="J2009" s="1">
        <v>1895</v>
      </c>
      <c r="K2009" t="s">
        <v>16407</v>
      </c>
    </row>
    <row r="2010" spans="1:12">
      <c r="A2010" t="s">
        <v>16409</v>
      </c>
      <c r="B2010" s="1" t="s">
        <v>16410</v>
      </c>
      <c r="F2010">
        <v>1</v>
      </c>
      <c r="G2010" t="str">
        <f>HYPERLINK("http://babel.hathitrust.org/cgi/pt?id=mdp.39015030926102")</f>
        <v>http://babel.hathitrust.org/cgi/pt?id=mdp.39015030926102</v>
      </c>
      <c r="H2010" t="str">
        <f>HYPERLINK("http://catalog.hathitrust.org/Record/001441449")</f>
        <v>http://catalog.hathitrust.org/Record/001441449</v>
      </c>
      <c r="J2010" s="1">
        <v>1903</v>
      </c>
      <c r="K2010" t="s">
        <v>16411</v>
      </c>
      <c r="L2010" t="s">
        <v>19762</v>
      </c>
    </row>
    <row r="2011" spans="1:12">
      <c r="A2011" t="s">
        <v>16279</v>
      </c>
      <c r="B2011" s="1" t="s">
        <v>16280</v>
      </c>
      <c r="F2011">
        <v>1</v>
      </c>
      <c r="G2011" t="str">
        <f>HYPERLINK("http://babel.hathitrust.org/cgi/pt?id=mdp.39015019780413")</f>
        <v>http://babel.hathitrust.org/cgi/pt?id=mdp.39015019780413</v>
      </c>
      <c r="H2011" t="str">
        <f>HYPERLINK("http://catalog.hathitrust.org/Record/001441470")</f>
        <v>http://catalog.hathitrust.org/Record/001441470</v>
      </c>
      <c r="J2011" s="1">
        <v>1945</v>
      </c>
      <c r="K2011" t="s">
        <v>16281</v>
      </c>
    </row>
    <row r="2012" spans="1:12">
      <c r="A2012" t="s">
        <v>16282</v>
      </c>
      <c r="B2012" s="1" t="s">
        <v>16283</v>
      </c>
      <c r="F2012">
        <v>1</v>
      </c>
      <c r="G2012" t="str">
        <f>HYPERLINK("http://babel.hathitrust.org/cgi/pt?id=mdp.39015030925260")</f>
        <v>http://babel.hathitrust.org/cgi/pt?id=mdp.39015030925260</v>
      </c>
      <c r="H2012" t="str">
        <f>HYPERLINK("http://catalog.hathitrust.org/Record/001441477")</f>
        <v>http://catalog.hathitrust.org/Record/001441477</v>
      </c>
      <c r="J2012" s="1">
        <v>1928</v>
      </c>
      <c r="K2012" t="s">
        <v>16284</v>
      </c>
      <c r="L2012" t="s">
        <v>16285</v>
      </c>
    </row>
    <row r="2013" spans="1:12">
      <c r="A2013" t="s">
        <v>16286</v>
      </c>
      <c r="B2013" s="1" t="s">
        <v>16283</v>
      </c>
      <c r="F2013">
        <v>1</v>
      </c>
      <c r="G2013" t="str">
        <f>HYPERLINK("http://babel.hathitrust.org/cgi/pt?id=uc1.b257584")</f>
        <v>http://babel.hathitrust.org/cgi/pt?id=uc1.b257584</v>
      </c>
      <c r="H2013" t="str">
        <f>HYPERLINK("http://catalog.hathitrust.org/Record/001441477")</f>
        <v>http://catalog.hathitrust.org/Record/001441477</v>
      </c>
      <c r="J2013" s="1">
        <v>1928</v>
      </c>
      <c r="K2013" t="s">
        <v>16284</v>
      </c>
      <c r="L2013" t="s">
        <v>16285</v>
      </c>
    </row>
    <row r="2014" spans="1:12">
      <c r="A2014" t="s">
        <v>16287</v>
      </c>
      <c r="B2014" s="1" t="s">
        <v>16288</v>
      </c>
      <c r="F2014">
        <v>1</v>
      </c>
      <c r="G2014" t="str">
        <f>HYPERLINK("http://babel.hathitrust.org/cgi/pt?id=mdp.39015030933595")</f>
        <v>http://babel.hathitrust.org/cgi/pt?id=mdp.39015030933595</v>
      </c>
      <c r="H2014" t="str">
        <f>HYPERLINK("http://catalog.hathitrust.org/Record/001441478")</f>
        <v>http://catalog.hathitrust.org/Record/001441478</v>
      </c>
      <c r="J2014" s="1">
        <v>1933</v>
      </c>
      <c r="K2014" t="s">
        <v>16289</v>
      </c>
      <c r="L2014" t="s">
        <v>16290</v>
      </c>
    </row>
    <row r="2015" spans="1:12">
      <c r="A2015" t="s">
        <v>16291</v>
      </c>
      <c r="B2015" s="1" t="s">
        <v>16292</v>
      </c>
      <c r="D2015">
        <v>1</v>
      </c>
      <c r="G2015" t="str">
        <f>HYPERLINK("http://babel.hathitrust.org/cgi/pt?id=mdp.39015021935443")</f>
        <v>http://babel.hathitrust.org/cgi/pt?id=mdp.39015021935443</v>
      </c>
      <c r="H2015" t="str">
        <f>HYPERLINK("http://catalog.hathitrust.org/Record/001441480")</f>
        <v>http://catalog.hathitrust.org/Record/001441480</v>
      </c>
      <c r="J2015" s="1">
        <v>1874</v>
      </c>
      <c r="K2015" t="s">
        <v>16293</v>
      </c>
      <c r="L2015" t="s">
        <v>16294</v>
      </c>
    </row>
    <row r="2016" spans="1:12">
      <c r="A2016" t="s">
        <v>16295</v>
      </c>
      <c r="B2016" s="1" t="s">
        <v>16292</v>
      </c>
      <c r="F2016">
        <v>1</v>
      </c>
      <c r="G2016" t="str">
        <f>HYPERLINK("http://babel.hathitrust.org/cgi/pt?id=uc2.ark:/13960/t5m905f4p")</f>
        <v>http://babel.hathitrust.org/cgi/pt?id=uc2.ark:/13960/t5m905f4p</v>
      </c>
      <c r="H2016" t="str">
        <f>HYPERLINK("http://catalog.hathitrust.org/Record/001441480")</f>
        <v>http://catalog.hathitrust.org/Record/001441480</v>
      </c>
      <c r="J2016" s="1">
        <v>1874</v>
      </c>
      <c r="K2016" t="s">
        <v>16293</v>
      </c>
      <c r="L2016" t="s">
        <v>16294</v>
      </c>
    </row>
    <row r="2017" spans="1:12">
      <c r="A2017" t="s">
        <v>16296</v>
      </c>
      <c r="B2017" s="1" t="s">
        <v>16297</v>
      </c>
      <c r="F2017">
        <v>1</v>
      </c>
      <c r="G2017" t="str">
        <f>HYPERLINK("http://babel.hathitrust.org/cgi/pt?id=mdp.39015046852177")</f>
        <v>http://babel.hathitrust.org/cgi/pt?id=mdp.39015046852177</v>
      </c>
      <c r="H2017" t="str">
        <f>HYPERLINK("http://catalog.hathitrust.org/Record/001441487")</f>
        <v>http://catalog.hathitrust.org/Record/001441487</v>
      </c>
      <c r="J2017" s="1">
        <v>1958</v>
      </c>
      <c r="K2017" t="s">
        <v>16298</v>
      </c>
      <c r="L2017" t="s">
        <v>18262</v>
      </c>
    </row>
    <row r="2018" spans="1:12">
      <c r="A2018" t="s">
        <v>16299</v>
      </c>
      <c r="B2018" s="1" t="s">
        <v>16300</v>
      </c>
      <c r="D2018">
        <v>1</v>
      </c>
      <c r="G2018" t="str">
        <f>HYPERLINK("http://babel.hathitrust.org/cgi/pt?id=mdp.39015002341454")</f>
        <v>http://babel.hathitrust.org/cgi/pt?id=mdp.39015002341454</v>
      </c>
      <c r="H2018" t="str">
        <f>HYPERLINK("http://catalog.hathitrust.org/Record/001441496")</f>
        <v>http://catalog.hathitrust.org/Record/001441496</v>
      </c>
      <c r="J2018" s="1">
        <v>1913</v>
      </c>
      <c r="K2018" t="s">
        <v>16301</v>
      </c>
      <c r="L2018" t="s">
        <v>16302</v>
      </c>
    </row>
    <row r="2019" spans="1:12">
      <c r="A2019" t="s">
        <v>16303</v>
      </c>
      <c r="B2019" s="1" t="s">
        <v>16304</v>
      </c>
      <c r="F2019">
        <v>1</v>
      </c>
      <c r="G2019" t="str">
        <f>HYPERLINK("http://babel.hathitrust.org/cgi/pt?id=mdp.39015028547696")</f>
        <v>http://babel.hathitrust.org/cgi/pt?id=mdp.39015028547696</v>
      </c>
      <c r="H2019" t="str">
        <f>HYPERLINK("http://catalog.hathitrust.org/Record/001441504")</f>
        <v>http://catalog.hathitrust.org/Record/001441504</v>
      </c>
      <c r="J2019" s="1">
        <v>1893</v>
      </c>
      <c r="K2019" t="s">
        <v>16305</v>
      </c>
      <c r="L2019" t="s">
        <v>16306</v>
      </c>
    </row>
    <row r="2020" spans="1:12">
      <c r="A2020" t="s">
        <v>16307</v>
      </c>
      <c r="B2020" s="1" t="s">
        <v>16304</v>
      </c>
      <c r="F2020">
        <v>1</v>
      </c>
      <c r="G2020" t="str">
        <f>HYPERLINK("http://babel.hathitrust.org/cgi/pt?id=mdp.39015058692529")</f>
        <v>http://babel.hathitrust.org/cgi/pt?id=mdp.39015058692529</v>
      </c>
      <c r="H2020" t="str">
        <f>HYPERLINK("http://catalog.hathitrust.org/Record/001441504")</f>
        <v>http://catalog.hathitrust.org/Record/001441504</v>
      </c>
      <c r="J2020" s="1">
        <v>1893</v>
      </c>
      <c r="K2020" t="s">
        <v>16305</v>
      </c>
      <c r="L2020" t="s">
        <v>16306</v>
      </c>
    </row>
    <row r="2021" spans="1:12">
      <c r="A2021" t="s">
        <v>16308</v>
      </c>
      <c r="B2021" s="1" t="s">
        <v>16309</v>
      </c>
      <c r="D2021">
        <v>1</v>
      </c>
      <c r="G2021" t="str">
        <f>HYPERLINK("http://babel.hathitrust.org/cgi/pt?id=mdp.39015009210579")</f>
        <v>http://babel.hathitrust.org/cgi/pt?id=mdp.39015009210579</v>
      </c>
      <c r="H2021" t="str">
        <f>HYPERLINK("http://catalog.hathitrust.org/Record/001441516")</f>
        <v>http://catalog.hathitrust.org/Record/001441516</v>
      </c>
      <c r="J2021" s="1">
        <v>1918</v>
      </c>
      <c r="K2021" t="s">
        <v>16310</v>
      </c>
      <c r="L2021" t="s">
        <v>16311</v>
      </c>
    </row>
    <row r="2022" spans="1:12">
      <c r="A2022" t="s">
        <v>16312</v>
      </c>
      <c r="B2022" s="1" t="s">
        <v>16309</v>
      </c>
      <c r="F2022">
        <v>1</v>
      </c>
      <c r="G2022" t="str">
        <f>HYPERLINK("http://babel.hathitrust.org/cgi/pt?id=mdp.39015011702365")</f>
        <v>http://babel.hathitrust.org/cgi/pt?id=mdp.39015011702365</v>
      </c>
      <c r="H2022" t="str">
        <f>HYPERLINK("http://catalog.hathitrust.org/Record/001441516")</f>
        <v>http://catalog.hathitrust.org/Record/001441516</v>
      </c>
      <c r="J2022" s="1">
        <v>1918</v>
      </c>
      <c r="K2022" t="s">
        <v>16310</v>
      </c>
      <c r="L2022" t="s">
        <v>16311</v>
      </c>
    </row>
    <row r="2023" spans="1:12">
      <c r="A2023" t="s">
        <v>16313</v>
      </c>
      <c r="B2023" s="1" t="s">
        <v>16309</v>
      </c>
      <c r="F2023">
        <v>1</v>
      </c>
      <c r="G2023" t="str">
        <f>HYPERLINK("http://babel.hathitrust.org/cgi/pt?id=mdp.39015066078315")</f>
        <v>http://babel.hathitrust.org/cgi/pt?id=mdp.39015066078315</v>
      </c>
      <c r="H2023" t="str">
        <f>HYPERLINK("http://catalog.hathitrust.org/Record/001441516")</f>
        <v>http://catalog.hathitrust.org/Record/001441516</v>
      </c>
      <c r="J2023" s="1">
        <v>1918</v>
      </c>
      <c r="K2023" t="s">
        <v>16310</v>
      </c>
      <c r="L2023" t="s">
        <v>16311</v>
      </c>
    </row>
    <row r="2024" spans="1:12">
      <c r="A2024" t="s">
        <v>16314</v>
      </c>
      <c r="B2024" s="1" t="s">
        <v>16309</v>
      </c>
      <c r="F2024">
        <v>1</v>
      </c>
      <c r="G2024" t="str">
        <f>HYPERLINK("http://babel.hathitrust.org/cgi/pt?id=uc2.ark:/13960/t7vm44n49")</f>
        <v>http://babel.hathitrust.org/cgi/pt?id=uc2.ark:/13960/t7vm44n49</v>
      </c>
      <c r="H2024" t="str">
        <f>HYPERLINK("http://catalog.hathitrust.org/Record/001441516")</f>
        <v>http://catalog.hathitrust.org/Record/001441516</v>
      </c>
      <c r="J2024" s="1">
        <v>1918</v>
      </c>
      <c r="K2024" t="s">
        <v>16310</v>
      </c>
      <c r="L2024" t="s">
        <v>16311</v>
      </c>
    </row>
    <row r="2025" spans="1:12">
      <c r="A2025" t="s">
        <v>16315</v>
      </c>
      <c r="B2025" s="1" t="s">
        <v>16316</v>
      </c>
      <c r="D2025">
        <v>1</v>
      </c>
      <c r="G2025" t="str">
        <f>HYPERLINK("http://babel.hathitrust.org/cgi/pt?id=mdp.39015030934874")</f>
        <v>http://babel.hathitrust.org/cgi/pt?id=mdp.39015030934874</v>
      </c>
      <c r="H2025" t="str">
        <f>HYPERLINK("http://catalog.hathitrust.org/Record/001441517")</f>
        <v>http://catalog.hathitrust.org/Record/001441517</v>
      </c>
      <c r="J2025" s="1">
        <v>1874</v>
      </c>
      <c r="K2025" t="s">
        <v>16317</v>
      </c>
      <c r="L2025" t="s">
        <v>16318</v>
      </c>
    </row>
    <row r="2026" spans="1:12">
      <c r="A2026" t="s">
        <v>16319</v>
      </c>
      <c r="B2026" s="1" t="s">
        <v>16320</v>
      </c>
      <c r="D2026">
        <v>1</v>
      </c>
      <c r="E2026">
        <v>1</v>
      </c>
      <c r="G2026" t="str">
        <f>HYPERLINK("http://babel.hathitrust.org/cgi/pt?id=mdp.39015005354660")</f>
        <v>http://babel.hathitrust.org/cgi/pt?id=mdp.39015005354660</v>
      </c>
      <c r="H2026" t="str">
        <f>HYPERLINK("http://catalog.hathitrust.org/Record/001441518")</f>
        <v>http://catalog.hathitrust.org/Record/001441518</v>
      </c>
      <c r="J2026" s="1">
        <v>1908</v>
      </c>
      <c r="K2026" t="s">
        <v>16321</v>
      </c>
      <c r="L2026" t="s">
        <v>20605</v>
      </c>
    </row>
    <row r="2027" spans="1:12">
      <c r="A2027" t="s">
        <v>16322</v>
      </c>
      <c r="B2027" s="1" t="s">
        <v>16323</v>
      </c>
      <c r="D2027">
        <v>1</v>
      </c>
      <c r="G2027" t="str">
        <f>HYPERLINK("http://babel.hathitrust.org/cgi/pt?id=mdp.39015070460178")</f>
        <v>http://babel.hathitrust.org/cgi/pt?id=mdp.39015070460178</v>
      </c>
      <c r="H2027" t="str">
        <f>HYPERLINK("http://catalog.hathitrust.org/Record/001441519")</f>
        <v>http://catalog.hathitrust.org/Record/001441519</v>
      </c>
      <c r="J2027" s="1">
        <v>1913</v>
      </c>
      <c r="K2027" t="s">
        <v>16324</v>
      </c>
      <c r="L2027" t="s">
        <v>16325</v>
      </c>
    </row>
    <row r="2028" spans="1:12">
      <c r="A2028" t="s">
        <v>16326</v>
      </c>
      <c r="B2028" s="1" t="s">
        <v>16327</v>
      </c>
      <c r="D2028">
        <v>1</v>
      </c>
      <c r="G2028" t="str">
        <f>HYPERLINK("http://babel.hathitrust.org/cgi/pt?id=mdp.39015030934858")</f>
        <v>http://babel.hathitrust.org/cgi/pt?id=mdp.39015030934858</v>
      </c>
      <c r="H2028" t="str">
        <f>HYPERLINK("http://catalog.hathitrust.org/Record/001441520")</f>
        <v>http://catalog.hathitrust.org/Record/001441520</v>
      </c>
      <c r="J2028" s="1">
        <v>1918</v>
      </c>
      <c r="K2028" t="s">
        <v>16328</v>
      </c>
      <c r="L2028" t="s">
        <v>16329</v>
      </c>
    </row>
    <row r="2029" spans="1:12">
      <c r="A2029" t="s">
        <v>16330</v>
      </c>
      <c r="B2029" s="1" t="s">
        <v>16327</v>
      </c>
      <c r="F2029">
        <v>1</v>
      </c>
      <c r="G2029" t="str">
        <f>HYPERLINK("http://babel.hathitrust.org/cgi/pt?id=uc1.b4095516")</f>
        <v>http://babel.hathitrust.org/cgi/pt?id=uc1.b4095516</v>
      </c>
      <c r="H2029" t="str">
        <f>HYPERLINK("http://catalog.hathitrust.org/Record/001441520")</f>
        <v>http://catalog.hathitrust.org/Record/001441520</v>
      </c>
      <c r="J2029" s="1">
        <v>1918</v>
      </c>
      <c r="K2029" t="s">
        <v>16328</v>
      </c>
      <c r="L2029" t="s">
        <v>16329</v>
      </c>
    </row>
    <row r="2030" spans="1:12">
      <c r="A2030" t="s">
        <v>16331</v>
      </c>
      <c r="B2030" s="1" t="s">
        <v>16327</v>
      </c>
      <c r="F2030">
        <v>1</v>
      </c>
      <c r="G2030" t="str">
        <f>HYPERLINK("http://babel.hathitrust.org/cgi/pt?id=uc2.ark:/13960/t50g3tr1d")</f>
        <v>http://babel.hathitrust.org/cgi/pt?id=uc2.ark:/13960/t50g3tr1d</v>
      </c>
      <c r="H2030" t="str">
        <f>HYPERLINK("http://catalog.hathitrust.org/Record/001441520")</f>
        <v>http://catalog.hathitrust.org/Record/001441520</v>
      </c>
      <c r="J2030" s="1">
        <v>1918</v>
      </c>
      <c r="K2030" t="s">
        <v>16328</v>
      </c>
      <c r="L2030" t="s">
        <v>16329</v>
      </c>
    </row>
    <row r="2031" spans="1:12">
      <c r="A2031" t="s">
        <v>16332</v>
      </c>
      <c r="B2031" s="1" t="s">
        <v>16333</v>
      </c>
      <c r="F2031">
        <v>1</v>
      </c>
      <c r="G2031" t="str">
        <f>HYPERLINK("http://babel.hathitrust.org/cgi/pt?id=uc1.32106008364470")</f>
        <v>http://babel.hathitrust.org/cgi/pt?id=uc1.32106008364470</v>
      </c>
      <c r="H2031" t="str">
        <f>HYPERLINK("http://catalog.hathitrust.org/Record/001441522")</f>
        <v>http://catalog.hathitrust.org/Record/001441522</v>
      </c>
      <c r="J2031" s="1">
        <v>1954</v>
      </c>
      <c r="K2031" t="s">
        <v>16334</v>
      </c>
      <c r="L2031" t="s">
        <v>16335</v>
      </c>
    </row>
    <row r="2032" spans="1:12">
      <c r="A2032" t="s">
        <v>16336</v>
      </c>
      <c r="B2032" s="1" t="s">
        <v>16337</v>
      </c>
      <c r="E2032">
        <v>1</v>
      </c>
      <c r="G2032" t="str">
        <f>HYPERLINK("http://babel.hathitrust.org/cgi/pt?id=mdp.39015012903160")</f>
        <v>http://babel.hathitrust.org/cgi/pt?id=mdp.39015012903160</v>
      </c>
      <c r="H2032" t="str">
        <f>HYPERLINK("http://catalog.hathitrust.org/Record/001441524")</f>
        <v>http://catalog.hathitrust.org/Record/001441524</v>
      </c>
      <c r="J2032" s="1">
        <v>1911</v>
      </c>
      <c r="K2032" t="s">
        <v>16338</v>
      </c>
      <c r="L2032" t="s">
        <v>16339</v>
      </c>
    </row>
    <row r="2033" spans="1:12">
      <c r="A2033" t="s">
        <v>16340</v>
      </c>
      <c r="B2033" s="1" t="s">
        <v>16341</v>
      </c>
      <c r="F2033">
        <v>1</v>
      </c>
      <c r="G2033" t="str">
        <f>HYPERLINK("http://babel.hathitrust.org/cgi/pt?id=mdp.39015021951309")</f>
        <v>http://babel.hathitrust.org/cgi/pt?id=mdp.39015021951309</v>
      </c>
      <c r="H2033" t="str">
        <f>HYPERLINK("http://catalog.hathitrust.org/Record/001441526")</f>
        <v>http://catalog.hathitrust.org/Record/001441526</v>
      </c>
      <c r="J2033" s="1">
        <v>1922</v>
      </c>
      <c r="K2033" t="s">
        <v>16342</v>
      </c>
      <c r="L2033" t="s">
        <v>16343</v>
      </c>
    </row>
    <row r="2034" spans="1:12">
      <c r="A2034" t="s">
        <v>16344</v>
      </c>
      <c r="B2034" s="1" t="s">
        <v>16341</v>
      </c>
      <c r="F2034">
        <v>1</v>
      </c>
      <c r="G2034" t="str">
        <f>HYPERLINK("http://babel.hathitrust.org/cgi/pt?id=nyp.33433074840160")</f>
        <v>http://babel.hathitrust.org/cgi/pt?id=nyp.33433074840160</v>
      </c>
      <c r="H2034" t="str">
        <f>HYPERLINK("http://catalog.hathitrust.org/Record/001441526")</f>
        <v>http://catalog.hathitrust.org/Record/001441526</v>
      </c>
      <c r="J2034" s="1">
        <v>1922</v>
      </c>
      <c r="K2034" t="s">
        <v>16342</v>
      </c>
      <c r="L2034" t="s">
        <v>16343</v>
      </c>
    </row>
    <row r="2035" spans="1:12">
      <c r="A2035" t="s">
        <v>16345</v>
      </c>
      <c r="B2035" s="1" t="s">
        <v>16341</v>
      </c>
      <c r="F2035">
        <v>1</v>
      </c>
      <c r="G2035" t="str">
        <f>HYPERLINK("http://babel.hathitrust.org/cgi/pt?id=uc1.b276177")</f>
        <v>http://babel.hathitrust.org/cgi/pt?id=uc1.b276177</v>
      </c>
      <c r="H2035" t="str">
        <f>HYPERLINK("http://catalog.hathitrust.org/Record/001441526")</f>
        <v>http://catalog.hathitrust.org/Record/001441526</v>
      </c>
      <c r="J2035" s="1">
        <v>1922</v>
      </c>
      <c r="K2035" t="s">
        <v>16342</v>
      </c>
      <c r="L2035" t="s">
        <v>16343</v>
      </c>
    </row>
    <row r="2036" spans="1:12">
      <c r="A2036" t="s">
        <v>16219</v>
      </c>
      <c r="B2036" s="1" t="s">
        <v>16341</v>
      </c>
      <c r="F2036">
        <v>1</v>
      </c>
      <c r="G2036" t="str">
        <f>HYPERLINK("http://babel.hathitrust.org/cgi/pt?id=uc2.ark:/13960/t0sq8tc7f")</f>
        <v>http://babel.hathitrust.org/cgi/pt?id=uc2.ark:/13960/t0sq8tc7f</v>
      </c>
      <c r="H2036" t="str">
        <f>HYPERLINK("http://catalog.hathitrust.org/Record/001441526")</f>
        <v>http://catalog.hathitrust.org/Record/001441526</v>
      </c>
      <c r="J2036" s="1">
        <v>1922</v>
      </c>
      <c r="K2036" t="s">
        <v>16342</v>
      </c>
      <c r="L2036" t="s">
        <v>16343</v>
      </c>
    </row>
    <row r="2037" spans="1:12">
      <c r="A2037" t="s">
        <v>16220</v>
      </c>
      <c r="B2037" s="1" t="s">
        <v>16221</v>
      </c>
      <c r="D2037">
        <v>1</v>
      </c>
      <c r="G2037" t="str">
        <f>HYPERLINK("http://babel.hathitrust.org/cgi/pt?id=mdp.39015010849225")</f>
        <v>http://babel.hathitrust.org/cgi/pt?id=mdp.39015010849225</v>
      </c>
      <c r="H2037" t="str">
        <f>HYPERLINK("http://catalog.hathitrust.org/Record/001441527")</f>
        <v>http://catalog.hathitrust.org/Record/001441527</v>
      </c>
      <c r="J2037" s="1">
        <v>1920</v>
      </c>
      <c r="K2037" t="s">
        <v>16222</v>
      </c>
      <c r="L2037" t="s">
        <v>16223</v>
      </c>
    </row>
    <row r="2038" spans="1:12">
      <c r="A2038" t="s">
        <v>16224</v>
      </c>
      <c r="B2038" s="1" t="s">
        <v>16225</v>
      </c>
      <c r="D2038">
        <v>1</v>
      </c>
      <c r="G2038" t="str">
        <f>HYPERLINK("http://babel.hathitrust.org/cgi/pt?id=mdp.39015008735113")</f>
        <v>http://babel.hathitrust.org/cgi/pt?id=mdp.39015008735113</v>
      </c>
      <c r="H2038" t="str">
        <f>HYPERLINK("http://catalog.hathitrust.org/Record/001441529")</f>
        <v>http://catalog.hathitrust.org/Record/001441529</v>
      </c>
      <c r="J2038" s="1">
        <v>1906</v>
      </c>
      <c r="K2038" t="s">
        <v>16226</v>
      </c>
      <c r="L2038" t="s">
        <v>19745</v>
      </c>
    </row>
    <row r="2039" spans="1:12">
      <c r="A2039" t="s">
        <v>16227</v>
      </c>
      <c r="B2039" s="1" t="s">
        <v>16228</v>
      </c>
      <c r="D2039">
        <v>1</v>
      </c>
      <c r="G2039" t="str">
        <f>HYPERLINK("http://babel.hathitrust.org/cgi/pt?id=mdp.39015051652652")</f>
        <v>http://babel.hathitrust.org/cgi/pt?id=mdp.39015051652652</v>
      </c>
      <c r="H2039" t="str">
        <f>HYPERLINK("http://catalog.hathitrust.org/Record/001441530")</f>
        <v>http://catalog.hathitrust.org/Record/001441530</v>
      </c>
      <c r="J2039" s="1">
        <v>1914</v>
      </c>
      <c r="K2039" t="s">
        <v>16229</v>
      </c>
      <c r="L2039" t="s">
        <v>19749</v>
      </c>
    </row>
    <row r="2040" spans="1:12">
      <c r="A2040" t="s">
        <v>16230</v>
      </c>
      <c r="B2040" s="1" t="s">
        <v>16231</v>
      </c>
      <c r="D2040">
        <v>1</v>
      </c>
      <c r="G2040" t="str">
        <f>HYPERLINK("http://babel.hathitrust.org/cgi/pt?id=mdp.39015005264695")</f>
        <v>http://babel.hathitrust.org/cgi/pt?id=mdp.39015005264695</v>
      </c>
      <c r="H2040" t="str">
        <f>HYPERLINK("http://catalog.hathitrust.org/Record/001441531")</f>
        <v>http://catalog.hathitrust.org/Record/001441531</v>
      </c>
      <c r="J2040" s="1">
        <v>1901</v>
      </c>
      <c r="K2040" t="s">
        <v>16232</v>
      </c>
      <c r="L2040" t="s">
        <v>16233</v>
      </c>
    </row>
    <row r="2041" spans="1:12">
      <c r="A2041" t="s">
        <v>16234</v>
      </c>
      <c r="B2041" s="1" t="s">
        <v>16235</v>
      </c>
      <c r="D2041">
        <v>1</v>
      </c>
      <c r="G2041" t="str">
        <f>HYPERLINK("http://babel.hathitrust.org/cgi/pt?id=mdp.39015030934767")</f>
        <v>http://babel.hathitrust.org/cgi/pt?id=mdp.39015030934767</v>
      </c>
      <c r="H2041" t="str">
        <f>HYPERLINK("http://catalog.hathitrust.org/Record/001441533")</f>
        <v>http://catalog.hathitrust.org/Record/001441533</v>
      </c>
      <c r="J2041" s="1">
        <v>1916</v>
      </c>
      <c r="K2041" t="s">
        <v>16236</v>
      </c>
      <c r="L2041" t="s">
        <v>16237</v>
      </c>
    </row>
    <row r="2042" spans="1:12">
      <c r="A2042" t="s">
        <v>16238</v>
      </c>
      <c r="B2042" s="1" t="s">
        <v>16235</v>
      </c>
      <c r="F2042">
        <v>1</v>
      </c>
      <c r="G2042" t="str">
        <f>HYPERLINK("http://babel.hathitrust.org/cgi/pt?id=uc2.ark:/13960/t1gh9d71k")</f>
        <v>http://babel.hathitrust.org/cgi/pt?id=uc2.ark:/13960/t1gh9d71k</v>
      </c>
      <c r="H2042" t="str">
        <f>HYPERLINK("http://catalog.hathitrust.org/Record/001441533")</f>
        <v>http://catalog.hathitrust.org/Record/001441533</v>
      </c>
      <c r="J2042" s="1">
        <v>1916</v>
      </c>
      <c r="K2042" t="s">
        <v>16236</v>
      </c>
      <c r="L2042" t="s">
        <v>16237</v>
      </c>
    </row>
    <row r="2043" spans="1:12">
      <c r="A2043" t="s">
        <v>16239</v>
      </c>
      <c r="B2043" s="1" t="s">
        <v>16240</v>
      </c>
      <c r="D2043">
        <v>1</v>
      </c>
      <c r="G2043" t="str">
        <f>HYPERLINK("http://babel.hathitrust.org/cgi/pt?id=njp.32101072898230")</f>
        <v>http://babel.hathitrust.org/cgi/pt?id=njp.32101072898230</v>
      </c>
      <c r="H2043" t="str">
        <f>HYPERLINK("http://catalog.hathitrust.org/Record/001441534")</f>
        <v>http://catalog.hathitrust.org/Record/001441534</v>
      </c>
      <c r="J2043" s="1">
        <v>1921</v>
      </c>
      <c r="K2043" t="s">
        <v>16241</v>
      </c>
      <c r="L2043" t="s">
        <v>20615</v>
      </c>
    </row>
    <row r="2044" spans="1:12">
      <c r="A2044" t="s">
        <v>16242</v>
      </c>
      <c r="B2044" s="1" t="s">
        <v>16243</v>
      </c>
      <c r="D2044">
        <v>1</v>
      </c>
      <c r="G2044" t="str">
        <f>HYPERLINK("http://babel.hathitrust.org/cgi/pt?id=mdp.39015010437179")</f>
        <v>http://babel.hathitrust.org/cgi/pt?id=mdp.39015010437179</v>
      </c>
      <c r="H2044" t="str">
        <f>HYPERLINK("http://catalog.hathitrust.org/Record/001441536")</f>
        <v>http://catalog.hathitrust.org/Record/001441536</v>
      </c>
      <c r="J2044" s="1">
        <v>1916</v>
      </c>
      <c r="K2044" t="s">
        <v>16244</v>
      </c>
      <c r="L2044" t="s">
        <v>16245</v>
      </c>
    </row>
    <row r="2045" spans="1:12">
      <c r="A2045" t="s">
        <v>16246</v>
      </c>
      <c r="B2045" s="1" t="s">
        <v>16247</v>
      </c>
      <c r="D2045">
        <v>1</v>
      </c>
      <c r="G2045" t="str">
        <f>HYPERLINK("http://babel.hathitrust.org/cgi/pt?id=mdp.39015014574241")</f>
        <v>http://babel.hathitrust.org/cgi/pt?id=mdp.39015014574241</v>
      </c>
      <c r="H2045" t="str">
        <f>HYPERLINK("http://catalog.hathitrust.org/Record/001441537")</f>
        <v>http://catalog.hathitrust.org/Record/001441537</v>
      </c>
      <c r="J2045" s="1">
        <v>1917</v>
      </c>
      <c r="K2045" t="s">
        <v>16244</v>
      </c>
      <c r="L2045" t="s">
        <v>16245</v>
      </c>
    </row>
    <row r="2046" spans="1:12">
      <c r="A2046" t="s">
        <v>16248</v>
      </c>
      <c r="B2046" s="1" t="s">
        <v>16249</v>
      </c>
      <c r="D2046">
        <v>1</v>
      </c>
      <c r="G2046" t="str">
        <f>HYPERLINK("http://babel.hathitrust.org/cgi/pt?id=mdp.39015003477794")</f>
        <v>http://babel.hathitrust.org/cgi/pt?id=mdp.39015003477794</v>
      </c>
      <c r="H2046" t="str">
        <f>HYPERLINK("http://catalog.hathitrust.org/Record/001441540")</f>
        <v>http://catalog.hathitrust.org/Record/001441540</v>
      </c>
      <c r="J2046" s="1">
        <v>1912</v>
      </c>
      <c r="K2046" t="s">
        <v>16250</v>
      </c>
      <c r="L2046" t="s">
        <v>19690</v>
      </c>
    </row>
    <row r="2047" spans="1:12">
      <c r="A2047" t="s">
        <v>16251</v>
      </c>
      <c r="B2047" s="1" t="s">
        <v>16249</v>
      </c>
      <c r="F2047">
        <v>1</v>
      </c>
      <c r="G2047" t="str">
        <f>HYPERLINK("http://babel.hathitrust.org/cgi/pt?id=mdp.39015008241476")</f>
        <v>http://babel.hathitrust.org/cgi/pt?id=mdp.39015008241476</v>
      </c>
      <c r="H2047" t="str">
        <f>HYPERLINK("http://catalog.hathitrust.org/Record/001441540")</f>
        <v>http://catalog.hathitrust.org/Record/001441540</v>
      </c>
      <c r="J2047" s="1">
        <v>1912</v>
      </c>
      <c r="K2047" t="s">
        <v>16250</v>
      </c>
      <c r="L2047" t="s">
        <v>19690</v>
      </c>
    </row>
    <row r="2048" spans="1:12">
      <c r="A2048" t="s">
        <v>16252</v>
      </c>
      <c r="B2048" s="1" t="s">
        <v>16249</v>
      </c>
      <c r="F2048">
        <v>1</v>
      </c>
      <c r="G2048" t="str">
        <f>HYPERLINK("http://babel.hathitrust.org/cgi/pt?id=uc2.ark:/13960/t74t6j816")</f>
        <v>http://babel.hathitrust.org/cgi/pt?id=uc2.ark:/13960/t74t6j816</v>
      </c>
      <c r="H2048" t="str">
        <f>HYPERLINK("http://catalog.hathitrust.org/Record/001441540")</f>
        <v>http://catalog.hathitrust.org/Record/001441540</v>
      </c>
      <c r="J2048" s="1">
        <v>1912</v>
      </c>
      <c r="K2048" t="s">
        <v>16250</v>
      </c>
      <c r="L2048" t="s">
        <v>19690</v>
      </c>
    </row>
    <row r="2049" spans="1:12">
      <c r="A2049" t="s">
        <v>16253</v>
      </c>
      <c r="B2049" s="1" t="s">
        <v>16254</v>
      </c>
      <c r="D2049">
        <v>1</v>
      </c>
      <c r="G2049" t="str">
        <f>HYPERLINK("http://babel.hathitrust.org/cgi/pt?id=mdp.39015010540071")</f>
        <v>http://babel.hathitrust.org/cgi/pt?id=mdp.39015010540071</v>
      </c>
      <c r="H2049" t="str">
        <f>HYPERLINK("http://catalog.hathitrust.org/Record/001441544")</f>
        <v>http://catalog.hathitrust.org/Record/001441544</v>
      </c>
      <c r="I2049" s="1" t="s">
        <v>16256</v>
      </c>
      <c r="J2049" s="1">
        <v>1925</v>
      </c>
      <c r="K2049" t="s">
        <v>16255</v>
      </c>
      <c r="L2049" t="s">
        <v>18280</v>
      </c>
    </row>
    <row r="2050" spans="1:12">
      <c r="A2050" t="s">
        <v>16257</v>
      </c>
      <c r="B2050" s="1" t="s">
        <v>16258</v>
      </c>
      <c r="D2050">
        <v>1</v>
      </c>
      <c r="G2050" t="str">
        <f>HYPERLINK("http://babel.hathitrust.org/cgi/pt?id=mdp.39015008891387")</f>
        <v>http://babel.hathitrust.org/cgi/pt?id=mdp.39015008891387</v>
      </c>
      <c r="H2050" t="str">
        <f>HYPERLINK("http://catalog.hathitrust.org/Record/001441546")</f>
        <v>http://catalog.hathitrust.org/Record/001441546</v>
      </c>
      <c r="J2050" s="1">
        <v>1922</v>
      </c>
      <c r="K2050" t="s">
        <v>16259</v>
      </c>
      <c r="L2050" t="s">
        <v>16260</v>
      </c>
    </row>
    <row r="2051" spans="1:12">
      <c r="A2051" t="s">
        <v>16261</v>
      </c>
      <c r="B2051" s="1" t="s">
        <v>16258</v>
      </c>
      <c r="F2051">
        <v>1</v>
      </c>
      <c r="G2051" t="str">
        <f>HYPERLINK("http://babel.hathitrust.org/cgi/pt?id=mdp.39015030934668")</f>
        <v>http://babel.hathitrust.org/cgi/pt?id=mdp.39015030934668</v>
      </c>
      <c r="H2051" t="str">
        <f>HYPERLINK("http://catalog.hathitrust.org/Record/001441546")</f>
        <v>http://catalog.hathitrust.org/Record/001441546</v>
      </c>
      <c r="J2051" s="1">
        <v>1922</v>
      </c>
      <c r="K2051" t="s">
        <v>16259</v>
      </c>
      <c r="L2051" t="s">
        <v>16260</v>
      </c>
    </row>
    <row r="2052" spans="1:12">
      <c r="A2052" t="s">
        <v>16262</v>
      </c>
      <c r="B2052" s="1" t="s">
        <v>16263</v>
      </c>
      <c r="C2052">
        <v>1</v>
      </c>
      <c r="D2052">
        <v>1</v>
      </c>
      <c r="G2052" t="str">
        <f>HYPERLINK("http://babel.hathitrust.org/cgi/pt?id=mdp.39015021952943")</f>
        <v>http://babel.hathitrust.org/cgi/pt?id=mdp.39015021952943</v>
      </c>
      <c r="H2052" t="str">
        <f>HYPERLINK("http://catalog.hathitrust.org/Record/001441549")</f>
        <v>http://catalog.hathitrust.org/Record/001441549</v>
      </c>
      <c r="J2052" s="1">
        <v>1812</v>
      </c>
      <c r="K2052" t="s">
        <v>16264</v>
      </c>
      <c r="L2052" t="s">
        <v>16265</v>
      </c>
    </row>
    <row r="2053" spans="1:12">
      <c r="A2053" t="s">
        <v>16266</v>
      </c>
      <c r="B2053" s="1" t="s">
        <v>16267</v>
      </c>
      <c r="F2053">
        <v>1</v>
      </c>
      <c r="G2053" t="str">
        <f>HYPERLINK("http://babel.hathitrust.org/cgi/pt?id=mdp.39015030934635")</f>
        <v>http://babel.hathitrust.org/cgi/pt?id=mdp.39015030934635</v>
      </c>
      <c r="H2053" t="str">
        <f>HYPERLINK("http://catalog.hathitrust.org/Record/001441551")</f>
        <v>http://catalog.hathitrust.org/Record/001441551</v>
      </c>
      <c r="J2053" s="1">
        <v>1946</v>
      </c>
      <c r="K2053" t="s">
        <v>16268</v>
      </c>
      <c r="L2053" t="s">
        <v>16269</v>
      </c>
    </row>
    <row r="2054" spans="1:12">
      <c r="A2054" t="s">
        <v>16270</v>
      </c>
      <c r="B2054" s="1" t="s">
        <v>16267</v>
      </c>
      <c r="F2054">
        <v>1</v>
      </c>
      <c r="G2054" t="str">
        <f>HYPERLINK("http://babel.hathitrust.org/cgi/pt?id=uc1.b258092")</f>
        <v>http://babel.hathitrust.org/cgi/pt?id=uc1.b258092</v>
      </c>
      <c r="H2054" t="str">
        <f>HYPERLINK("http://catalog.hathitrust.org/Record/001441551")</f>
        <v>http://catalog.hathitrust.org/Record/001441551</v>
      </c>
      <c r="J2054" s="1">
        <v>1946</v>
      </c>
      <c r="K2054" t="s">
        <v>16268</v>
      </c>
      <c r="L2054" t="s">
        <v>16269</v>
      </c>
    </row>
    <row r="2055" spans="1:12">
      <c r="A2055" t="s">
        <v>16271</v>
      </c>
      <c r="B2055" s="1" t="s">
        <v>16272</v>
      </c>
      <c r="F2055">
        <v>1</v>
      </c>
      <c r="G2055" t="str">
        <f>HYPERLINK("http://babel.hathitrust.org/cgi/pt?id=mdp.39015030933363")</f>
        <v>http://babel.hathitrust.org/cgi/pt?id=mdp.39015030933363</v>
      </c>
      <c r="H2055" t="str">
        <f>HYPERLINK("http://catalog.hathitrust.org/Record/001441573")</f>
        <v>http://catalog.hathitrust.org/Record/001441573</v>
      </c>
      <c r="I2055" s="1" t="s">
        <v>20920</v>
      </c>
      <c r="J2055" s="1">
        <v>1900</v>
      </c>
      <c r="K2055" t="s">
        <v>16273</v>
      </c>
    </row>
    <row r="2056" spans="1:12">
      <c r="A2056" t="s">
        <v>16274</v>
      </c>
      <c r="B2056" s="1" t="s">
        <v>16272</v>
      </c>
      <c r="F2056">
        <v>1</v>
      </c>
      <c r="G2056" t="str">
        <f>HYPERLINK("http://babel.hathitrust.org/cgi/pt?id=mdp.39015030933371")</f>
        <v>http://babel.hathitrust.org/cgi/pt?id=mdp.39015030933371</v>
      </c>
      <c r="H2056" t="str">
        <f>HYPERLINK("http://catalog.hathitrust.org/Record/001441573")</f>
        <v>http://catalog.hathitrust.org/Record/001441573</v>
      </c>
      <c r="I2056" s="1" t="s">
        <v>16275</v>
      </c>
      <c r="J2056" s="1">
        <v>1900</v>
      </c>
      <c r="K2056" t="s">
        <v>16273</v>
      </c>
    </row>
    <row r="2057" spans="1:12">
      <c r="A2057" t="s">
        <v>16276</v>
      </c>
      <c r="B2057" s="1" t="s">
        <v>16272</v>
      </c>
      <c r="F2057">
        <v>1</v>
      </c>
      <c r="G2057" t="str">
        <f>HYPERLINK("http://babel.hathitrust.org/cgi/pt?id=uc2.ark:/13960/t53f4r12m")</f>
        <v>http://babel.hathitrust.org/cgi/pt?id=uc2.ark:/13960/t53f4r12m</v>
      </c>
      <c r="H2057" t="str">
        <f>HYPERLINK("http://catalog.hathitrust.org/Record/001441573")</f>
        <v>http://catalog.hathitrust.org/Record/001441573</v>
      </c>
      <c r="I2057" s="1" t="s">
        <v>20755</v>
      </c>
      <c r="J2057" s="1">
        <v>1900</v>
      </c>
      <c r="K2057" t="s">
        <v>16273</v>
      </c>
    </row>
    <row r="2058" spans="1:12">
      <c r="A2058" t="s">
        <v>16277</v>
      </c>
      <c r="B2058" s="1" t="s">
        <v>16272</v>
      </c>
      <c r="F2058">
        <v>1</v>
      </c>
      <c r="G2058" t="str">
        <f>HYPERLINK("http://babel.hathitrust.org/cgi/pt?id=wu.89099894990")</f>
        <v>http://babel.hathitrust.org/cgi/pt?id=wu.89099894990</v>
      </c>
      <c r="H2058" t="str">
        <f>HYPERLINK("http://catalog.hathitrust.org/Record/001441573")</f>
        <v>http://catalog.hathitrust.org/Record/001441573</v>
      </c>
      <c r="I2058" s="1" t="s">
        <v>20755</v>
      </c>
      <c r="J2058" s="1">
        <v>1900</v>
      </c>
      <c r="K2058" t="s">
        <v>16273</v>
      </c>
    </row>
    <row r="2059" spans="1:12">
      <c r="A2059" t="s">
        <v>16278</v>
      </c>
      <c r="B2059" s="1" t="s">
        <v>16170</v>
      </c>
      <c r="F2059">
        <v>1</v>
      </c>
      <c r="G2059" t="str">
        <f>HYPERLINK("http://babel.hathitrust.org/cgi/pt?id=mdp.39015028549585")</f>
        <v>http://babel.hathitrust.org/cgi/pt?id=mdp.39015028549585</v>
      </c>
      <c r="H2059" t="str">
        <f>HYPERLINK("http://catalog.hathitrust.org/Record/001441603")</f>
        <v>http://catalog.hathitrust.org/Record/001441603</v>
      </c>
      <c r="J2059" s="1">
        <v>1913</v>
      </c>
      <c r="K2059" t="s">
        <v>16171</v>
      </c>
      <c r="L2059" t="s">
        <v>16172</v>
      </c>
    </row>
    <row r="2060" spans="1:12">
      <c r="A2060" t="s">
        <v>16173</v>
      </c>
      <c r="B2060" s="1" t="s">
        <v>16170</v>
      </c>
      <c r="F2060">
        <v>1</v>
      </c>
      <c r="G2060" t="str">
        <f>HYPERLINK("http://babel.hathitrust.org/cgi/pt?id=uc1.b265805")</f>
        <v>http://babel.hathitrust.org/cgi/pt?id=uc1.b265805</v>
      </c>
      <c r="H2060" t="str">
        <f>HYPERLINK("http://catalog.hathitrust.org/Record/001441603")</f>
        <v>http://catalog.hathitrust.org/Record/001441603</v>
      </c>
      <c r="J2060" s="1">
        <v>1913</v>
      </c>
      <c r="K2060" t="s">
        <v>16171</v>
      </c>
      <c r="L2060" t="s">
        <v>16172</v>
      </c>
    </row>
    <row r="2061" spans="1:12">
      <c r="A2061" t="s">
        <v>16174</v>
      </c>
      <c r="B2061" s="1" t="s">
        <v>16170</v>
      </c>
      <c r="F2061">
        <v>1</v>
      </c>
      <c r="G2061" t="str">
        <f>HYPERLINK("http://babel.hathitrust.org/cgi/pt?id=uc2.ark:/13960/t58c9v37x")</f>
        <v>http://babel.hathitrust.org/cgi/pt?id=uc2.ark:/13960/t58c9v37x</v>
      </c>
      <c r="H2061" t="str">
        <f>HYPERLINK("http://catalog.hathitrust.org/Record/001441603")</f>
        <v>http://catalog.hathitrust.org/Record/001441603</v>
      </c>
      <c r="J2061" s="1">
        <v>1913</v>
      </c>
      <c r="K2061" t="s">
        <v>16171</v>
      </c>
      <c r="L2061" t="s">
        <v>16172</v>
      </c>
    </row>
    <row r="2062" spans="1:12">
      <c r="A2062" t="s">
        <v>16175</v>
      </c>
      <c r="B2062" s="1" t="s">
        <v>16176</v>
      </c>
      <c r="E2062">
        <v>1</v>
      </c>
      <c r="G2062" t="str">
        <f>HYPERLINK("http://babel.hathitrust.org/cgi/pt?id=mdp.39015030933454")</f>
        <v>http://babel.hathitrust.org/cgi/pt?id=mdp.39015030933454</v>
      </c>
      <c r="H2062" t="str">
        <f>HYPERLINK("http://catalog.hathitrust.org/Record/001441605")</f>
        <v>http://catalog.hathitrust.org/Record/001441605</v>
      </c>
      <c r="J2062" s="1">
        <v>1906</v>
      </c>
      <c r="K2062" t="s">
        <v>16177</v>
      </c>
      <c r="L2062" t="s">
        <v>16178</v>
      </c>
    </row>
    <row r="2063" spans="1:12">
      <c r="A2063" t="s">
        <v>16179</v>
      </c>
      <c r="B2063" s="1" t="s">
        <v>16180</v>
      </c>
      <c r="F2063">
        <v>1</v>
      </c>
      <c r="G2063" t="str">
        <f>HYPERLINK("http://babel.hathitrust.org/cgi/pt?id=mdp.39015016924006")</f>
        <v>http://babel.hathitrust.org/cgi/pt?id=mdp.39015016924006</v>
      </c>
      <c r="H2063" t="str">
        <f>HYPERLINK("http://catalog.hathitrust.org/Record/001441616")</f>
        <v>http://catalog.hathitrust.org/Record/001441616</v>
      </c>
      <c r="J2063" s="1">
        <v>1918</v>
      </c>
      <c r="K2063" t="s">
        <v>16181</v>
      </c>
      <c r="L2063" t="s">
        <v>16182</v>
      </c>
    </row>
    <row r="2064" spans="1:12">
      <c r="A2064" t="s">
        <v>16183</v>
      </c>
      <c r="B2064" s="1" t="s">
        <v>16184</v>
      </c>
      <c r="E2064">
        <v>1</v>
      </c>
      <c r="G2064" t="str">
        <f>HYPERLINK("http://babel.hathitrust.org/cgi/pt?id=loc.ark:/13960/t2w38gn2r")</f>
        <v>http://babel.hathitrust.org/cgi/pt?id=loc.ark:/13960/t2w38gn2r</v>
      </c>
      <c r="H2064" t="str">
        <f>HYPERLINK("http://catalog.hathitrust.org/Record/001441815")</f>
        <v>http://catalog.hathitrust.org/Record/001441815</v>
      </c>
      <c r="J2064" s="1">
        <v>1919</v>
      </c>
      <c r="K2064" t="s">
        <v>16185</v>
      </c>
      <c r="L2064" t="s">
        <v>16186</v>
      </c>
    </row>
    <row r="2065" spans="1:12">
      <c r="A2065" t="s">
        <v>16187</v>
      </c>
      <c r="B2065" s="1" t="s">
        <v>16188</v>
      </c>
      <c r="F2065">
        <v>1</v>
      </c>
      <c r="G2065" t="str">
        <f>HYPERLINK("http://babel.hathitrust.org/cgi/pt?id=coo.31924013355650")</f>
        <v>http://babel.hathitrust.org/cgi/pt?id=coo.31924013355650</v>
      </c>
      <c r="H2065" t="str">
        <f>HYPERLINK("http://catalog.hathitrust.org/Record/001441869")</f>
        <v>http://catalog.hathitrust.org/Record/001441869</v>
      </c>
      <c r="J2065" s="1">
        <v>1922</v>
      </c>
      <c r="K2065" t="s">
        <v>16189</v>
      </c>
      <c r="L2065" t="s">
        <v>16190</v>
      </c>
    </row>
    <row r="2066" spans="1:12">
      <c r="A2066" t="s">
        <v>16191</v>
      </c>
      <c r="B2066" s="1" t="s">
        <v>16188</v>
      </c>
      <c r="F2066">
        <v>1</v>
      </c>
      <c r="G2066" t="str">
        <f>HYPERLINK("http://babel.hathitrust.org/cgi/pt?id=mdp.39015013269827")</f>
        <v>http://babel.hathitrust.org/cgi/pt?id=mdp.39015013269827</v>
      </c>
      <c r="H2066" t="str">
        <f>HYPERLINK("http://catalog.hathitrust.org/Record/001441869")</f>
        <v>http://catalog.hathitrust.org/Record/001441869</v>
      </c>
      <c r="J2066" s="1">
        <v>1922</v>
      </c>
      <c r="K2066" t="s">
        <v>16189</v>
      </c>
      <c r="L2066" t="s">
        <v>16190</v>
      </c>
    </row>
    <row r="2067" spans="1:12">
      <c r="A2067" t="s">
        <v>16192</v>
      </c>
      <c r="B2067" s="1" t="s">
        <v>16188</v>
      </c>
      <c r="F2067">
        <v>1</v>
      </c>
      <c r="G2067" t="str">
        <f>HYPERLINK("http://babel.hathitrust.org/cgi/pt?id=mdp.39015030932399")</f>
        <v>http://babel.hathitrust.org/cgi/pt?id=mdp.39015030932399</v>
      </c>
      <c r="H2067" t="str">
        <f>HYPERLINK("http://catalog.hathitrust.org/Record/001441869")</f>
        <v>http://catalog.hathitrust.org/Record/001441869</v>
      </c>
      <c r="J2067" s="1">
        <v>1922</v>
      </c>
      <c r="K2067" t="s">
        <v>16189</v>
      </c>
      <c r="L2067" t="s">
        <v>16190</v>
      </c>
    </row>
    <row r="2068" spans="1:12">
      <c r="A2068" t="s">
        <v>16193</v>
      </c>
      <c r="B2068" s="1" t="s">
        <v>16194</v>
      </c>
      <c r="D2068">
        <v>1</v>
      </c>
      <c r="G2068" t="str">
        <f>HYPERLINK("http://babel.hathitrust.org/cgi/pt?id=uc1.b36063")</f>
        <v>http://babel.hathitrust.org/cgi/pt?id=uc1.b36063</v>
      </c>
      <c r="H2068" t="str">
        <f>HYPERLINK("http://catalog.hathitrust.org/Record/001443871")</f>
        <v>http://catalog.hathitrust.org/Record/001443871</v>
      </c>
      <c r="I2068" s="1" t="s">
        <v>20799</v>
      </c>
      <c r="J2068" s="1">
        <v>1887</v>
      </c>
      <c r="K2068" t="s">
        <v>16195</v>
      </c>
      <c r="L2068" t="s">
        <v>16196</v>
      </c>
    </row>
    <row r="2069" spans="1:12">
      <c r="A2069" t="s">
        <v>16197</v>
      </c>
      <c r="B2069" s="1" t="s">
        <v>16194</v>
      </c>
      <c r="D2069">
        <v>1</v>
      </c>
      <c r="G2069" t="str">
        <f>HYPERLINK("http://babel.hathitrust.org/cgi/pt?id=uc2.ark:/13960/t5n874r9b")</f>
        <v>http://babel.hathitrust.org/cgi/pt?id=uc2.ark:/13960/t5n874r9b</v>
      </c>
      <c r="H2069" t="str">
        <f>HYPERLINK("http://catalog.hathitrust.org/Record/001443871")</f>
        <v>http://catalog.hathitrust.org/Record/001443871</v>
      </c>
      <c r="I2069" s="1" t="s">
        <v>20796</v>
      </c>
      <c r="J2069" s="1">
        <v>1887</v>
      </c>
      <c r="K2069" t="s">
        <v>16195</v>
      </c>
      <c r="L2069" t="s">
        <v>16196</v>
      </c>
    </row>
    <row r="2070" spans="1:12">
      <c r="A2070" t="s">
        <v>16198</v>
      </c>
      <c r="B2070" s="1" t="s">
        <v>16199</v>
      </c>
      <c r="E2070">
        <v>1</v>
      </c>
      <c r="G2070" t="str">
        <f>HYPERLINK("http://babel.hathitrust.org/cgi/pt?id=hvd.32044029536984")</f>
        <v>http://babel.hathitrust.org/cgi/pt?id=hvd.32044029536984</v>
      </c>
      <c r="H2070" t="str">
        <f>HYPERLINK("http://catalog.hathitrust.org/Record/001449167")</f>
        <v>http://catalog.hathitrust.org/Record/001449167</v>
      </c>
      <c r="J2070" s="1">
        <v>1853</v>
      </c>
      <c r="K2070" t="s">
        <v>16200</v>
      </c>
      <c r="L2070" t="s">
        <v>16201</v>
      </c>
    </row>
    <row r="2071" spans="1:12">
      <c r="A2071" t="s">
        <v>16202</v>
      </c>
      <c r="B2071" s="1" t="s">
        <v>16203</v>
      </c>
      <c r="F2071">
        <v>1</v>
      </c>
      <c r="G2071" t="str">
        <f>HYPERLINK("http://babel.hathitrust.org/cgi/pt?id=mdp.39015046788439")</f>
        <v>http://babel.hathitrust.org/cgi/pt?id=mdp.39015046788439</v>
      </c>
      <c r="H2071" t="str">
        <f>HYPERLINK("http://catalog.hathitrust.org/Record/001449850")</f>
        <v>http://catalog.hathitrust.org/Record/001449850</v>
      </c>
      <c r="J2071" s="1">
        <v>1934</v>
      </c>
      <c r="K2071" t="s">
        <v>16204</v>
      </c>
      <c r="L2071" t="s">
        <v>16205</v>
      </c>
    </row>
    <row r="2072" spans="1:12">
      <c r="A2072" t="s">
        <v>16206</v>
      </c>
      <c r="B2072" s="1" t="s">
        <v>16203</v>
      </c>
      <c r="F2072">
        <v>1</v>
      </c>
      <c r="G2072" t="str">
        <f>HYPERLINK("http://babel.hathitrust.org/cgi/pt?id=uc1.b114056")</f>
        <v>http://babel.hathitrust.org/cgi/pt?id=uc1.b114056</v>
      </c>
      <c r="H2072" t="str">
        <f>HYPERLINK("http://catalog.hathitrust.org/Record/001449850")</f>
        <v>http://catalog.hathitrust.org/Record/001449850</v>
      </c>
      <c r="J2072" s="1">
        <v>1934</v>
      </c>
      <c r="K2072" t="s">
        <v>16204</v>
      </c>
      <c r="L2072" t="s">
        <v>16205</v>
      </c>
    </row>
    <row r="2073" spans="1:12">
      <c r="A2073" t="s">
        <v>16207</v>
      </c>
      <c r="B2073" s="1" t="s">
        <v>16208</v>
      </c>
      <c r="F2073">
        <v>1</v>
      </c>
      <c r="G2073" t="str">
        <f>HYPERLINK("http://babel.hathitrust.org/cgi/pt?id=mdp.39015069284670")</f>
        <v>http://babel.hathitrust.org/cgi/pt?id=mdp.39015069284670</v>
      </c>
      <c r="H2073" t="str">
        <f>HYPERLINK("http://catalog.hathitrust.org/Record/001449993")</f>
        <v>http://catalog.hathitrust.org/Record/001449993</v>
      </c>
      <c r="J2073" s="1">
        <v>1834</v>
      </c>
      <c r="K2073" t="s">
        <v>16209</v>
      </c>
      <c r="L2073" t="s">
        <v>16210</v>
      </c>
    </row>
    <row r="2074" spans="1:12">
      <c r="A2074" t="s">
        <v>16211</v>
      </c>
      <c r="B2074" s="1" t="s">
        <v>16212</v>
      </c>
      <c r="F2074">
        <v>1</v>
      </c>
      <c r="G2074" t="str">
        <f>HYPERLINK("http://babel.hathitrust.org/cgi/pt?id=miun.age3247.0001.001")</f>
        <v>http://babel.hathitrust.org/cgi/pt?id=miun.age3247.0001.001</v>
      </c>
      <c r="H2074" t="str">
        <f>HYPERLINK("http://catalog.hathitrust.org/Record/001451744")</f>
        <v>http://catalog.hathitrust.org/Record/001451744</v>
      </c>
      <c r="J2074" s="1">
        <v>1859</v>
      </c>
      <c r="K2074" t="s">
        <v>16213</v>
      </c>
    </row>
    <row r="2075" spans="1:12">
      <c r="A2075" t="s">
        <v>16214</v>
      </c>
      <c r="B2075" s="1" t="s">
        <v>16215</v>
      </c>
      <c r="F2075">
        <v>1</v>
      </c>
      <c r="G2075" t="str">
        <f>HYPERLINK("http://babel.hathitrust.org/cgi/pt?id=uc2.ark:/13960/t2g73r88s")</f>
        <v>http://babel.hathitrust.org/cgi/pt?id=uc2.ark:/13960/t2g73r88s</v>
      </c>
      <c r="H2075" t="str">
        <f>HYPERLINK("http://catalog.hathitrust.org/Record/001453737")</f>
        <v>http://catalog.hathitrust.org/Record/001453737</v>
      </c>
      <c r="J2075" s="1">
        <v>1778</v>
      </c>
      <c r="K2075" t="s">
        <v>16216</v>
      </c>
      <c r="L2075" t="s">
        <v>20275</v>
      </c>
    </row>
    <row r="2076" spans="1:12">
      <c r="A2076" t="s">
        <v>16217</v>
      </c>
      <c r="B2076" s="1" t="s">
        <v>16218</v>
      </c>
      <c r="E2076">
        <v>1</v>
      </c>
      <c r="G2076" t="str">
        <f>HYPERLINK("http://babel.hathitrust.org/cgi/pt?id=inu.39000005918987")</f>
        <v>http://babel.hathitrust.org/cgi/pt?id=inu.39000005918987</v>
      </c>
      <c r="H2076" t="str">
        <f>HYPERLINK("http://catalog.hathitrust.org/Record/001459062")</f>
        <v>http://catalog.hathitrust.org/Record/001459062</v>
      </c>
      <c r="J2076" s="1">
        <v>1893</v>
      </c>
      <c r="K2076" t="s">
        <v>16111</v>
      </c>
      <c r="L2076" t="s">
        <v>16112</v>
      </c>
    </row>
    <row r="2077" spans="1:12">
      <c r="A2077" t="s">
        <v>16113</v>
      </c>
      <c r="B2077" s="1" t="s">
        <v>16114</v>
      </c>
      <c r="F2077">
        <v>1</v>
      </c>
      <c r="G2077" t="str">
        <f>HYPERLINK("http://babel.hathitrust.org/cgi/pt?id=mdp.39015070645125")</f>
        <v>http://babel.hathitrust.org/cgi/pt?id=mdp.39015070645125</v>
      </c>
      <c r="H2077" t="str">
        <f>HYPERLINK("http://catalog.hathitrust.org/Record/001461299")</f>
        <v>http://catalog.hathitrust.org/Record/001461299</v>
      </c>
      <c r="J2077" s="1">
        <v>1771</v>
      </c>
      <c r="K2077" t="s">
        <v>16115</v>
      </c>
      <c r="L2077" t="s">
        <v>16919</v>
      </c>
    </row>
    <row r="2078" spans="1:12">
      <c r="A2078" t="s">
        <v>16116</v>
      </c>
      <c r="B2078" s="1" t="s">
        <v>16117</v>
      </c>
      <c r="F2078">
        <v>1</v>
      </c>
      <c r="G2078" t="str">
        <f>HYPERLINK("http://babel.hathitrust.org/cgi/pt?id=mdp.39015009699383")</f>
        <v>http://babel.hathitrust.org/cgi/pt?id=mdp.39015009699383</v>
      </c>
      <c r="H2078" t="str">
        <f>HYPERLINK("http://catalog.hathitrust.org/Record/001461350")</f>
        <v>http://catalog.hathitrust.org/Record/001461350</v>
      </c>
      <c r="J2078" s="1">
        <v>1926</v>
      </c>
      <c r="K2078" t="s">
        <v>16118</v>
      </c>
      <c r="L2078" t="s">
        <v>16119</v>
      </c>
    </row>
    <row r="2079" spans="1:12">
      <c r="A2079" t="s">
        <v>16120</v>
      </c>
      <c r="B2079" s="1" t="s">
        <v>16121</v>
      </c>
      <c r="F2079">
        <v>1</v>
      </c>
      <c r="G2079" t="str">
        <f>HYPERLINK("http://babel.hathitrust.org/cgi/pt?id=mdp.39015011393025")</f>
        <v>http://babel.hathitrust.org/cgi/pt?id=mdp.39015011393025</v>
      </c>
      <c r="H2079" t="str">
        <f>HYPERLINK("http://catalog.hathitrust.org/Record/001461921")</f>
        <v>http://catalog.hathitrust.org/Record/001461921</v>
      </c>
      <c r="J2079" s="1">
        <v>1833</v>
      </c>
      <c r="K2079" t="s">
        <v>16122</v>
      </c>
    </row>
    <row r="2080" spans="1:12">
      <c r="A2080" t="s">
        <v>16123</v>
      </c>
      <c r="B2080" s="1" t="s">
        <v>16124</v>
      </c>
      <c r="E2080">
        <v>1</v>
      </c>
      <c r="F2080">
        <v>1</v>
      </c>
      <c r="G2080" t="str">
        <f>HYPERLINK("http://babel.hathitrust.org/cgi/pt?id=uc2.ark:/13960/t16m3ct7z")</f>
        <v>http://babel.hathitrust.org/cgi/pt?id=uc2.ark:/13960/t16m3ct7z</v>
      </c>
      <c r="H2080" t="str">
        <f>HYPERLINK("http://catalog.hathitrust.org/Record/001462844")</f>
        <v>http://catalog.hathitrust.org/Record/001462844</v>
      </c>
      <c r="J2080" s="1">
        <v>1867</v>
      </c>
      <c r="K2080" t="s">
        <v>16125</v>
      </c>
      <c r="L2080" t="s">
        <v>20629</v>
      </c>
    </row>
    <row r="2081" spans="1:12">
      <c r="A2081" t="s">
        <v>16126</v>
      </c>
      <c r="B2081" s="1" t="s">
        <v>16127</v>
      </c>
      <c r="F2081">
        <v>1</v>
      </c>
      <c r="G2081" t="str">
        <f>HYPERLINK("http://babel.hathitrust.org/cgi/pt?id=mdp.39015055278959")</f>
        <v>http://babel.hathitrust.org/cgi/pt?id=mdp.39015055278959</v>
      </c>
      <c r="H2081" t="str">
        <f>HYPERLINK("http://catalog.hathitrust.org/Record/001462963")</f>
        <v>http://catalog.hathitrust.org/Record/001462963</v>
      </c>
      <c r="J2081" s="1">
        <v>1962</v>
      </c>
      <c r="K2081" t="s">
        <v>16128</v>
      </c>
    </row>
    <row r="2082" spans="1:12">
      <c r="A2082" t="s">
        <v>16129</v>
      </c>
      <c r="B2082" s="1" t="s">
        <v>16130</v>
      </c>
      <c r="F2082">
        <v>1</v>
      </c>
      <c r="G2082" t="str">
        <f>HYPERLINK("http://babel.hathitrust.org/cgi/pt?id=mdp.39015010220161")</f>
        <v>http://babel.hathitrust.org/cgi/pt?id=mdp.39015010220161</v>
      </c>
      <c r="H2082" t="str">
        <f>HYPERLINK("http://catalog.hathitrust.org/Record/001462971")</f>
        <v>http://catalog.hathitrust.org/Record/001462971</v>
      </c>
      <c r="J2082" s="1">
        <v>1909</v>
      </c>
      <c r="K2082" t="s">
        <v>16131</v>
      </c>
      <c r="L2082" t="s">
        <v>17190</v>
      </c>
    </row>
    <row r="2083" spans="1:12">
      <c r="A2083" t="s">
        <v>16132</v>
      </c>
      <c r="B2083" s="1" t="s">
        <v>16130</v>
      </c>
      <c r="F2083">
        <v>1</v>
      </c>
      <c r="G2083" t="str">
        <f>HYPERLINK("http://babel.hathitrust.org/cgi/pt?id=uc2.ark:/13960/t43r1141g")</f>
        <v>http://babel.hathitrust.org/cgi/pt?id=uc2.ark:/13960/t43r1141g</v>
      </c>
      <c r="H2083" t="str">
        <f>HYPERLINK("http://catalog.hathitrust.org/Record/001462971")</f>
        <v>http://catalog.hathitrust.org/Record/001462971</v>
      </c>
      <c r="J2083" s="1">
        <v>1909</v>
      </c>
      <c r="K2083" t="s">
        <v>16131</v>
      </c>
      <c r="L2083" t="s">
        <v>17190</v>
      </c>
    </row>
    <row r="2084" spans="1:12">
      <c r="A2084" t="s">
        <v>16133</v>
      </c>
      <c r="B2084" s="1" t="s">
        <v>16134</v>
      </c>
      <c r="F2084">
        <v>1</v>
      </c>
      <c r="G2084" t="str">
        <f>HYPERLINK("http://babel.hathitrust.org/cgi/pt?id=mdp.39015031107785")</f>
        <v>http://babel.hathitrust.org/cgi/pt?id=mdp.39015031107785</v>
      </c>
      <c r="H2084" t="str">
        <f>HYPERLINK("http://catalog.hathitrust.org/Record/001462977")</f>
        <v>http://catalog.hathitrust.org/Record/001462977</v>
      </c>
      <c r="J2084" s="1">
        <v>1918</v>
      </c>
      <c r="K2084" t="s">
        <v>16135</v>
      </c>
      <c r="L2084" t="s">
        <v>16136</v>
      </c>
    </row>
    <row r="2085" spans="1:12">
      <c r="A2085" t="s">
        <v>16137</v>
      </c>
      <c r="B2085" s="1" t="s">
        <v>16138</v>
      </c>
      <c r="D2085">
        <v>1</v>
      </c>
      <c r="G2085" t="str">
        <f>HYPERLINK("http://babel.hathitrust.org/cgi/pt?id=mdp.39015031012894")</f>
        <v>http://babel.hathitrust.org/cgi/pt?id=mdp.39015031012894</v>
      </c>
      <c r="H2085" t="str">
        <f>HYPERLINK("http://catalog.hathitrust.org/Record/001463084")</f>
        <v>http://catalog.hathitrust.org/Record/001463084</v>
      </c>
      <c r="J2085" s="1">
        <v>1889</v>
      </c>
      <c r="K2085" t="s">
        <v>16139</v>
      </c>
      <c r="L2085" t="s">
        <v>17734</v>
      </c>
    </row>
    <row r="2086" spans="1:12">
      <c r="A2086" t="s">
        <v>16140</v>
      </c>
      <c r="B2086" s="1" t="s">
        <v>16141</v>
      </c>
      <c r="F2086">
        <v>1</v>
      </c>
      <c r="G2086" t="str">
        <f>HYPERLINK("http://babel.hathitrust.org/cgi/pt?id=mdp.39015031012308")</f>
        <v>http://babel.hathitrust.org/cgi/pt?id=mdp.39015031012308</v>
      </c>
      <c r="H2086" t="str">
        <f>HYPERLINK("http://catalog.hathitrust.org/Record/001463107")</f>
        <v>http://catalog.hathitrust.org/Record/001463107</v>
      </c>
      <c r="J2086" s="1">
        <v>1911</v>
      </c>
      <c r="K2086" t="s">
        <v>16142</v>
      </c>
      <c r="L2086" t="s">
        <v>19118</v>
      </c>
    </row>
    <row r="2087" spans="1:12">
      <c r="A2087" t="s">
        <v>16143</v>
      </c>
      <c r="B2087" s="1" t="s">
        <v>16141</v>
      </c>
      <c r="F2087">
        <v>1</v>
      </c>
      <c r="G2087" t="str">
        <f>HYPERLINK("http://babel.hathitrust.org/cgi/pt?id=pst.000001925388")</f>
        <v>http://babel.hathitrust.org/cgi/pt?id=pst.000001925388</v>
      </c>
      <c r="H2087" t="str">
        <f>HYPERLINK("http://catalog.hathitrust.org/Record/001463107")</f>
        <v>http://catalog.hathitrust.org/Record/001463107</v>
      </c>
      <c r="J2087" s="1">
        <v>1911</v>
      </c>
      <c r="K2087" t="s">
        <v>16142</v>
      </c>
      <c r="L2087" t="s">
        <v>19118</v>
      </c>
    </row>
    <row r="2088" spans="1:12">
      <c r="A2088" t="s">
        <v>16144</v>
      </c>
      <c r="B2088" s="1" t="s">
        <v>16141</v>
      </c>
      <c r="F2088">
        <v>1</v>
      </c>
      <c r="G2088" t="str">
        <f>HYPERLINK("http://babel.hathitrust.org/cgi/pt?id=uc1.b3130521")</f>
        <v>http://babel.hathitrust.org/cgi/pt?id=uc1.b3130521</v>
      </c>
      <c r="H2088" t="str">
        <f>HYPERLINK("http://catalog.hathitrust.org/Record/001463107")</f>
        <v>http://catalog.hathitrust.org/Record/001463107</v>
      </c>
      <c r="J2088" s="1">
        <v>1911</v>
      </c>
      <c r="K2088" t="s">
        <v>16142</v>
      </c>
      <c r="L2088" t="s">
        <v>19118</v>
      </c>
    </row>
    <row r="2089" spans="1:12">
      <c r="A2089" t="s">
        <v>16145</v>
      </c>
      <c r="B2089" s="1" t="s">
        <v>16146</v>
      </c>
      <c r="F2089">
        <v>1</v>
      </c>
      <c r="G2089" t="str">
        <f>HYPERLINK("http://babel.hathitrust.org/cgi/pt?id=mdp.39015004957190")</f>
        <v>http://babel.hathitrust.org/cgi/pt?id=mdp.39015004957190</v>
      </c>
      <c r="H2089" t="str">
        <f>HYPERLINK("http://catalog.hathitrust.org/Record/001463108")</f>
        <v>http://catalog.hathitrust.org/Record/001463108</v>
      </c>
      <c r="J2089" s="1">
        <v>1909</v>
      </c>
      <c r="K2089" t="s">
        <v>16147</v>
      </c>
      <c r="L2089" t="s">
        <v>19375</v>
      </c>
    </row>
    <row r="2090" spans="1:12">
      <c r="A2090" t="s">
        <v>16148</v>
      </c>
      <c r="B2090" s="1" t="s">
        <v>16149</v>
      </c>
      <c r="F2090">
        <v>1</v>
      </c>
      <c r="G2090" t="str">
        <f>HYPERLINK("http://babel.hathitrust.org/cgi/pt?id=mdp.39015031012399")</f>
        <v>http://babel.hathitrust.org/cgi/pt?id=mdp.39015031012399</v>
      </c>
      <c r="H2090" t="str">
        <f t="shared" ref="H2090:H2095" si="36">HYPERLINK("http://catalog.hathitrust.org/Record/001463112")</f>
        <v>http://catalog.hathitrust.org/Record/001463112</v>
      </c>
      <c r="I2090" s="1" t="s">
        <v>20916</v>
      </c>
      <c r="J2090" s="1">
        <v>1896</v>
      </c>
      <c r="K2090" t="s">
        <v>16150</v>
      </c>
      <c r="L2090" t="s">
        <v>16151</v>
      </c>
    </row>
    <row r="2091" spans="1:12">
      <c r="A2091" t="s">
        <v>16152</v>
      </c>
      <c r="B2091" s="1" t="s">
        <v>16149</v>
      </c>
      <c r="F2091">
        <v>1</v>
      </c>
      <c r="G2091" t="str">
        <f>HYPERLINK("http://babel.hathitrust.org/cgi/pt?id=mdp.39015031012407")</f>
        <v>http://babel.hathitrust.org/cgi/pt?id=mdp.39015031012407</v>
      </c>
      <c r="H2091" t="str">
        <f t="shared" si="36"/>
        <v>http://catalog.hathitrust.org/Record/001463112</v>
      </c>
      <c r="I2091" s="1" t="s">
        <v>20755</v>
      </c>
      <c r="J2091" s="1">
        <v>1896</v>
      </c>
      <c r="K2091" t="s">
        <v>16150</v>
      </c>
      <c r="L2091" t="s">
        <v>16151</v>
      </c>
    </row>
    <row r="2092" spans="1:12">
      <c r="A2092" t="s">
        <v>16153</v>
      </c>
      <c r="B2092" s="1" t="s">
        <v>16149</v>
      </c>
      <c r="F2092">
        <v>1</v>
      </c>
      <c r="G2092" t="str">
        <f>HYPERLINK("http://babel.hathitrust.org/cgi/pt?id=nyp.33433082503834")</f>
        <v>http://babel.hathitrust.org/cgi/pt?id=nyp.33433082503834</v>
      </c>
      <c r="H2092" t="str">
        <f t="shared" si="36"/>
        <v>http://catalog.hathitrust.org/Record/001463112</v>
      </c>
      <c r="I2092" s="1" t="s">
        <v>16154</v>
      </c>
      <c r="J2092" s="1">
        <v>1896</v>
      </c>
      <c r="K2092" t="s">
        <v>16150</v>
      </c>
      <c r="L2092" t="s">
        <v>16151</v>
      </c>
    </row>
    <row r="2093" spans="1:12">
      <c r="A2093" t="s">
        <v>16155</v>
      </c>
      <c r="B2093" s="1" t="s">
        <v>16149</v>
      </c>
      <c r="F2093">
        <v>1</v>
      </c>
      <c r="G2093" t="str">
        <f>HYPERLINK("http://babel.hathitrust.org/cgi/pt?id=nyp.33433082518444")</f>
        <v>http://babel.hathitrust.org/cgi/pt?id=nyp.33433082518444</v>
      </c>
      <c r="H2093" t="str">
        <f t="shared" si="36"/>
        <v>http://catalog.hathitrust.org/Record/001463112</v>
      </c>
      <c r="I2093" s="1" t="s">
        <v>16156</v>
      </c>
      <c r="J2093" s="1">
        <v>1896</v>
      </c>
      <c r="K2093" t="s">
        <v>16150</v>
      </c>
      <c r="L2093" t="s">
        <v>16151</v>
      </c>
    </row>
    <row r="2094" spans="1:12">
      <c r="A2094" t="s">
        <v>16157</v>
      </c>
      <c r="B2094" s="1" t="s">
        <v>16149</v>
      </c>
      <c r="F2094">
        <v>1</v>
      </c>
      <c r="G2094" t="str">
        <f>HYPERLINK("http://babel.hathitrust.org/cgi/pt?id=uc1.b258165")</f>
        <v>http://babel.hathitrust.org/cgi/pt?id=uc1.b258165</v>
      </c>
      <c r="H2094" t="str">
        <f t="shared" si="36"/>
        <v>http://catalog.hathitrust.org/Record/001463112</v>
      </c>
      <c r="I2094" s="1" t="s">
        <v>20796</v>
      </c>
      <c r="J2094" s="1">
        <v>1896</v>
      </c>
      <c r="K2094" t="s">
        <v>16150</v>
      </c>
      <c r="L2094" t="s">
        <v>16151</v>
      </c>
    </row>
    <row r="2095" spans="1:12">
      <c r="A2095" t="s">
        <v>16158</v>
      </c>
      <c r="B2095" s="1" t="s">
        <v>16149</v>
      </c>
      <c r="F2095">
        <v>1</v>
      </c>
      <c r="G2095" t="str">
        <f>HYPERLINK("http://babel.hathitrust.org/cgi/pt?id=uc1.b258166")</f>
        <v>http://babel.hathitrust.org/cgi/pt?id=uc1.b258166</v>
      </c>
      <c r="H2095" t="str">
        <f t="shared" si="36"/>
        <v>http://catalog.hathitrust.org/Record/001463112</v>
      </c>
      <c r="I2095" s="1" t="s">
        <v>20799</v>
      </c>
      <c r="J2095" s="1">
        <v>1896</v>
      </c>
      <c r="K2095" t="s">
        <v>16150</v>
      </c>
      <c r="L2095" t="s">
        <v>16151</v>
      </c>
    </row>
    <row r="2096" spans="1:12">
      <c r="A2096" t="s">
        <v>16159</v>
      </c>
      <c r="B2096" s="1" t="s">
        <v>16160</v>
      </c>
      <c r="F2096">
        <v>1</v>
      </c>
      <c r="G2096" t="str">
        <f>HYPERLINK("http://babel.hathitrust.org/cgi/pt?id=mdp.39015010297391")</f>
        <v>http://babel.hathitrust.org/cgi/pt?id=mdp.39015010297391</v>
      </c>
      <c r="H2096" t="str">
        <f>HYPERLINK("http://catalog.hathitrust.org/Record/001463115")</f>
        <v>http://catalog.hathitrust.org/Record/001463115</v>
      </c>
      <c r="I2096" s="1" t="s">
        <v>20916</v>
      </c>
      <c r="J2096" s="1">
        <v>1812</v>
      </c>
      <c r="K2096" t="s">
        <v>16161</v>
      </c>
      <c r="L2096" t="s">
        <v>19694</v>
      </c>
    </row>
    <row r="2097" spans="1:12">
      <c r="A2097" t="s">
        <v>16162</v>
      </c>
      <c r="B2097" s="1" t="s">
        <v>16160</v>
      </c>
      <c r="F2097">
        <v>1</v>
      </c>
      <c r="G2097" t="str">
        <f>HYPERLINK("http://babel.hathitrust.org/cgi/pt?id=mdp.39015012837038")</f>
        <v>http://babel.hathitrust.org/cgi/pt?id=mdp.39015012837038</v>
      </c>
      <c r="H2097" t="str">
        <f>HYPERLINK("http://catalog.hathitrust.org/Record/001463115")</f>
        <v>http://catalog.hathitrust.org/Record/001463115</v>
      </c>
      <c r="I2097" s="1" t="s">
        <v>20755</v>
      </c>
      <c r="J2097" s="1">
        <v>1812</v>
      </c>
      <c r="K2097" t="s">
        <v>16161</v>
      </c>
      <c r="L2097" t="s">
        <v>19694</v>
      </c>
    </row>
    <row r="2098" spans="1:12">
      <c r="A2098" t="s">
        <v>16163</v>
      </c>
      <c r="B2098" s="1" t="s">
        <v>16160</v>
      </c>
      <c r="F2098">
        <v>1</v>
      </c>
      <c r="G2098" t="str">
        <f>HYPERLINK("http://babel.hathitrust.org/cgi/pt?id=mdp.39015012838226")</f>
        <v>http://babel.hathitrust.org/cgi/pt?id=mdp.39015012838226</v>
      </c>
      <c r="H2098" t="str">
        <f>HYPERLINK("http://catalog.hathitrust.org/Record/001463115")</f>
        <v>http://catalog.hathitrust.org/Record/001463115</v>
      </c>
      <c r="I2098" s="1" t="s">
        <v>20920</v>
      </c>
      <c r="J2098" s="1">
        <v>1812</v>
      </c>
      <c r="K2098" t="s">
        <v>16161</v>
      </c>
      <c r="L2098" t="s">
        <v>19694</v>
      </c>
    </row>
    <row r="2099" spans="1:12">
      <c r="A2099" t="s">
        <v>16164</v>
      </c>
      <c r="B2099" s="1" t="s">
        <v>16165</v>
      </c>
      <c r="F2099">
        <v>1</v>
      </c>
      <c r="G2099" t="str">
        <f>HYPERLINK("http://babel.hathitrust.org/cgi/pt?id=miun.agf5049.0001.001")</f>
        <v>http://babel.hathitrust.org/cgi/pt?id=miun.agf5049.0001.001</v>
      </c>
      <c r="H2099" t="str">
        <f>HYPERLINK("http://catalog.hathitrust.org/Record/001463116")</f>
        <v>http://catalog.hathitrust.org/Record/001463116</v>
      </c>
      <c r="J2099" s="1">
        <v>1867</v>
      </c>
      <c r="K2099" t="s">
        <v>16166</v>
      </c>
      <c r="L2099" t="s">
        <v>16167</v>
      </c>
    </row>
    <row r="2100" spans="1:12">
      <c r="A2100" t="s">
        <v>16168</v>
      </c>
      <c r="B2100" s="1" t="s">
        <v>16169</v>
      </c>
      <c r="F2100">
        <v>1</v>
      </c>
      <c r="G2100" t="str">
        <f>HYPERLINK("http://babel.hathitrust.org/cgi/pt?id=hvd.32044102769759")</f>
        <v>http://babel.hathitrust.org/cgi/pt?id=hvd.32044102769759</v>
      </c>
      <c r="H2100" t="str">
        <f>HYPERLINK("http://catalog.hathitrust.org/Record/001463159")</f>
        <v>http://catalog.hathitrust.org/Record/001463159</v>
      </c>
      <c r="J2100" s="1">
        <v>1871</v>
      </c>
      <c r="K2100" t="s">
        <v>16038</v>
      </c>
      <c r="L2100" t="s">
        <v>16039</v>
      </c>
    </row>
    <row r="2101" spans="1:12">
      <c r="A2101" t="s">
        <v>16040</v>
      </c>
      <c r="B2101" s="1" t="s">
        <v>16169</v>
      </c>
      <c r="F2101">
        <v>1</v>
      </c>
      <c r="G2101" t="str">
        <f>HYPERLINK("http://babel.hathitrust.org/cgi/pt?id=mdp.39015002160524")</f>
        <v>http://babel.hathitrust.org/cgi/pt?id=mdp.39015002160524</v>
      </c>
      <c r="H2101" t="str">
        <f>HYPERLINK("http://catalog.hathitrust.org/Record/001463159")</f>
        <v>http://catalog.hathitrust.org/Record/001463159</v>
      </c>
      <c r="J2101" s="1">
        <v>1871</v>
      </c>
      <c r="K2101" t="s">
        <v>16038</v>
      </c>
      <c r="L2101" t="s">
        <v>16039</v>
      </c>
    </row>
    <row r="2102" spans="1:12">
      <c r="A2102" t="s">
        <v>16041</v>
      </c>
      <c r="B2102" s="1" t="s">
        <v>16042</v>
      </c>
      <c r="D2102">
        <v>1</v>
      </c>
      <c r="G2102" t="str">
        <f>HYPERLINK("http://babel.hathitrust.org/cgi/pt?id=dul1.ark:/13960/t5w67998k")</f>
        <v>http://babel.hathitrust.org/cgi/pt?id=dul1.ark:/13960/t5w67998k</v>
      </c>
      <c r="H2102" t="str">
        <f>HYPERLINK("http://catalog.hathitrust.org/Record/001463161")</f>
        <v>http://catalog.hathitrust.org/Record/001463161</v>
      </c>
      <c r="J2102" s="1">
        <v>1909</v>
      </c>
      <c r="K2102" t="s">
        <v>16043</v>
      </c>
      <c r="L2102" t="s">
        <v>19727</v>
      </c>
    </row>
    <row r="2103" spans="1:12">
      <c r="A2103" t="s">
        <v>16044</v>
      </c>
      <c r="B2103" s="1" t="s">
        <v>16042</v>
      </c>
      <c r="F2103">
        <v>1</v>
      </c>
      <c r="G2103" t="str">
        <f>HYPERLINK("http://babel.hathitrust.org/cgi/pt?id=mdp.39015005250066")</f>
        <v>http://babel.hathitrust.org/cgi/pt?id=mdp.39015005250066</v>
      </c>
      <c r="H2103" t="str">
        <f>HYPERLINK("http://catalog.hathitrust.org/Record/001463161")</f>
        <v>http://catalog.hathitrust.org/Record/001463161</v>
      </c>
      <c r="J2103" s="1">
        <v>1909</v>
      </c>
      <c r="K2103" t="s">
        <v>16043</v>
      </c>
      <c r="L2103" t="s">
        <v>19727</v>
      </c>
    </row>
    <row r="2104" spans="1:12">
      <c r="A2104" t="s">
        <v>16045</v>
      </c>
      <c r="B2104" s="1" t="s">
        <v>16046</v>
      </c>
      <c r="D2104">
        <v>1</v>
      </c>
      <c r="G2104" t="str">
        <f>HYPERLINK("http://babel.hathitrust.org/cgi/pt?id=mdp.39015022469087")</f>
        <v>http://babel.hathitrust.org/cgi/pt?id=mdp.39015022469087</v>
      </c>
      <c r="H2104" t="str">
        <f>HYPERLINK("http://catalog.hathitrust.org/Record/001463202")</f>
        <v>http://catalog.hathitrust.org/Record/001463202</v>
      </c>
      <c r="J2104" s="1">
        <v>1738</v>
      </c>
      <c r="K2104" t="s">
        <v>16047</v>
      </c>
      <c r="L2104" t="s">
        <v>16048</v>
      </c>
    </row>
    <row r="2105" spans="1:12">
      <c r="A2105" t="s">
        <v>16049</v>
      </c>
      <c r="B2105" s="1" t="s">
        <v>16050</v>
      </c>
      <c r="F2105">
        <v>1</v>
      </c>
      <c r="G2105" t="str">
        <f>HYPERLINK("http://babel.hathitrust.org/cgi/pt?id=mdp.39015003936732")</f>
        <v>http://babel.hathitrust.org/cgi/pt?id=mdp.39015003936732</v>
      </c>
      <c r="H2105" t="str">
        <f>HYPERLINK("http://catalog.hathitrust.org/Record/001463493")</f>
        <v>http://catalog.hathitrust.org/Record/001463493</v>
      </c>
      <c r="J2105" s="1">
        <v>1932</v>
      </c>
      <c r="K2105" t="s">
        <v>16051</v>
      </c>
      <c r="L2105" t="s">
        <v>16052</v>
      </c>
    </row>
    <row r="2106" spans="1:12">
      <c r="A2106" t="s">
        <v>16053</v>
      </c>
      <c r="B2106" s="1" t="s">
        <v>16054</v>
      </c>
      <c r="F2106">
        <v>1</v>
      </c>
      <c r="G2106" t="str">
        <f>HYPERLINK("http://babel.hathitrust.org/cgi/pt?id=mdp.39015003956490")</f>
        <v>http://babel.hathitrust.org/cgi/pt?id=mdp.39015003956490</v>
      </c>
      <c r="H2106" t="str">
        <f>HYPERLINK("http://catalog.hathitrust.org/Record/001463526")</f>
        <v>http://catalog.hathitrust.org/Record/001463526</v>
      </c>
      <c r="J2106" s="1">
        <v>1927</v>
      </c>
      <c r="K2106" t="s">
        <v>16055</v>
      </c>
      <c r="L2106" t="s">
        <v>16056</v>
      </c>
    </row>
    <row r="2107" spans="1:12">
      <c r="A2107" t="s">
        <v>16057</v>
      </c>
      <c r="B2107" s="1" t="s">
        <v>16058</v>
      </c>
      <c r="F2107">
        <v>1</v>
      </c>
      <c r="G2107" t="str">
        <f>HYPERLINK("http://babel.hathitrust.org/cgi/pt?id=mdp.39015030866464")</f>
        <v>http://babel.hathitrust.org/cgi/pt?id=mdp.39015030866464</v>
      </c>
      <c r="H2107" t="str">
        <f>HYPERLINK("http://catalog.hathitrust.org/Record/001463529")</f>
        <v>http://catalog.hathitrust.org/Record/001463529</v>
      </c>
      <c r="J2107" s="1">
        <v>1903</v>
      </c>
      <c r="K2107" t="s">
        <v>16059</v>
      </c>
      <c r="L2107" t="s">
        <v>16060</v>
      </c>
    </row>
    <row r="2108" spans="1:12">
      <c r="A2108" t="s">
        <v>16061</v>
      </c>
      <c r="B2108" s="1" t="s">
        <v>16062</v>
      </c>
      <c r="F2108">
        <v>1</v>
      </c>
      <c r="G2108" t="str">
        <f>HYPERLINK("http://babel.hathitrust.org/cgi/pt?id=mdp.39015003959858")</f>
        <v>http://babel.hathitrust.org/cgi/pt?id=mdp.39015003959858</v>
      </c>
      <c r="H2108" t="str">
        <f>HYPERLINK("http://catalog.hathitrust.org/Record/001463530")</f>
        <v>http://catalog.hathitrust.org/Record/001463530</v>
      </c>
      <c r="J2108" s="1">
        <v>1948</v>
      </c>
      <c r="K2108" t="s">
        <v>16063</v>
      </c>
      <c r="L2108" t="s">
        <v>18538</v>
      </c>
    </row>
    <row r="2109" spans="1:12">
      <c r="A2109" t="s">
        <v>16064</v>
      </c>
      <c r="B2109" s="1" t="s">
        <v>16062</v>
      </c>
      <c r="F2109">
        <v>1</v>
      </c>
      <c r="G2109" t="str">
        <f>HYPERLINK("http://babel.hathitrust.org/cgi/pt?id=mdp.39015046815836")</f>
        <v>http://babel.hathitrust.org/cgi/pt?id=mdp.39015046815836</v>
      </c>
      <c r="H2109" t="str">
        <f>HYPERLINK("http://catalog.hathitrust.org/Record/001463530")</f>
        <v>http://catalog.hathitrust.org/Record/001463530</v>
      </c>
      <c r="J2109" s="1">
        <v>1948</v>
      </c>
      <c r="K2109" t="s">
        <v>16063</v>
      </c>
      <c r="L2109" t="s">
        <v>18538</v>
      </c>
    </row>
    <row r="2110" spans="1:12">
      <c r="A2110" t="s">
        <v>16065</v>
      </c>
      <c r="B2110" s="1" t="s">
        <v>16062</v>
      </c>
      <c r="F2110">
        <v>1</v>
      </c>
      <c r="G2110" t="str">
        <f>HYPERLINK("http://babel.hathitrust.org/cgi/pt?id=uc1.b3553890")</f>
        <v>http://babel.hathitrust.org/cgi/pt?id=uc1.b3553890</v>
      </c>
      <c r="H2110" t="str">
        <f>HYPERLINK("http://catalog.hathitrust.org/Record/001463530")</f>
        <v>http://catalog.hathitrust.org/Record/001463530</v>
      </c>
      <c r="J2110" s="1">
        <v>1948</v>
      </c>
      <c r="K2110" t="s">
        <v>16063</v>
      </c>
      <c r="L2110" t="s">
        <v>18538</v>
      </c>
    </row>
    <row r="2111" spans="1:12">
      <c r="A2111" t="s">
        <v>16066</v>
      </c>
      <c r="B2111" s="1" t="s">
        <v>16067</v>
      </c>
      <c r="F2111">
        <v>1</v>
      </c>
      <c r="G2111" t="str">
        <f>HYPERLINK("http://babel.hathitrust.org/cgi/pt?id=mdp.39015022311388")</f>
        <v>http://babel.hathitrust.org/cgi/pt?id=mdp.39015022311388</v>
      </c>
      <c r="H2111" t="str">
        <f>HYPERLINK("http://catalog.hathitrust.org/Record/001463537")</f>
        <v>http://catalog.hathitrust.org/Record/001463537</v>
      </c>
      <c r="I2111" s="1" t="s">
        <v>20755</v>
      </c>
      <c r="J2111" s="1">
        <v>1912</v>
      </c>
      <c r="K2111" t="s">
        <v>16677</v>
      </c>
      <c r="L2111" t="s">
        <v>16068</v>
      </c>
    </row>
    <row r="2112" spans="1:12">
      <c r="A2112" t="s">
        <v>16069</v>
      </c>
      <c r="B2112" s="1" t="s">
        <v>16067</v>
      </c>
      <c r="F2112">
        <v>1</v>
      </c>
      <c r="G2112" t="str">
        <f>HYPERLINK("http://babel.hathitrust.org/cgi/pt?id=mdp.39015031038915")</f>
        <v>http://babel.hathitrust.org/cgi/pt?id=mdp.39015031038915</v>
      </c>
      <c r="H2112" t="str">
        <f>HYPERLINK("http://catalog.hathitrust.org/Record/001463537")</f>
        <v>http://catalog.hathitrust.org/Record/001463537</v>
      </c>
      <c r="I2112" s="1" t="s">
        <v>16391</v>
      </c>
      <c r="J2112" s="1">
        <v>1912</v>
      </c>
      <c r="K2112" t="s">
        <v>16677</v>
      </c>
      <c r="L2112" t="s">
        <v>16068</v>
      </c>
    </row>
    <row r="2113" spans="1:12">
      <c r="A2113" t="s">
        <v>16070</v>
      </c>
      <c r="B2113" s="1" t="s">
        <v>16071</v>
      </c>
      <c r="E2113">
        <v>1</v>
      </c>
      <c r="G2113" t="str">
        <f>HYPERLINK("http://babel.hathitrust.org/cgi/pt?id=mdp.39015011300327")</f>
        <v>http://babel.hathitrust.org/cgi/pt?id=mdp.39015011300327</v>
      </c>
      <c r="H2113" t="str">
        <f>HYPERLINK("http://catalog.hathitrust.org/Record/001463800")</f>
        <v>http://catalog.hathitrust.org/Record/001463800</v>
      </c>
      <c r="J2113" s="1">
        <v>1920</v>
      </c>
      <c r="K2113" t="s">
        <v>16072</v>
      </c>
      <c r="L2113" t="s">
        <v>16073</v>
      </c>
    </row>
    <row r="2114" spans="1:12">
      <c r="A2114" t="s">
        <v>16074</v>
      </c>
      <c r="B2114" s="1" t="s">
        <v>16075</v>
      </c>
      <c r="F2114">
        <v>1</v>
      </c>
      <c r="G2114" t="str">
        <f>HYPERLINK("http://babel.hathitrust.org/cgi/pt?id=mdp.39015014567781")</f>
        <v>http://babel.hathitrust.org/cgi/pt?id=mdp.39015014567781</v>
      </c>
      <c r="H2114" t="str">
        <f>HYPERLINK("http://catalog.hathitrust.org/Record/001463926")</f>
        <v>http://catalog.hathitrust.org/Record/001463926</v>
      </c>
      <c r="J2114" s="1">
        <v>1892</v>
      </c>
      <c r="K2114" t="s">
        <v>16076</v>
      </c>
      <c r="L2114" t="s">
        <v>20884</v>
      </c>
    </row>
    <row r="2115" spans="1:12">
      <c r="A2115" t="s">
        <v>16077</v>
      </c>
      <c r="B2115" s="1" t="s">
        <v>16078</v>
      </c>
      <c r="F2115">
        <v>1</v>
      </c>
      <c r="G2115" t="str">
        <f>HYPERLINK("http://babel.hathitrust.org/cgi/pt?id=mdp.39015008009220")</f>
        <v>http://babel.hathitrust.org/cgi/pt?id=mdp.39015008009220</v>
      </c>
      <c r="H2115" t="str">
        <f>HYPERLINK("http://catalog.hathitrust.org/Record/001463927")</f>
        <v>http://catalog.hathitrust.org/Record/001463927</v>
      </c>
      <c r="J2115" s="1">
        <v>1879</v>
      </c>
      <c r="K2115" t="s">
        <v>16079</v>
      </c>
      <c r="L2115" t="s">
        <v>16080</v>
      </c>
    </row>
    <row r="2116" spans="1:12">
      <c r="A2116" t="s">
        <v>16081</v>
      </c>
      <c r="B2116" s="1" t="s">
        <v>16078</v>
      </c>
      <c r="F2116">
        <v>1</v>
      </c>
      <c r="G2116" t="str">
        <f>HYPERLINK("http://babel.hathitrust.org/cgi/pt?id=uc1.b29609")</f>
        <v>http://babel.hathitrust.org/cgi/pt?id=uc1.b29609</v>
      </c>
      <c r="H2116" t="str">
        <f>HYPERLINK("http://catalog.hathitrust.org/Record/001463927")</f>
        <v>http://catalog.hathitrust.org/Record/001463927</v>
      </c>
      <c r="J2116" s="1">
        <v>1879</v>
      </c>
      <c r="K2116" t="s">
        <v>16079</v>
      </c>
      <c r="L2116" t="s">
        <v>16080</v>
      </c>
    </row>
    <row r="2117" spans="1:12">
      <c r="A2117" t="s">
        <v>16082</v>
      </c>
      <c r="B2117" s="1" t="s">
        <v>16078</v>
      </c>
      <c r="F2117">
        <v>1</v>
      </c>
      <c r="G2117" t="str">
        <f>HYPERLINK("http://babel.hathitrust.org/cgi/pt?id=uc2.ark:/13960/t12n51d4v")</f>
        <v>http://babel.hathitrust.org/cgi/pt?id=uc2.ark:/13960/t12n51d4v</v>
      </c>
      <c r="H2117" t="str">
        <f>HYPERLINK("http://catalog.hathitrust.org/Record/001463927")</f>
        <v>http://catalog.hathitrust.org/Record/001463927</v>
      </c>
      <c r="J2117" s="1">
        <v>1879</v>
      </c>
      <c r="K2117" t="s">
        <v>16079</v>
      </c>
      <c r="L2117" t="s">
        <v>16080</v>
      </c>
    </row>
    <row r="2118" spans="1:12">
      <c r="A2118" t="s">
        <v>16083</v>
      </c>
      <c r="B2118" s="1" t="s">
        <v>16084</v>
      </c>
      <c r="F2118">
        <v>1</v>
      </c>
      <c r="G2118" t="str">
        <f>HYPERLINK("http://babel.hathitrust.org/cgi/pt?id=mdp.39015046408152")</f>
        <v>http://babel.hathitrust.org/cgi/pt?id=mdp.39015046408152</v>
      </c>
      <c r="H2118" t="str">
        <f>HYPERLINK("http://catalog.hathitrust.org/Record/001463928")</f>
        <v>http://catalog.hathitrust.org/Record/001463928</v>
      </c>
      <c r="J2118" s="1">
        <v>1920</v>
      </c>
      <c r="K2118" t="s">
        <v>18574</v>
      </c>
      <c r="L2118" t="s">
        <v>19718</v>
      </c>
    </row>
    <row r="2119" spans="1:12">
      <c r="A2119" t="s">
        <v>16085</v>
      </c>
      <c r="B2119" s="1" t="s">
        <v>16086</v>
      </c>
      <c r="F2119">
        <v>1</v>
      </c>
      <c r="G2119" t="str">
        <f>HYPERLINK("http://babel.hathitrust.org/cgi/pt?id=mdp.39015009309371")</f>
        <v>http://babel.hathitrust.org/cgi/pt?id=mdp.39015009309371</v>
      </c>
      <c r="H2119" t="str">
        <f>HYPERLINK("http://catalog.hathitrust.org/Record/001463977")</f>
        <v>http://catalog.hathitrust.org/Record/001463977</v>
      </c>
      <c r="J2119" s="1">
        <v>1873</v>
      </c>
      <c r="K2119" t="s">
        <v>16087</v>
      </c>
      <c r="L2119" t="s">
        <v>16088</v>
      </c>
    </row>
    <row r="2120" spans="1:12">
      <c r="A2120" t="s">
        <v>16089</v>
      </c>
      <c r="B2120" s="1" t="s">
        <v>16090</v>
      </c>
      <c r="D2120">
        <v>1</v>
      </c>
      <c r="G2120" t="str">
        <f>HYPERLINK("http://babel.hathitrust.org/cgi/pt?id=mdp.39015030925666")</f>
        <v>http://babel.hathitrust.org/cgi/pt?id=mdp.39015030925666</v>
      </c>
      <c r="H2120" t="str">
        <f>HYPERLINK("http://catalog.hathitrust.org/Record/001463992")</f>
        <v>http://catalog.hathitrust.org/Record/001463992</v>
      </c>
      <c r="J2120" s="1">
        <v>1851</v>
      </c>
      <c r="K2120" t="s">
        <v>16091</v>
      </c>
      <c r="L2120" t="s">
        <v>20043</v>
      </c>
    </row>
    <row r="2121" spans="1:12">
      <c r="A2121" t="s">
        <v>16092</v>
      </c>
      <c r="B2121" s="1" t="s">
        <v>16093</v>
      </c>
      <c r="F2121">
        <v>1</v>
      </c>
      <c r="G2121" t="str">
        <f>HYPERLINK("http://babel.hathitrust.org/cgi/pt?id=mdp.39015030926052")</f>
        <v>http://babel.hathitrust.org/cgi/pt?id=mdp.39015030926052</v>
      </c>
      <c r="H2121" t="str">
        <f>HYPERLINK("http://catalog.hathitrust.org/Record/001464006")</f>
        <v>http://catalog.hathitrust.org/Record/001464006</v>
      </c>
      <c r="J2121" s="1">
        <v>1916</v>
      </c>
      <c r="K2121" t="s">
        <v>16094</v>
      </c>
      <c r="L2121" t="s">
        <v>16095</v>
      </c>
    </row>
    <row r="2122" spans="1:12">
      <c r="A2122" t="s">
        <v>16096</v>
      </c>
      <c r="B2122" s="1" t="s">
        <v>16093</v>
      </c>
      <c r="F2122">
        <v>1</v>
      </c>
      <c r="G2122" t="str">
        <f>HYPERLINK("http://babel.hathitrust.org/cgi/pt?id=nyp.33433069255044")</f>
        <v>http://babel.hathitrust.org/cgi/pt?id=nyp.33433069255044</v>
      </c>
      <c r="H2122" t="str">
        <f>HYPERLINK("http://catalog.hathitrust.org/Record/001464006")</f>
        <v>http://catalog.hathitrust.org/Record/001464006</v>
      </c>
      <c r="J2122" s="1">
        <v>1916</v>
      </c>
      <c r="K2122" t="s">
        <v>16094</v>
      </c>
      <c r="L2122" t="s">
        <v>16095</v>
      </c>
    </row>
    <row r="2123" spans="1:12">
      <c r="A2123" t="s">
        <v>16097</v>
      </c>
      <c r="B2123" s="1" t="s">
        <v>16098</v>
      </c>
      <c r="F2123">
        <v>1</v>
      </c>
      <c r="G2123" t="str">
        <f>HYPERLINK("http://babel.hathitrust.org/cgi/pt?id=mdp.39015005515369")</f>
        <v>http://babel.hathitrust.org/cgi/pt?id=mdp.39015005515369</v>
      </c>
      <c r="H2123" t="str">
        <f>HYPERLINK("http://catalog.hathitrust.org/Record/001464012")</f>
        <v>http://catalog.hathitrust.org/Record/001464012</v>
      </c>
      <c r="J2123" s="1">
        <v>1923</v>
      </c>
      <c r="K2123" t="s">
        <v>16099</v>
      </c>
      <c r="L2123" t="s">
        <v>16100</v>
      </c>
    </row>
    <row r="2124" spans="1:12">
      <c r="A2124" t="s">
        <v>16101</v>
      </c>
      <c r="B2124" s="1" t="s">
        <v>16098</v>
      </c>
      <c r="F2124">
        <v>1</v>
      </c>
      <c r="G2124" t="str">
        <f>HYPERLINK("http://babel.hathitrust.org/cgi/pt?id=uc1.32106001573762")</f>
        <v>http://babel.hathitrust.org/cgi/pt?id=uc1.32106001573762</v>
      </c>
      <c r="H2124" t="str">
        <f>HYPERLINK("http://catalog.hathitrust.org/Record/001464012")</f>
        <v>http://catalog.hathitrust.org/Record/001464012</v>
      </c>
      <c r="J2124" s="1">
        <v>1923</v>
      </c>
      <c r="K2124" t="s">
        <v>16099</v>
      </c>
      <c r="L2124" t="s">
        <v>16100</v>
      </c>
    </row>
    <row r="2125" spans="1:12">
      <c r="A2125" t="s">
        <v>16102</v>
      </c>
      <c r="B2125" s="1" t="s">
        <v>16098</v>
      </c>
      <c r="F2125">
        <v>1</v>
      </c>
      <c r="G2125" t="str">
        <f>HYPERLINK("http://babel.hathitrust.org/cgi/pt?id=uc1.b14630")</f>
        <v>http://babel.hathitrust.org/cgi/pt?id=uc1.b14630</v>
      </c>
      <c r="H2125" t="str">
        <f>HYPERLINK("http://catalog.hathitrust.org/Record/001464012")</f>
        <v>http://catalog.hathitrust.org/Record/001464012</v>
      </c>
      <c r="J2125" s="1">
        <v>1923</v>
      </c>
      <c r="K2125" t="s">
        <v>16099</v>
      </c>
      <c r="L2125" t="s">
        <v>16100</v>
      </c>
    </row>
    <row r="2126" spans="1:12">
      <c r="A2126" t="s">
        <v>16103</v>
      </c>
      <c r="B2126" s="1" t="s">
        <v>16104</v>
      </c>
      <c r="F2126">
        <v>1</v>
      </c>
      <c r="G2126" t="str">
        <f>HYPERLINK("http://babel.hathitrust.org/cgi/pt?id=mdp.39015030934676")</f>
        <v>http://babel.hathitrust.org/cgi/pt?id=mdp.39015030934676</v>
      </c>
      <c r="H2126" t="str">
        <f>HYPERLINK("http://catalog.hathitrust.org/Record/001464021")</f>
        <v>http://catalog.hathitrust.org/Record/001464021</v>
      </c>
      <c r="J2126" s="1">
        <v>1907</v>
      </c>
      <c r="K2126" t="s">
        <v>16105</v>
      </c>
      <c r="L2126" t="s">
        <v>16106</v>
      </c>
    </row>
    <row r="2127" spans="1:12">
      <c r="A2127" t="s">
        <v>16107</v>
      </c>
      <c r="B2127" s="1" t="s">
        <v>16104</v>
      </c>
      <c r="F2127">
        <v>1</v>
      </c>
      <c r="G2127" t="str">
        <f>HYPERLINK("http://babel.hathitrust.org/cgi/pt?id=uc1.b4572604")</f>
        <v>http://babel.hathitrust.org/cgi/pt?id=uc1.b4572604</v>
      </c>
      <c r="H2127" t="str">
        <f>HYPERLINK("http://catalog.hathitrust.org/Record/001464021")</f>
        <v>http://catalog.hathitrust.org/Record/001464021</v>
      </c>
      <c r="J2127" s="1">
        <v>1907</v>
      </c>
      <c r="K2127" t="s">
        <v>16105</v>
      </c>
      <c r="L2127" t="s">
        <v>16106</v>
      </c>
    </row>
    <row r="2128" spans="1:12">
      <c r="A2128" t="s">
        <v>16108</v>
      </c>
      <c r="B2128" s="1" t="s">
        <v>16104</v>
      </c>
      <c r="F2128">
        <v>1</v>
      </c>
      <c r="G2128" t="str">
        <f>HYPERLINK("http://babel.hathitrust.org/cgi/pt?id=uc2.ark:/13960/t8tb1bp0c")</f>
        <v>http://babel.hathitrust.org/cgi/pt?id=uc2.ark:/13960/t8tb1bp0c</v>
      </c>
      <c r="H2128" t="str">
        <f>HYPERLINK("http://catalog.hathitrust.org/Record/001464021")</f>
        <v>http://catalog.hathitrust.org/Record/001464021</v>
      </c>
      <c r="J2128" s="1">
        <v>1907</v>
      </c>
      <c r="K2128" t="s">
        <v>16105</v>
      </c>
      <c r="L2128" t="s">
        <v>16106</v>
      </c>
    </row>
    <row r="2129" spans="1:12">
      <c r="A2129" t="s">
        <v>16109</v>
      </c>
      <c r="B2129" s="1" t="s">
        <v>16110</v>
      </c>
      <c r="F2129">
        <v>1</v>
      </c>
      <c r="G2129" t="str">
        <f>HYPERLINK("http://babel.hathitrust.org/cgi/pt?id=mdp.39015006610219")</f>
        <v>http://babel.hathitrust.org/cgi/pt?id=mdp.39015006610219</v>
      </c>
      <c r="H2129" t="str">
        <f>HYPERLINK("http://catalog.hathitrust.org/Record/001464027")</f>
        <v>http://catalog.hathitrust.org/Record/001464027</v>
      </c>
      <c r="I2129" s="1" t="s">
        <v>15971</v>
      </c>
      <c r="J2129" s="1">
        <v>1943</v>
      </c>
      <c r="K2129" t="s">
        <v>15970</v>
      </c>
    </row>
    <row r="2130" spans="1:12">
      <c r="A2130" t="s">
        <v>15972</v>
      </c>
      <c r="B2130" s="1" t="s">
        <v>16110</v>
      </c>
      <c r="F2130">
        <v>1</v>
      </c>
      <c r="G2130" t="str">
        <f>HYPERLINK("http://babel.hathitrust.org/cgi/pt?id=mdp.39015062433613")</f>
        <v>http://babel.hathitrust.org/cgi/pt?id=mdp.39015062433613</v>
      </c>
      <c r="H2130" t="str">
        <f>HYPERLINK("http://catalog.hathitrust.org/Record/001464027")</f>
        <v>http://catalog.hathitrust.org/Record/001464027</v>
      </c>
      <c r="I2130" s="1" t="s">
        <v>20679</v>
      </c>
      <c r="J2130" s="1">
        <v>1943</v>
      </c>
      <c r="K2130" t="s">
        <v>15970</v>
      </c>
    </row>
    <row r="2131" spans="1:12">
      <c r="A2131" t="s">
        <v>15973</v>
      </c>
      <c r="B2131" s="1" t="s">
        <v>15974</v>
      </c>
      <c r="F2131">
        <v>1</v>
      </c>
      <c r="G2131" t="str">
        <f>HYPERLINK("http://babel.hathitrust.org/cgi/pt?id=mdp.39015008101175")</f>
        <v>http://babel.hathitrust.org/cgi/pt?id=mdp.39015008101175</v>
      </c>
      <c r="H2131" t="str">
        <f>HYPERLINK("http://catalog.hathitrust.org/Record/001464028")</f>
        <v>http://catalog.hathitrust.org/Record/001464028</v>
      </c>
      <c r="I2131" s="1" t="s">
        <v>20916</v>
      </c>
      <c r="J2131" s="1">
        <v>1958</v>
      </c>
      <c r="K2131" t="s">
        <v>15975</v>
      </c>
    </row>
    <row r="2132" spans="1:12">
      <c r="A2132" t="s">
        <v>15976</v>
      </c>
      <c r="B2132" s="1" t="s">
        <v>15974</v>
      </c>
      <c r="F2132">
        <v>1</v>
      </c>
      <c r="G2132" t="str">
        <f>HYPERLINK("http://babel.hathitrust.org/cgi/pt?id=mdp.39015010532938")</f>
        <v>http://babel.hathitrust.org/cgi/pt?id=mdp.39015010532938</v>
      </c>
      <c r="H2132" t="str">
        <f>HYPERLINK("http://catalog.hathitrust.org/Record/001464028")</f>
        <v>http://catalog.hathitrust.org/Record/001464028</v>
      </c>
      <c r="I2132" s="1" t="s">
        <v>20755</v>
      </c>
      <c r="J2132" s="1">
        <v>1958</v>
      </c>
      <c r="K2132" t="s">
        <v>15975</v>
      </c>
    </row>
    <row r="2133" spans="1:12">
      <c r="A2133" t="s">
        <v>15977</v>
      </c>
      <c r="B2133" s="1" t="s">
        <v>15974</v>
      </c>
      <c r="F2133">
        <v>1</v>
      </c>
      <c r="G2133" t="str">
        <f>HYPERLINK("http://babel.hathitrust.org/cgi/pt?id=mdp.39015013096873")</f>
        <v>http://babel.hathitrust.org/cgi/pt?id=mdp.39015013096873</v>
      </c>
      <c r="H2133" t="str">
        <f>HYPERLINK("http://catalog.hathitrust.org/Record/001464028")</f>
        <v>http://catalog.hathitrust.org/Record/001464028</v>
      </c>
      <c r="I2133" s="1" t="s">
        <v>20920</v>
      </c>
      <c r="J2133" s="1">
        <v>1958</v>
      </c>
      <c r="K2133" t="s">
        <v>15975</v>
      </c>
    </row>
    <row r="2134" spans="1:12">
      <c r="A2134" t="s">
        <v>15978</v>
      </c>
      <c r="B2134" s="1" t="s">
        <v>15974</v>
      </c>
      <c r="F2134">
        <v>1</v>
      </c>
      <c r="G2134" t="str">
        <f>HYPERLINK("http://babel.hathitrust.org/cgi/pt?id=mdp.39015032641568")</f>
        <v>http://babel.hathitrust.org/cgi/pt?id=mdp.39015032641568</v>
      </c>
      <c r="H2134" t="str">
        <f>HYPERLINK("http://catalog.hathitrust.org/Record/001464028")</f>
        <v>http://catalog.hathitrust.org/Record/001464028</v>
      </c>
      <c r="I2134" s="1" t="s">
        <v>20916</v>
      </c>
      <c r="J2134" s="1">
        <v>1958</v>
      </c>
      <c r="K2134" t="s">
        <v>15975</v>
      </c>
    </row>
    <row r="2135" spans="1:12">
      <c r="A2135" t="s">
        <v>15979</v>
      </c>
      <c r="B2135" s="1" t="s">
        <v>15974</v>
      </c>
      <c r="F2135">
        <v>1</v>
      </c>
      <c r="G2135" t="str">
        <f>HYPERLINK("http://babel.hathitrust.org/cgi/pt?id=mdp.39076007042257")</f>
        <v>http://babel.hathitrust.org/cgi/pt?id=mdp.39076007042257</v>
      </c>
      <c r="H2135" t="str">
        <f>HYPERLINK("http://catalog.hathitrust.org/Record/001464028")</f>
        <v>http://catalog.hathitrust.org/Record/001464028</v>
      </c>
      <c r="I2135" s="1" t="s">
        <v>20916</v>
      </c>
      <c r="J2135" s="1">
        <v>1958</v>
      </c>
      <c r="K2135" t="s">
        <v>15975</v>
      </c>
    </row>
    <row r="2136" spans="1:12">
      <c r="A2136" t="s">
        <v>15980</v>
      </c>
      <c r="B2136" s="1" t="s">
        <v>15981</v>
      </c>
      <c r="F2136">
        <v>1</v>
      </c>
      <c r="G2136" t="str">
        <f>HYPERLINK("http://babel.hathitrust.org/cgi/pt?id=uc2.ark:/13960/t6445vn38")</f>
        <v>http://babel.hathitrust.org/cgi/pt?id=uc2.ark:/13960/t6445vn38</v>
      </c>
      <c r="H2136" t="str">
        <f>HYPERLINK("http://catalog.hathitrust.org/Record/001467290")</f>
        <v>http://catalog.hathitrust.org/Record/001467290</v>
      </c>
      <c r="J2136" s="1">
        <v>1911</v>
      </c>
      <c r="K2136" t="s">
        <v>15982</v>
      </c>
      <c r="L2136" t="s">
        <v>15983</v>
      </c>
    </row>
    <row r="2137" spans="1:12">
      <c r="A2137" t="s">
        <v>15984</v>
      </c>
      <c r="B2137" s="1" t="s">
        <v>15985</v>
      </c>
      <c r="F2137">
        <v>1</v>
      </c>
      <c r="G2137" t="str">
        <f>HYPERLINK("http://babel.hathitrust.org/cgi/pt?id=mdp.39015004564137")</f>
        <v>http://babel.hathitrust.org/cgi/pt?id=mdp.39015004564137</v>
      </c>
      <c r="H2137" t="str">
        <f>HYPERLINK("http://catalog.hathitrust.org/Record/001479905")</f>
        <v>http://catalog.hathitrust.org/Record/001479905</v>
      </c>
      <c r="J2137" s="1">
        <v>1929</v>
      </c>
      <c r="K2137" t="s">
        <v>15986</v>
      </c>
      <c r="L2137" t="s">
        <v>15987</v>
      </c>
    </row>
    <row r="2138" spans="1:12">
      <c r="A2138" t="s">
        <v>15988</v>
      </c>
      <c r="B2138" s="1" t="s">
        <v>15985</v>
      </c>
      <c r="F2138">
        <v>1</v>
      </c>
      <c r="G2138" t="str">
        <f>HYPERLINK("http://babel.hathitrust.org/cgi/pt?id=uc1.b3219689")</f>
        <v>http://babel.hathitrust.org/cgi/pt?id=uc1.b3219689</v>
      </c>
      <c r="H2138" t="str">
        <f>HYPERLINK("http://catalog.hathitrust.org/Record/001479905")</f>
        <v>http://catalog.hathitrust.org/Record/001479905</v>
      </c>
      <c r="J2138" s="1">
        <v>1929</v>
      </c>
      <c r="K2138" t="s">
        <v>15986</v>
      </c>
      <c r="L2138" t="s">
        <v>15987</v>
      </c>
    </row>
    <row r="2139" spans="1:12">
      <c r="A2139" t="s">
        <v>15989</v>
      </c>
      <c r="B2139" s="1" t="s">
        <v>15985</v>
      </c>
      <c r="F2139">
        <v>1</v>
      </c>
      <c r="G2139" t="str">
        <f>HYPERLINK("http://babel.hathitrust.org/cgi/pt?id=uc1.b76127")</f>
        <v>http://babel.hathitrust.org/cgi/pt?id=uc1.b76127</v>
      </c>
      <c r="H2139" t="str">
        <f>HYPERLINK("http://catalog.hathitrust.org/Record/001479905")</f>
        <v>http://catalog.hathitrust.org/Record/001479905</v>
      </c>
      <c r="J2139" s="1">
        <v>1929</v>
      </c>
      <c r="K2139" t="s">
        <v>15986</v>
      </c>
      <c r="L2139" t="s">
        <v>15987</v>
      </c>
    </row>
    <row r="2140" spans="1:12">
      <c r="A2140" t="s">
        <v>15990</v>
      </c>
      <c r="B2140" s="1" t="s">
        <v>15991</v>
      </c>
      <c r="F2140">
        <v>1</v>
      </c>
      <c r="G2140" t="str">
        <f>HYPERLINK("http://babel.hathitrust.org/cgi/pt?id=mdp.39015003718973")</f>
        <v>http://babel.hathitrust.org/cgi/pt?id=mdp.39015003718973</v>
      </c>
      <c r="H2140" t="str">
        <f t="shared" ref="H2140:H2145" si="37">HYPERLINK("http://catalog.hathitrust.org/Record/001510064")</f>
        <v>http://catalog.hathitrust.org/Record/001510064</v>
      </c>
      <c r="J2140" s="1">
        <v>1911</v>
      </c>
      <c r="K2140" t="s">
        <v>15992</v>
      </c>
      <c r="L2140" t="s">
        <v>15993</v>
      </c>
    </row>
    <row r="2141" spans="1:12">
      <c r="A2141" t="s">
        <v>15994</v>
      </c>
      <c r="B2141" s="1" t="s">
        <v>15991</v>
      </c>
      <c r="F2141">
        <v>1</v>
      </c>
      <c r="G2141" t="str">
        <f>HYPERLINK("http://babel.hathitrust.org/cgi/pt?id=mdp.39015051117821")</f>
        <v>http://babel.hathitrust.org/cgi/pt?id=mdp.39015051117821</v>
      </c>
      <c r="H2141" t="str">
        <f t="shared" si="37"/>
        <v>http://catalog.hathitrust.org/Record/001510064</v>
      </c>
      <c r="J2141" s="1">
        <v>1911</v>
      </c>
      <c r="K2141" t="s">
        <v>15992</v>
      </c>
      <c r="L2141" t="s">
        <v>15993</v>
      </c>
    </row>
    <row r="2142" spans="1:12">
      <c r="A2142" t="s">
        <v>15995</v>
      </c>
      <c r="B2142" s="1" t="s">
        <v>15991</v>
      </c>
      <c r="F2142">
        <v>1</v>
      </c>
      <c r="G2142" t="str">
        <f>HYPERLINK("http://babel.hathitrust.org/cgi/pt?id=nyp.33433066338405")</f>
        <v>http://babel.hathitrust.org/cgi/pt?id=nyp.33433066338405</v>
      </c>
      <c r="H2142" t="str">
        <f t="shared" si="37"/>
        <v>http://catalog.hathitrust.org/Record/001510064</v>
      </c>
      <c r="J2142" s="1">
        <v>1911</v>
      </c>
      <c r="K2142" t="s">
        <v>15992</v>
      </c>
      <c r="L2142" t="s">
        <v>15993</v>
      </c>
    </row>
    <row r="2143" spans="1:12">
      <c r="A2143" t="s">
        <v>15996</v>
      </c>
      <c r="B2143" s="1" t="s">
        <v>15991</v>
      </c>
      <c r="F2143">
        <v>1</v>
      </c>
      <c r="G2143" t="str">
        <f>HYPERLINK("http://babel.hathitrust.org/cgi/pt?id=uc1.b277109")</f>
        <v>http://babel.hathitrust.org/cgi/pt?id=uc1.b277109</v>
      </c>
      <c r="H2143" t="str">
        <f t="shared" si="37"/>
        <v>http://catalog.hathitrust.org/Record/001510064</v>
      </c>
      <c r="J2143" s="1">
        <v>1911</v>
      </c>
      <c r="K2143" t="s">
        <v>15992</v>
      </c>
      <c r="L2143" t="s">
        <v>15993</v>
      </c>
    </row>
    <row r="2144" spans="1:12">
      <c r="A2144" t="s">
        <v>15997</v>
      </c>
      <c r="B2144" s="1" t="s">
        <v>15991</v>
      </c>
      <c r="F2144">
        <v>1</v>
      </c>
      <c r="G2144" t="str">
        <f>HYPERLINK("http://babel.hathitrust.org/cgi/pt?id=uc2.ark:/13960/t6zw1b61s")</f>
        <v>http://babel.hathitrust.org/cgi/pt?id=uc2.ark:/13960/t6zw1b61s</v>
      </c>
      <c r="H2144" t="str">
        <f t="shared" si="37"/>
        <v>http://catalog.hathitrust.org/Record/001510064</v>
      </c>
      <c r="J2144" s="1">
        <v>1911</v>
      </c>
      <c r="K2144" t="s">
        <v>15992</v>
      </c>
      <c r="L2144" t="s">
        <v>15993</v>
      </c>
    </row>
    <row r="2145" spans="1:12">
      <c r="A2145" t="s">
        <v>15998</v>
      </c>
      <c r="B2145" s="1" t="s">
        <v>15991</v>
      </c>
      <c r="F2145">
        <v>1</v>
      </c>
      <c r="G2145" t="str">
        <f>HYPERLINK("http://babel.hathitrust.org/cgi/pt?id=wu.89083906354")</f>
        <v>http://babel.hathitrust.org/cgi/pt?id=wu.89083906354</v>
      </c>
      <c r="H2145" t="str">
        <f t="shared" si="37"/>
        <v>http://catalog.hathitrust.org/Record/001510064</v>
      </c>
      <c r="J2145" s="1">
        <v>1911</v>
      </c>
      <c r="K2145" t="s">
        <v>15992</v>
      </c>
      <c r="L2145" t="s">
        <v>15993</v>
      </c>
    </row>
    <row r="2146" spans="1:12">
      <c r="A2146" t="s">
        <v>15999</v>
      </c>
      <c r="B2146" s="1" t="s">
        <v>16000</v>
      </c>
      <c r="F2146">
        <v>1</v>
      </c>
      <c r="G2146" t="str">
        <f>HYPERLINK("http://babel.hathitrust.org/cgi/pt?id=mdp.39015064396826")</f>
        <v>http://babel.hathitrust.org/cgi/pt?id=mdp.39015064396826</v>
      </c>
      <c r="H2146" t="str">
        <f>HYPERLINK("http://catalog.hathitrust.org/Record/001510072")</f>
        <v>http://catalog.hathitrust.org/Record/001510072</v>
      </c>
      <c r="J2146" s="1">
        <v>1930</v>
      </c>
      <c r="K2146" t="s">
        <v>16001</v>
      </c>
      <c r="L2146" t="s">
        <v>16002</v>
      </c>
    </row>
    <row r="2147" spans="1:12">
      <c r="A2147" t="s">
        <v>16003</v>
      </c>
      <c r="B2147" s="1" t="s">
        <v>16000</v>
      </c>
      <c r="F2147">
        <v>1</v>
      </c>
      <c r="G2147" t="str">
        <f>HYPERLINK("http://babel.hathitrust.org/cgi/pt?id=uc1.b315049")</f>
        <v>http://babel.hathitrust.org/cgi/pt?id=uc1.b315049</v>
      </c>
      <c r="H2147" t="str">
        <f>HYPERLINK("http://catalog.hathitrust.org/Record/001510072")</f>
        <v>http://catalog.hathitrust.org/Record/001510072</v>
      </c>
      <c r="J2147" s="1">
        <v>1930</v>
      </c>
      <c r="K2147" t="s">
        <v>16001</v>
      </c>
      <c r="L2147" t="s">
        <v>16002</v>
      </c>
    </row>
    <row r="2148" spans="1:12">
      <c r="A2148" t="s">
        <v>16004</v>
      </c>
      <c r="B2148" s="1" t="s">
        <v>16005</v>
      </c>
      <c r="F2148">
        <v>1</v>
      </c>
      <c r="G2148" t="str">
        <f>HYPERLINK("http://babel.hathitrust.org/cgi/pt?id=mdp.39015058433411")</f>
        <v>http://babel.hathitrust.org/cgi/pt?id=mdp.39015058433411</v>
      </c>
      <c r="H2148" t="str">
        <f>HYPERLINK("http://catalog.hathitrust.org/Record/001510080")</f>
        <v>http://catalog.hathitrust.org/Record/001510080</v>
      </c>
      <c r="J2148" s="1">
        <v>1929</v>
      </c>
      <c r="K2148" t="s">
        <v>16006</v>
      </c>
      <c r="L2148" t="s">
        <v>16007</v>
      </c>
    </row>
    <row r="2149" spans="1:12">
      <c r="A2149" t="s">
        <v>16008</v>
      </c>
      <c r="B2149" s="1" t="s">
        <v>16005</v>
      </c>
      <c r="F2149">
        <v>1</v>
      </c>
      <c r="G2149" t="str">
        <f>HYPERLINK("http://babel.hathitrust.org/cgi/pt?id=wu.89083906537")</f>
        <v>http://babel.hathitrust.org/cgi/pt?id=wu.89083906537</v>
      </c>
      <c r="H2149" t="str">
        <f>HYPERLINK("http://catalog.hathitrust.org/Record/001510080")</f>
        <v>http://catalog.hathitrust.org/Record/001510080</v>
      </c>
      <c r="J2149" s="1">
        <v>1929</v>
      </c>
      <c r="K2149" t="s">
        <v>16006</v>
      </c>
      <c r="L2149" t="s">
        <v>16007</v>
      </c>
    </row>
    <row r="2150" spans="1:12">
      <c r="A2150" t="s">
        <v>16009</v>
      </c>
      <c r="B2150" s="1" t="s">
        <v>16010</v>
      </c>
      <c r="E2150">
        <v>1</v>
      </c>
      <c r="G2150" t="str">
        <f>HYPERLINK("http://babel.hathitrust.org/cgi/pt?id=hvd.hn8xjk")</f>
        <v>http://babel.hathitrust.org/cgi/pt?id=hvd.hn8xjk</v>
      </c>
      <c r="H2150" t="str">
        <f>HYPERLINK("http://catalog.hathitrust.org/Record/001532820")</f>
        <v>http://catalog.hathitrust.org/Record/001532820</v>
      </c>
      <c r="J2150" s="1">
        <v>1866</v>
      </c>
      <c r="K2150" t="s">
        <v>16011</v>
      </c>
      <c r="L2150" t="s">
        <v>16012</v>
      </c>
    </row>
    <row r="2151" spans="1:12">
      <c r="A2151" t="s">
        <v>16013</v>
      </c>
      <c r="B2151" s="1" t="s">
        <v>16014</v>
      </c>
      <c r="F2151">
        <v>1</v>
      </c>
      <c r="G2151" t="str">
        <f>HYPERLINK("http://babel.hathitrust.org/cgi/pt?id=mdp.39015062932465")</f>
        <v>http://babel.hathitrust.org/cgi/pt?id=mdp.39015062932465</v>
      </c>
      <c r="H2151" t="str">
        <f>HYPERLINK("http://catalog.hathitrust.org/Record/001532851")</f>
        <v>http://catalog.hathitrust.org/Record/001532851</v>
      </c>
      <c r="J2151" s="1">
        <v>1890</v>
      </c>
      <c r="K2151" t="s">
        <v>16015</v>
      </c>
      <c r="L2151" t="s">
        <v>16016</v>
      </c>
    </row>
    <row r="2152" spans="1:12">
      <c r="A2152" t="s">
        <v>16017</v>
      </c>
      <c r="B2152" s="1" t="s">
        <v>16014</v>
      </c>
      <c r="F2152">
        <v>1</v>
      </c>
      <c r="G2152" t="str">
        <f>HYPERLINK("http://babel.hathitrust.org/cgi/pt?id=uc2.ark:/13960/t5j963k87")</f>
        <v>http://babel.hathitrust.org/cgi/pt?id=uc2.ark:/13960/t5j963k87</v>
      </c>
      <c r="H2152" t="str">
        <f>HYPERLINK("http://catalog.hathitrust.org/Record/001532851")</f>
        <v>http://catalog.hathitrust.org/Record/001532851</v>
      </c>
      <c r="J2152" s="1">
        <v>1890</v>
      </c>
      <c r="K2152" t="s">
        <v>16015</v>
      </c>
      <c r="L2152" t="s">
        <v>16016</v>
      </c>
    </row>
    <row r="2153" spans="1:12">
      <c r="A2153" t="s">
        <v>16018</v>
      </c>
      <c r="B2153" s="1" t="s">
        <v>16019</v>
      </c>
      <c r="F2153">
        <v>1</v>
      </c>
      <c r="G2153" t="str">
        <f>HYPERLINK("http://babel.hathitrust.org/cgi/pt?id=mdp.39015005984623")</f>
        <v>http://babel.hathitrust.org/cgi/pt?id=mdp.39015005984623</v>
      </c>
      <c r="H2153" t="str">
        <f>HYPERLINK("http://catalog.hathitrust.org/Record/001577088")</f>
        <v>http://catalog.hathitrust.org/Record/001577088</v>
      </c>
      <c r="J2153" s="1">
        <v>1960</v>
      </c>
      <c r="K2153" t="s">
        <v>16020</v>
      </c>
      <c r="L2153" t="s">
        <v>16021</v>
      </c>
    </row>
    <row r="2154" spans="1:12">
      <c r="A2154" t="s">
        <v>16022</v>
      </c>
      <c r="B2154" s="1" t="s">
        <v>16023</v>
      </c>
      <c r="F2154">
        <v>1</v>
      </c>
      <c r="G2154" t="str">
        <f>HYPERLINK("http://babel.hathitrust.org/cgi/pt?id=mdp.39015058506869")</f>
        <v>http://babel.hathitrust.org/cgi/pt?id=mdp.39015058506869</v>
      </c>
      <c r="H2154" t="str">
        <f>HYPERLINK("http://catalog.hathitrust.org/Record/001591484")</f>
        <v>http://catalog.hathitrust.org/Record/001591484</v>
      </c>
      <c r="J2154" s="1">
        <v>1939</v>
      </c>
      <c r="K2154" t="s">
        <v>16024</v>
      </c>
      <c r="L2154" t="s">
        <v>16025</v>
      </c>
    </row>
    <row r="2155" spans="1:12">
      <c r="A2155" t="s">
        <v>16026</v>
      </c>
      <c r="B2155" s="1" t="s">
        <v>16027</v>
      </c>
      <c r="F2155">
        <v>1</v>
      </c>
      <c r="G2155" t="str">
        <f>HYPERLINK("http://babel.hathitrust.org/cgi/pt?id=mdp.39015005288314")</f>
        <v>http://babel.hathitrust.org/cgi/pt?id=mdp.39015005288314</v>
      </c>
      <c r="H2155" t="str">
        <f>HYPERLINK("http://catalog.hathitrust.org/Record/001598317")</f>
        <v>http://catalog.hathitrust.org/Record/001598317</v>
      </c>
      <c r="J2155" s="1">
        <v>1930</v>
      </c>
      <c r="K2155" t="s">
        <v>16028</v>
      </c>
      <c r="L2155" t="s">
        <v>16029</v>
      </c>
    </row>
    <row r="2156" spans="1:12">
      <c r="A2156" t="s">
        <v>16030</v>
      </c>
      <c r="B2156" s="1" t="s">
        <v>16027</v>
      </c>
      <c r="F2156">
        <v>1</v>
      </c>
      <c r="G2156" t="str">
        <f>HYPERLINK("http://babel.hathitrust.org/cgi/pt?id=mdp.39015010844432")</f>
        <v>http://babel.hathitrust.org/cgi/pt?id=mdp.39015010844432</v>
      </c>
      <c r="H2156" t="str">
        <f>HYPERLINK("http://catalog.hathitrust.org/Record/001598317")</f>
        <v>http://catalog.hathitrust.org/Record/001598317</v>
      </c>
      <c r="J2156" s="1">
        <v>1930</v>
      </c>
      <c r="K2156" t="s">
        <v>16028</v>
      </c>
      <c r="L2156" t="s">
        <v>16029</v>
      </c>
    </row>
    <row r="2157" spans="1:12">
      <c r="A2157" t="s">
        <v>16031</v>
      </c>
      <c r="B2157" s="1" t="s">
        <v>16027</v>
      </c>
      <c r="F2157">
        <v>1</v>
      </c>
      <c r="G2157" t="str">
        <f>HYPERLINK("http://babel.hathitrust.org/cgi/pt?id=uc1.b4315369")</f>
        <v>http://babel.hathitrust.org/cgi/pt?id=uc1.b4315369</v>
      </c>
      <c r="H2157" t="str">
        <f>HYPERLINK("http://catalog.hathitrust.org/Record/001598317")</f>
        <v>http://catalog.hathitrust.org/Record/001598317</v>
      </c>
      <c r="J2157" s="1">
        <v>1930</v>
      </c>
      <c r="K2157" t="s">
        <v>16028</v>
      </c>
      <c r="L2157" t="s">
        <v>16029</v>
      </c>
    </row>
    <row r="2158" spans="1:12">
      <c r="A2158" t="s">
        <v>16032</v>
      </c>
      <c r="B2158" s="1" t="s">
        <v>16033</v>
      </c>
      <c r="E2158">
        <v>1</v>
      </c>
      <c r="F2158">
        <v>1</v>
      </c>
      <c r="G2158" t="str">
        <f>HYPERLINK("http://babel.hathitrust.org/cgi/pt?id=uc1.32106019364246")</f>
        <v>http://babel.hathitrust.org/cgi/pt?id=uc1.32106019364246</v>
      </c>
      <c r="H2158" t="str">
        <f>HYPERLINK("http://catalog.hathitrust.org/Record/001633804")</f>
        <v>http://catalog.hathitrust.org/Record/001633804</v>
      </c>
      <c r="I2158" s="1" t="s">
        <v>16035</v>
      </c>
      <c r="J2158" s="1">
        <v>1946</v>
      </c>
      <c r="K2158" t="s">
        <v>16034</v>
      </c>
      <c r="L2158" t="s">
        <v>16036</v>
      </c>
    </row>
    <row r="2159" spans="1:12">
      <c r="A2159" t="s">
        <v>16037</v>
      </c>
      <c r="B2159" s="1" t="s">
        <v>15910</v>
      </c>
      <c r="F2159">
        <v>1</v>
      </c>
      <c r="G2159" t="str">
        <f>HYPERLINK("http://babel.hathitrust.org/cgi/pt?id=loc.ark:/13960/t3223c70r")</f>
        <v>http://babel.hathitrust.org/cgi/pt?id=loc.ark:/13960/t3223c70r</v>
      </c>
      <c r="H2159" t="str">
        <f>HYPERLINK("http://catalog.hathitrust.org/Record/001637857")</f>
        <v>http://catalog.hathitrust.org/Record/001637857</v>
      </c>
      <c r="J2159" s="1">
        <v>1912</v>
      </c>
      <c r="K2159" t="s">
        <v>15911</v>
      </c>
      <c r="L2159" t="s">
        <v>15912</v>
      </c>
    </row>
    <row r="2160" spans="1:12">
      <c r="A2160" t="s">
        <v>15913</v>
      </c>
      <c r="B2160" s="1" t="s">
        <v>15914</v>
      </c>
      <c r="F2160">
        <v>1</v>
      </c>
      <c r="G2160" t="str">
        <f>HYPERLINK("http://babel.hathitrust.org/cgi/pt?id=uc1.32106001638540")</f>
        <v>http://babel.hathitrust.org/cgi/pt?id=uc1.32106001638540</v>
      </c>
      <c r="H2160" t="str">
        <f>HYPERLINK("http://catalog.hathitrust.org/Record/001637930")</f>
        <v>http://catalog.hathitrust.org/Record/001637930</v>
      </c>
      <c r="I2160" s="1" t="s">
        <v>15916</v>
      </c>
      <c r="J2160" s="1">
        <v>1952</v>
      </c>
      <c r="K2160" t="s">
        <v>15915</v>
      </c>
      <c r="L2160" t="s">
        <v>15917</v>
      </c>
    </row>
    <row r="2161" spans="1:12">
      <c r="A2161" t="s">
        <v>15918</v>
      </c>
      <c r="B2161" s="1" t="s">
        <v>15919</v>
      </c>
      <c r="F2161">
        <v>1</v>
      </c>
      <c r="G2161" t="str">
        <f>HYPERLINK("http://babel.hathitrust.org/cgi/pt?id=mdp.39015010834540")</f>
        <v>http://babel.hathitrust.org/cgi/pt?id=mdp.39015010834540</v>
      </c>
      <c r="H2161" t="str">
        <f>HYPERLINK("http://catalog.hathitrust.org/Record/001640445")</f>
        <v>http://catalog.hathitrust.org/Record/001640445</v>
      </c>
      <c r="J2161" s="1">
        <v>1853</v>
      </c>
      <c r="K2161" t="s">
        <v>15920</v>
      </c>
      <c r="L2161" t="s">
        <v>15921</v>
      </c>
    </row>
    <row r="2162" spans="1:12">
      <c r="A2162" t="s">
        <v>15922</v>
      </c>
      <c r="B2162" s="1" t="s">
        <v>15919</v>
      </c>
      <c r="F2162">
        <v>1</v>
      </c>
      <c r="G2162" t="str">
        <f>HYPERLINK("http://babel.hathitrust.org/cgi/pt?id=nyp.33433075859946")</f>
        <v>http://babel.hathitrust.org/cgi/pt?id=nyp.33433075859946</v>
      </c>
      <c r="H2162" t="str">
        <f>HYPERLINK("http://catalog.hathitrust.org/Record/001640445")</f>
        <v>http://catalog.hathitrust.org/Record/001640445</v>
      </c>
      <c r="J2162" s="1">
        <v>1853</v>
      </c>
      <c r="K2162" t="s">
        <v>15920</v>
      </c>
      <c r="L2162" t="s">
        <v>15921</v>
      </c>
    </row>
    <row r="2163" spans="1:12">
      <c r="A2163" t="s">
        <v>15923</v>
      </c>
      <c r="B2163" s="1" t="s">
        <v>15924</v>
      </c>
      <c r="F2163">
        <v>1</v>
      </c>
      <c r="G2163" t="str">
        <f>HYPERLINK("http://babel.hathitrust.org/cgi/pt?id=mdp.39015033600761")</f>
        <v>http://babel.hathitrust.org/cgi/pt?id=mdp.39015033600761</v>
      </c>
      <c r="H2163" t="str">
        <f>HYPERLINK("http://catalog.hathitrust.org/Record/001642167")</f>
        <v>http://catalog.hathitrust.org/Record/001642167</v>
      </c>
      <c r="J2163" s="1">
        <v>1897</v>
      </c>
      <c r="K2163" t="s">
        <v>15925</v>
      </c>
    </row>
    <row r="2164" spans="1:12">
      <c r="A2164" t="s">
        <v>15926</v>
      </c>
      <c r="B2164" s="1" t="s">
        <v>15927</v>
      </c>
      <c r="F2164">
        <v>1</v>
      </c>
      <c r="G2164" t="str">
        <f>HYPERLINK("http://babel.hathitrust.org/cgi/pt?id=loc.ark:/13960/t14m9z911")</f>
        <v>http://babel.hathitrust.org/cgi/pt?id=loc.ark:/13960/t14m9z911</v>
      </c>
      <c r="H2164" t="str">
        <f>HYPERLINK("http://catalog.hathitrust.org/Record/001642224")</f>
        <v>http://catalog.hathitrust.org/Record/001642224</v>
      </c>
      <c r="J2164" s="1">
        <v>1913</v>
      </c>
      <c r="K2164" t="s">
        <v>15928</v>
      </c>
      <c r="L2164" t="s">
        <v>15929</v>
      </c>
    </row>
    <row r="2165" spans="1:12">
      <c r="A2165" t="s">
        <v>15930</v>
      </c>
      <c r="B2165" s="1" t="s">
        <v>15931</v>
      </c>
      <c r="F2165">
        <v>1</v>
      </c>
      <c r="G2165" t="str">
        <f>HYPERLINK("http://babel.hathitrust.org/cgi/pt?id=mdp.39015076695942")</f>
        <v>http://babel.hathitrust.org/cgi/pt?id=mdp.39015076695942</v>
      </c>
      <c r="H2165" t="str">
        <f>HYPERLINK("http://catalog.hathitrust.org/Record/001642376")</f>
        <v>http://catalog.hathitrust.org/Record/001642376</v>
      </c>
      <c r="J2165" s="1">
        <v>1927</v>
      </c>
      <c r="K2165" t="s">
        <v>15932</v>
      </c>
      <c r="L2165" t="s">
        <v>15933</v>
      </c>
    </row>
    <row r="2166" spans="1:12">
      <c r="A2166" t="s">
        <v>15934</v>
      </c>
      <c r="B2166" s="1" t="s">
        <v>15935</v>
      </c>
      <c r="F2166">
        <v>1</v>
      </c>
      <c r="G2166" t="str">
        <f>HYPERLINK("http://babel.hathitrust.org/cgi/pt?id=mdp.39015074133367")</f>
        <v>http://babel.hathitrust.org/cgi/pt?id=mdp.39015074133367</v>
      </c>
      <c r="H2166" t="str">
        <f>HYPERLINK("http://catalog.hathitrust.org/Record/001642507")</f>
        <v>http://catalog.hathitrust.org/Record/001642507</v>
      </c>
      <c r="J2166" s="1">
        <v>1930</v>
      </c>
      <c r="K2166" t="s">
        <v>15936</v>
      </c>
      <c r="L2166" t="s">
        <v>15937</v>
      </c>
    </row>
    <row r="2167" spans="1:12">
      <c r="A2167" t="s">
        <v>15938</v>
      </c>
      <c r="B2167" s="1" t="s">
        <v>15939</v>
      </c>
      <c r="F2167">
        <v>1</v>
      </c>
      <c r="G2167" t="str">
        <f>HYPERLINK("http://babel.hathitrust.org/cgi/pt?id=mdp.39015074133607")</f>
        <v>http://babel.hathitrust.org/cgi/pt?id=mdp.39015074133607</v>
      </c>
      <c r="H2167" t="str">
        <f>HYPERLINK("http://catalog.hathitrust.org/Record/001642579")</f>
        <v>http://catalog.hathitrust.org/Record/001642579</v>
      </c>
      <c r="J2167" s="1">
        <v>1932</v>
      </c>
      <c r="K2167" t="s">
        <v>15940</v>
      </c>
      <c r="L2167" t="s">
        <v>15941</v>
      </c>
    </row>
    <row r="2168" spans="1:12">
      <c r="A2168" t="s">
        <v>15942</v>
      </c>
      <c r="B2168" s="1" t="s">
        <v>15943</v>
      </c>
      <c r="F2168">
        <v>1</v>
      </c>
      <c r="G2168" t="str">
        <f>HYPERLINK("http://babel.hathitrust.org/cgi/pt?id=mdp.39015011895268")</f>
        <v>http://babel.hathitrust.org/cgi/pt?id=mdp.39015011895268</v>
      </c>
      <c r="H2168" t="str">
        <f>HYPERLINK("http://catalog.hathitrust.org/Record/001642892")</f>
        <v>http://catalog.hathitrust.org/Record/001642892</v>
      </c>
      <c r="I2168" s="1" t="s">
        <v>15945</v>
      </c>
      <c r="J2168" s="1">
        <v>1943</v>
      </c>
      <c r="K2168" t="s">
        <v>15944</v>
      </c>
      <c r="L2168" t="s">
        <v>15946</v>
      </c>
    </row>
    <row r="2169" spans="1:12">
      <c r="A2169" t="s">
        <v>15947</v>
      </c>
      <c r="B2169" s="1" t="s">
        <v>15948</v>
      </c>
      <c r="F2169">
        <v>1</v>
      </c>
      <c r="G2169" t="str">
        <f>HYPERLINK("http://babel.hathitrust.org/cgi/pt?id=mdp.39015035886772")</f>
        <v>http://babel.hathitrust.org/cgi/pt?id=mdp.39015035886772</v>
      </c>
      <c r="H2169" t="str">
        <f>HYPERLINK("http://catalog.hathitrust.org/Record/001642910")</f>
        <v>http://catalog.hathitrust.org/Record/001642910</v>
      </c>
      <c r="J2169" s="1">
        <v>1944</v>
      </c>
      <c r="K2169" t="s">
        <v>15949</v>
      </c>
      <c r="L2169" t="s">
        <v>15950</v>
      </c>
    </row>
    <row r="2170" spans="1:12">
      <c r="A2170" t="s">
        <v>15951</v>
      </c>
      <c r="B2170" s="1" t="s">
        <v>15952</v>
      </c>
      <c r="F2170">
        <v>1</v>
      </c>
      <c r="G2170" t="str">
        <f>HYPERLINK("http://babel.hathitrust.org/cgi/pt?id=njp.32101073498014")</f>
        <v>http://babel.hathitrust.org/cgi/pt?id=njp.32101073498014</v>
      </c>
      <c r="H2170" t="str">
        <f>HYPERLINK("http://catalog.hathitrust.org/Record/001643109")</f>
        <v>http://catalog.hathitrust.org/Record/001643109</v>
      </c>
      <c r="J2170" s="1">
        <v>1920</v>
      </c>
      <c r="K2170" t="s">
        <v>15953</v>
      </c>
      <c r="L2170" t="s">
        <v>15954</v>
      </c>
    </row>
    <row r="2171" spans="1:12">
      <c r="A2171" t="s">
        <v>15955</v>
      </c>
      <c r="B2171" s="1" t="s">
        <v>15956</v>
      </c>
      <c r="D2171">
        <v>1</v>
      </c>
      <c r="G2171" t="str">
        <f>HYPERLINK("http://babel.hathitrust.org/cgi/pt?id=hvd.32044086713096")</f>
        <v>http://babel.hathitrust.org/cgi/pt?id=hvd.32044086713096</v>
      </c>
      <c r="H2171" t="str">
        <f>HYPERLINK("http://catalog.hathitrust.org/Record/001644596")</f>
        <v>http://catalog.hathitrust.org/Record/001644596</v>
      </c>
      <c r="J2171" s="1">
        <v>1867</v>
      </c>
      <c r="K2171" t="s">
        <v>15957</v>
      </c>
      <c r="L2171" t="s">
        <v>15958</v>
      </c>
    </row>
    <row r="2172" spans="1:12">
      <c r="A2172" t="s">
        <v>15959</v>
      </c>
      <c r="B2172" s="1" t="s">
        <v>15956</v>
      </c>
      <c r="F2172">
        <v>1</v>
      </c>
      <c r="G2172" t="str">
        <f>HYPERLINK("http://babel.hathitrust.org/cgi/pt?id=mdp.39015006601465")</f>
        <v>http://babel.hathitrust.org/cgi/pt?id=mdp.39015006601465</v>
      </c>
      <c r="H2172" t="str">
        <f>HYPERLINK("http://catalog.hathitrust.org/Record/001644596")</f>
        <v>http://catalog.hathitrust.org/Record/001644596</v>
      </c>
      <c r="J2172" s="1">
        <v>1867</v>
      </c>
      <c r="K2172" t="s">
        <v>15957</v>
      </c>
      <c r="L2172" t="s">
        <v>15958</v>
      </c>
    </row>
    <row r="2173" spans="1:12">
      <c r="A2173" t="s">
        <v>15960</v>
      </c>
      <c r="B2173" s="1" t="s">
        <v>15961</v>
      </c>
      <c r="F2173">
        <v>1</v>
      </c>
      <c r="G2173" t="str">
        <f>HYPERLINK("http://babel.hathitrust.org/cgi/pt?id=hvd.32044014664668")</f>
        <v>http://babel.hathitrust.org/cgi/pt?id=hvd.32044014664668</v>
      </c>
      <c r="H2173" t="str">
        <f>HYPERLINK("http://catalog.hathitrust.org/Record/001652194")</f>
        <v>http://catalog.hathitrust.org/Record/001652194</v>
      </c>
      <c r="I2173" s="1" t="s">
        <v>20916</v>
      </c>
      <c r="J2173" s="1">
        <v>1859</v>
      </c>
      <c r="K2173" t="s">
        <v>15962</v>
      </c>
    </row>
    <row r="2174" spans="1:12">
      <c r="A2174" t="s">
        <v>15963</v>
      </c>
      <c r="B2174" s="1" t="s">
        <v>15961</v>
      </c>
      <c r="F2174">
        <v>1</v>
      </c>
      <c r="G2174" t="str">
        <f>HYPERLINK("http://babel.hathitrust.org/cgi/pt?id=hvd.32044024318586")</f>
        <v>http://babel.hathitrust.org/cgi/pt?id=hvd.32044024318586</v>
      </c>
      <c r="H2174" t="str">
        <f>HYPERLINK("http://catalog.hathitrust.org/Record/001652194")</f>
        <v>http://catalog.hathitrust.org/Record/001652194</v>
      </c>
      <c r="I2174" s="1" t="s">
        <v>20755</v>
      </c>
      <c r="J2174" s="1">
        <v>1859</v>
      </c>
      <c r="K2174" t="s">
        <v>15962</v>
      </c>
    </row>
    <row r="2175" spans="1:12">
      <c r="A2175" t="s">
        <v>15964</v>
      </c>
      <c r="B2175" s="1" t="s">
        <v>15961</v>
      </c>
      <c r="F2175">
        <v>1</v>
      </c>
      <c r="G2175" t="str">
        <f>HYPERLINK("http://babel.hathitrust.org/cgi/pt?id=inu.32000007755319")</f>
        <v>http://babel.hathitrust.org/cgi/pt?id=inu.32000007755319</v>
      </c>
      <c r="H2175" t="str">
        <f>HYPERLINK("http://catalog.hathitrust.org/Record/001652194")</f>
        <v>http://catalog.hathitrust.org/Record/001652194</v>
      </c>
      <c r="J2175" s="1">
        <v>1859</v>
      </c>
      <c r="K2175" t="s">
        <v>15962</v>
      </c>
    </row>
    <row r="2176" spans="1:12">
      <c r="A2176" t="s">
        <v>15965</v>
      </c>
      <c r="B2176" s="1" t="s">
        <v>15961</v>
      </c>
      <c r="F2176">
        <v>1</v>
      </c>
      <c r="G2176" t="str">
        <f>HYPERLINK("http://babel.hathitrust.org/cgi/pt?id=uc1.32106009896470")</f>
        <v>http://babel.hathitrust.org/cgi/pt?id=uc1.32106009896470</v>
      </c>
      <c r="H2176" t="str">
        <f>HYPERLINK("http://catalog.hathitrust.org/Record/001652194")</f>
        <v>http://catalog.hathitrust.org/Record/001652194</v>
      </c>
      <c r="I2176" s="1" t="s">
        <v>15966</v>
      </c>
      <c r="J2176" s="1">
        <v>1859</v>
      </c>
      <c r="K2176" t="s">
        <v>15962</v>
      </c>
    </row>
    <row r="2177" spans="1:12">
      <c r="A2177" t="s">
        <v>15967</v>
      </c>
      <c r="B2177" s="1" t="s">
        <v>15961</v>
      </c>
      <c r="F2177">
        <v>1</v>
      </c>
      <c r="G2177" t="str">
        <f>HYPERLINK("http://babel.hathitrust.org/cgi/pt?id=uc1.32106013953127")</f>
        <v>http://babel.hathitrust.org/cgi/pt?id=uc1.32106013953127</v>
      </c>
      <c r="H2177" t="str">
        <f>HYPERLINK("http://catalog.hathitrust.org/Record/001652194")</f>
        <v>http://catalog.hathitrust.org/Record/001652194</v>
      </c>
      <c r="I2177" s="1" t="s">
        <v>15968</v>
      </c>
      <c r="J2177" s="1">
        <v>1859</v>
      </c>
      <c r="K2177" t="s">
        <v>15962</v>
      </c>
    </row>
    <row r="2178" spans="1:12">
      <c r="A2178" t="s">
        <v>15969</v>
      </c>
      <c r="B2178" s="1" t="s">
        <v>15850</v>
      </c>
      <c r="F2178">
        <v>1</v>
      </c>
      <c r="G2178" t="str">
        <f>HYPERLINK("http://babel.hathitrust.org/cgi/pt?id=yale.39002005285763")</f>
        <v>http://babel.hathitrust.org/cgi/pt?id=yale.39002005285763</v>
      </c>
      <c r="H2178" t="str">
        <f>HYPERLINK("http://catalog.hathitrust.org/Record/001653727")</f>
        <v>http://catalog.hathitrust.org/Record/001653727</v>
      </c>
      <c r="I2178" s="1" t="s">
        <v>15852</v>
      </c>
      <c r="J2178" s="1">
        <v>1905</v>
      </c>
      <c r="K2178" t="s">
        <v>15851</v>
      </c>
      <c r="L2178" t="s">
        <v>15853</v>
      </c>
    </row>
    <row r="2179" spans="1:12">
      <c r="A2179" t="s">
        <v>15854</v>
      </c>
      <c r="B2179" s="1" t="s">
        <v>15855</v>
      </c>
      <c r="F2179">
        <v>1</v>
      </c>
      <c r="G2179" t="str">
        <f>HYPERLINK("http://babel.hathitrust.org/cgi/pt?id=mdp.39015056492625")</f>
        <v>http://babel.hathitrust.org/cgi/pt?id=mdp.39015056492625</v>
      </c>
      <c r="H2179" t="str">
        <f>HYPERLINK("http://catalog.hathitrust.org/Record/001654851")</f>
        <v>http://catalog.hathitrust.org/Record/001654851</v>
      </c>
      <c r="I2179" s="1" t="s">
        <v>16391</v>
      </c>
      <c r="J2179" s="1">
        <v>1919</v>
      </c>
      <c r="K2179" t="s">
        <v>15856</v>
      </c>
      <c r="L2179" t="s">
        <v>17526</v>
      </c>
    </row>
    <row r="2180" spans="1:12">
      <c r="A2180" t="s">
        <v>15857</v>
      </c>
      <c r="B2180" s="1" t="s">
        <v>15855</v>
      </c>
      <c r="F2180">
        <v>1</v>
      </c>
      <c r="G2180" t="str">
        <f>HYPERLINK("http://babel.hathitrust.org/cgi/pt?id=mdp.39015056492633")</f>
        <v>http://babel.hathitrust.org/cgi/pt?id=mdp.39015056492633</v>
      </c>
      <c r="H2180" t="str">
        <f>HYPERLINK("http://catalog.hathitrust.org/Record/001654851")</f>
        <v>http://catalog.hathitrust.org/Record/001654851</v>
      </c>
      <c r="I2180" s="1" t="s">
        <v>15858</v>
      </c>
      <c r="J2180" s="1">
        <v>1919</v>
      </c>
      <c r="K2180" t="s">
        <v>15856</v>
      </c>
      <c r="L2180" t="s">
        <v>17526</v>
      </c>
    </row>
    <row r="2181" spans="1:12">
      <c r="A2181" t="s">
        <v>15859</v>
      </c>
      <c r="B2181" s="1" t="s">
        <v>15855</v>
      </c>
      <c r="F2181">
        <v>1</v>
      </c>
      <c r="G2181" t="str">
        <f>HYPERLINK("http://babel.hathitrust.org/cgi/pt?id=uc1.32106006275579")</f>
        <v>http://babel.hathitrust.org/cgi/pt?id=uc1.32106006275579</v>
      </c>
      <c r="H2181" t="str">
        <f>HYPERLINK("http://catalog.hathitrust.org/Record/001654851")</f>
        <v>http://catalog.hathitrust.org/Record/001654851</v>
      </c>
      <c r="J2181" s="1">
        <v>1919</v>
      </c>
      <c r="K2181" t="s">
        <v>15856</v>
      </c>
      <c r="L2181" t="s">
        <v>17526</v>
      </c>
    </row>
    <row r="2182" spans="1:12">
      <c r="A2182" t="s">
        <v>15860</v>
      </c>
      <c r="B2182" s="1" t="s">
        <v>15855</v>
      </c>
      <c r="F2182">
        <v>1</v>
      </c>
      <c r="G2182" t="str">
        <f>HYPERLINK("http://babel.hathitrust.org/cgi/pt?id=wu.89013594031")</f>
        <v>http://babel.hathitrust.org/cgi/pt?id=wu.89013594031</v>
      </c>
      <c r="H2182" t="str">
        <f>HYPERLINK("http://catalog.hathitrust.org/Record/001654851")</f>
        <v>http://catalog.hathitrust.org/Record/001654851</v>
      </c>
      <c r="J2182" s="1">
        <v>1919</v>
      </c>
      <c r="K2182" t="s">
        <v>15856</v>
      </c>
      <c r="L2182" t="s">
        <v>17526</v>
      </c>
    </row>
    <row r="2183" spans="1:12">
      <c r="A2183" t="s">
        <v>15861</v>
      </c>
      <c r="B2183" s="1" t="s">
        <v>15862</v>
      </c>
      <c r="F2183">
        <v>1</v>
      </c>
      <c r="G2183" t="str">
        <f>HYPERLINK("http://babel.hathitrust.org/cgi/pt?id=uc1.32106001507372")</f>
        <v>http://babel.hathitrust.org/cgi/pt?id=uc1.32106001507372</v>
      </c>
      <c r="H2183" t="str">
        <f>HYPERLINK("http://catalog.hathitrust.org/Record/001654895")</f>
        <v>http://catalog.hathitrust.org/Record/001654895</v>
      </c>
      <c r="J2183" s="1">
        <v>1940</v>
      </c>
      <c r="K2183" t="s">
        <v>15863</v>
      </c>
      <c r="L2183" t="s">
        <v>19749</v>
      </c>
    </row>
    <row r="2184" spans="1:12">
      <c r="A2184" t="s">
        <v>15864</v>
      </c>
      <c r="B2184" s="1" t="s">
        <v>15865</v>
      </c>
      <c r="F2184">
        <v>1</v>
      </c>
      <c r="G2184" t="str">
        <f>HYPERLINK("http://babel.hathitrust.org/cgi/pt?id=uc1.32106001507414")</f>
        <v>http://babel.hathitrust.org/cgi/pt?id=uc1.32106001507414</v>
      </c>
      <c r="H2184" t="str">
        <f>HYPERLINK("http://catalog.hathitrust.org/Record/001654899")</f>
        <v>http://catalog.hathitrust.org/Record/001654899</v>
      </c>
      <c r="J2184" s="1">
        <v>1944</v>
      </c>
      <c r="K2184" t="s">
        <v>15866</v>
      </c>
      <c r="L2184" t="s">
        <v>15867</v>
      </c>
    </row>
    <row r="2185" spans="1:12">
      <c r="A2185" t="s">
        <v>15868</v>
      </c>
      <c r="B2185" s="1" t="s">
        <v>15869</v>
      </c>
      <c r="F2185">
        <v>1</v>
      </c>
      <c r="G2185" t="str">
        <f>HYPERLINK("http://babel.hathitrust.org/cgi/pt?id=uc1.b4320728")</f>
        <v>http://babel.hathitrust.org/cgi/pt?id=uc1.b4320728</v>
      </c>
      <c r="H2185" t="str">
        <f>HYPERLINK("http://catalog.hathitrust.org/Record/001655626")</f>
        <v>http://catalog.hathitrust.org/Record/001655626</v>
      </c>
      <c r="J2185" s="1">
        <v>1939</v>
      </c>
      <c r="K2185" t="s">
        <v>15870</v>
      </c>
      <c r="L2185" t="s">
        <v>15871</v>
      </c>
    </row>
    <row r="2186" spans="1:12">
      <c r="A2186" t="s">
        <v>15872</v>
      </c>
      <c r="B2186" s="1" t="s">
        <v>15873</v>
      </c>
      <c r="F2186">
        <v>1</v>
      </c>
      <c r="G2186" t="str">
        <f>HYPERLINK("http://babel.hathitrust.org/cgi/pt?id=mdp.39015063951712")</f>
        <v>http://babel.hathitrust.org/cgi/pt?id=mdp.39015063951712</v>
      </c>
      <c r="H2186" t="str">
        <f>HYPERLINK("http://catalog.hathitrust.org/Record/001657247")</f>
        <v>http://catalog.hathitrust.org/Record/001657247</v>
      </c>
      <c r="I2186" s="1" t="s">
        <v>19240</v>
      </c>
      <c r="J2186" s="1">
        <v>1935</v>
      </c>
      <c r="K2186" t="s">
        <v>15874</v>
      </c>
      <c r="L2186" t="s">
        <v>15875</v>
      </c>
    </row>
    <row r="2187" spans="1:12">
      <c r="A2187" t="s">
        <v>15876</v>
      </c>
      <c r="B2187" s="1" t="s">
        <v>15877</v>
      </c>
      <c r="F2187">
        <v>1</v>
      </c>
      <c r="G2187" t="str">
        <f>HYPERLINK("http://babel.hathitrust.org/cgi/pt?id=coo.31924006225712")</f>
        <v>http://babel.hathitrust.org/cgi/pt?id=coo.31924006225712</v>
      </c>
      <c r="H2187" t="str">
        <f>HYPERLINK("http://catalog.hathitrust.org/Record/001658696")</f>
        <v>http://catalog.hathitrust.org/Record/001658696</v>
      </c>
      <c r="I2187" s="1" t="s">
        <v>15879</v>
      </c>
      <c r="J2187" s="1">
        <v>1916</v>
      </c>
      <c r="K2187" t="s">
        <v>15878</v>
      </c>
      <c r="L2187" t="s">
        <v>15880</v>
      </c>
    </row>
    <row r="2188" spans="1:12">
      <c r="A2188" t="s">
        <v>15881</v>
      </c>
      <c r="B2188" s="1" t="s">
        <v>15877</v>
      </c>
      <c r="F2188">
        <v>1</v>
      </c>
      <c r="G2188" t="str">
        <f>HYPERLINK("http://babel.hathitrust.org/cgi/pt?id=loc.ark:/13960/t59c7jc4w")</f>
        <v>http://babel.hathitrust.org/cgi/pt?id=loc.ark:/13960/t59c7jc4w</v>
      </c>
      <c r="H2188" t="str">
        <f>HYPERLINK("http://catalog.hathitrust.org/Record/001658696")</f>
        <v>http://catalog.hathitrust.org/Record/001658696</v>
      </c>
      <c r="J2188" s="1">
        <v>1916</v>
      </c>
      <c r="K2188" t="s">
        <v>15878</v>
      </c>
      <c r="L2188" t="s">
        <v>15880</v>
      </c>
    </row>
    <row r="2189" spans="1:12">
      <c r="A2189" t="s">
        <v>15882</v>
      </c>
      <c r="B2189" s="1" t="s">
        <v>15877</v>
      </c>
      <c r="F2189">
        <v>1</v>
      </c>
      <c r="G2189" t="str">
        <f>HYPERLINK("http://babel.hathitrust.org/cgi/pt?id=uc2.ark:/13960/t9w098m61")</f>
        <v>http://babel.hathitrust.org/cgi/pt?id=uc2.ark:/13960/t9w098m61</v>
      </c>
      <c r="H2189" t="str">
        <f>HYPERLINK("http://catalog.hathitrust.org/Record/001658696")</f>
        <v>http://catalog.hathitrust.org/Record/001658696</v>
      </c>
      <c r="J2189" s="1">
        <v>1916</v>
      </c>
      <c r="K2189" t="s">
        <v>15878</v>
      </c>
      <c r="L2189" t="s">
        <v>15880</v>
      </c>
    </row>
    <row r="2190" spans="1:12">
      <c r="A2190" t="s">
        <v>15883</v>
      </c>
      <c r="B2190" s="1" t="s">
        <v>15884</v>
      </c>
      <c r="F2190">
        <v>1</v>
      </c>
      <c r="G2190" t="str">
        <f>HYPERLINK("http://babel.hathitrust.org/cgi/pt?id=uc1.b30342")</f>
        <v>http://babel.hathitrust.org/cgi/pt?id=uc1.b30342</v>
      </c>
      <c r="H2190" t="str">
        <f>HYPERLINK("http://catalog.hathitrust.org/Record/001660491")</f>
        <v>http://catalog.hathitrust.org/Record/001660491</v>
      </c>
      <c r="J2190" s="1">
        <v>1927</v>
      </c>
      <c r="K2190" t="s">
        <v>15885</v>
      </c>
      <c r="L2190" t="s">
        <v>15886</v>
      </c>
    </row>
    <row r="2191" spans="1:12">
      <c r="A2191" t="s">
        <v>15887</v>
      </c>
      <c r="B2191" s="1" t="s">
        <v>15888</v>
      </c>
      <c r="F2191">
        <v>1</v>
      </c>
      <c r="G2191" t="str">
        <f>HYPERLINK("http://babel.hathitrust.org/cgi/pt?id=mdp.39015001527137")</f>
        <v>http://babel.hathitrust.org/cgi/pt?id=mdp.39015001527137</v>
      </c>
      <c r="H2191" t="str">
        <f>HYPERLINK("http://catalog.hathitrust.org/Record/001666215")</f>
        <v>http://catalog.hathitrust.org/Record/001666215</v>
      </c>
      <c r="J2191" s="1">
        <v>1911</v>
      </c>
      <c r="K2191" t="s">
        <v>15889</v>
      </c>
    </row>
    <row r="2192" spans="1:12">
      <c r="A2192" t="s">
        <v>15890</v>
      </c>
      <c r="B2192" s="1" t="s">
        <v>15888</v>
      </c>
      <c r="F2192">
        <v>1</v>
      </c>
      <c r="G2192" t="str">
        <f>HYPERLINK("http://babel.hathitrust.org/cgi/pt?id=uc2.ark:/13960/t8cf9mw69")</f>
        <v>http://babel.hathitrust.org/cgi/pt?id=uc2.ark:/13960/t8cf9mw69</v>
      </c>
      <c r="H2192" t="str">
        <f>HYPERLINK("http://catalog.hathitrust.org/Record/001666215")</f>
        <v>http://catalog.hathitrust.org/Record/001666215</v>
      </c>
      <c r="J2192" s="1">
        <v>1911</v>
      </c>
      <c r="K2192" t="s">
        <v>15889</v>
      </c>
    </row>
    <row r="2193" spans="1:12">
      <c r="A2193" t="s">
        <v>15891</v>
      </c>
      <c r="B2193" s="1" t="s">
        <v>15892</v>
      </c>
      <c r="F2193">
        <v>1</v>
      </c>
      <c r="G2193" t="str">
        <f>HYPERLINK("http://babel.hathitrust.org/cgi/pt?id=mdp.39015009104277")</f>
        <v>http://babel.hathitrust.org/cgi/pt?id=mdp.39015009104277</v>
      </c>
      <c r="H2193" t="str">
        <f>HYPERLINK("http://catalog.hathitrust.org/Record/001670326")</f>
        <v>http://catalog.hathitrust.org/Record/001670326</v>
      </c>
      <c r="J2193" s="1">
        <v>1891</v>
      </c>
      <c r="K2193" t="s">
        <v>15893</v>
      </c>
      <c r="L2193" t="s">
        <v>19204</v>
      </c>
    </row>
    <row r="2194" spans="1:12">
      <c r="A2194" t="s">
        <v>15894</v>
      </c>
      <c r="B2194" s="1" t="s">
        <v>15892</v>
      </c>
      <c r="F2194">
        <v>1</v>
      </c>
      <c r="G2194" t="str">
        <f>HYPERLINK("http://babel.hathitrust.org/cgi/pt?id=nyp.33433082508684")</f>
        <v>http://babel.hathitrust.org/cgi/pt?id=nyp.33433082508684</v>
      </c>
      <c r="H2194" t="str">
        <f>HYPERLINK("http://catalog.hathitrust.org/Record/001670326")</f>
        <v>http://catalog.hathitrust.org/Record/001670326</v>
      </c>
      <c r="J2194" s="1">
        <v>1891</v>
      </c>
      <c r="K2194" t="s">
        <v>15893</v>
      </c>
      <c r="L2194" t="s">
        <v>19204</v>
      </c>
    </row>
    <row r="2195" spans="1:12">
      <c r="A2195" t="s">
        <v>15895</v>
      </c>
      <c r="B2195" s="1" t="s">
        <v>15896</v>
      </c>
      <c r="F2195">
        <v>1</v>
      </c>
      <c r="G2195" t="str">
        <f>HYPERLINK("http://babel.hathitrust.org/cgi/pt?id=mdp.39015039641165")</f>
        <v>http://babel.hathitrust.org/cgi/pt?id=mdp.39015039641165</v>
      </c>
      <c r="H2195" t="str">
        <f>HYPERLINK("http://catalog.hathitrust.org/Record/001670607")</f>
        <v>http://catalog.hathitrust.org/Record/001670607</v>
      </c>
      <c r="J2195" s="1">
        <v>1913</v>
      </c>
      <c r="K2195" t="s">
        <v>15897</v>
      </c>
      <c r="L2195" t="s">
        <v>15898</v>
      </c>
    </row>
    <row r="2196" spans="1:12">
      <c r="A2196" t="s">
        <v>15899</v>
      </c>
      <c r="B2196" s="1" t="s">
        <v>15896</v>
      </c>
      <c r="F2196">
        <v>1</v>
      </c>
      <c r="G2196" t="str">
        <f>HYPERLINK("http://babel.hathitrust.org/cgi/pt?id=uc2.ark:/13960/t3514101x")</f>
        <v>http://babel.hathitrust.org/cgi/pt?id=uc2.ark:/13960/t3514101x</v>
      </c>
      <c r="H2196" t="str">
        <f>HYPERLINK("http://catalog.hathitrust.org/Record/001670607")</f>
        <v>http://catalog.hathitrust.org/Record/001670607</v>
      </c>
      <c r="J2196" s="1">
        <v>1913</v>
      </c>
      <c r="K2196" t="s">
        <v>15897</v>
      </c>
      <c r="L2196" t="s">
        <v>15898</v>
      </c>
    </row>
    <row r="2197" spans="1:12">
      <c r="A2197" t="s">
        <v>15900</v>
      </c>
      <c r="B2197" s="1" t="s">
        <v>15901</v>
      </c>
      <c r="F2197">
        <v>1</v>
      </c>
      <c r="G2197" t="str">
        <f>HYPERLINK("http://babel.hathitrust.org/cgi/pt?id=njp.32101067685675")</f>
        <v>http://babel.hathitrust.org/cgi/pt?id=njp.32101067685675</v>
      </c>
      <c r="H2197" t="str">
        <f>HYPERLINK("http://catalog.hathitrust.org/Record/001672354")</f>
        <v>http://catalog.hathitrust.org/Record/001672354</v>
      </c>
      <c r="J2197" s="1">
        <v>1897</v>
      </c>
      <c r="K2197" t="s">
        <v>15902</v>
      </c>
      <c r="L2197" t="s">
        <v>17454</v>
      </c>
    </row>
    <row r="2198" spans="1:12">
      <c r="A2198" t="s">
        <v>15903</v>
      </c>
      <c r="B2198" s="1" t="s">
        <v>15904</v>
      </c>
      <c r="F2198">
        <v>1</v>
      </c>
      <c r="G2198" t="str">
        <f>HYPERLINK("http://babel.hathitrust.org/cgi/pt?id=wu.89105752869")</f>
        <v>http://babel.hathitrust.org/cgi/pt?id=wu.89105752869</v>
      </c>
      <c r="H2198" t="str">
        <f>HYPERLINK("http://catalog.hathitrust.org/Record/001672380")</f>
        <v>http://catalog.hathitrust.org/Record/001672380</v>
      </c>
      <c r="J2198" s="1">
        <v>1912</v>
      </c>
      <c r="K2198" t="s">
        <v>15905</v>
      </c>
      <c r="L2198" t="s">
        <v>15906</v>
      </c>
    </row>
    <row r="2199" spans="1:12">
      <c r="A2199" t="s">
        <v>15907</v>
      </c>
      <c r="B2199" s="1" t="s">
        <v>15908</v>
      </c>
      <c r="F2199">
        <v>1</v>
      </c>
      <c r="G2199" t="str">
        <f>HYPERLINK("http://babel.hathitrust.org/cgi/pt?id=uc1.b240554")</f>
        <v>http://babel.hathitrust.org/cgi/pt?id=uc1.b240554</v>
      </c>
      <c r="H2199" t="str">
        <f>HYPERLINK("http://catalog.hathitrust.org/Record/001674264")</f>
        <v>http://catalog.hathitrust.org/Record/001674264</v>
      </c>
      <c r="I2199" s="1" t="s">
        <v>20439</v>
      </c>
      <c r="J2199" s="1">
        <v>1915</v>
      </c>
      <c r="K2199" t="s">
        <v>15909</v>
      </c>
      <c r="L2199" t="s">
        <v>15797</v>
      </c>
    </row>
    <row r="2200" spans="1:12">
      <c r="A2200" t="s">
        <v>15798</v>
      </c>
      <c r="B2200" s="1" t="s">
        <v>15799</v>
      </c>
      <c r="F2200">
        <v>1</v>
      </c>
      <c r="G2200" t="str">
        <f>HYPERLINK("http://babel.hathitrust.org/cgi/pt?id=uc1.b3390739")</f>
        <v>http://babel.hathitrust.org/cgi/pt?id=uc1.b3390739</v>
      </c>
      <c r="H2200" t="str">
        <f>HYPERLINK("http://catalog.hathitrust.org/Record/001675305")</f>
        <v>http://catalog.hathitrust.org/Record/001675305</v>
      </c>
      <c r="J2200" s="1">
        <v>1922</v>
      </c>
      <c r="K2200" t="s">
        <v>15800</v>
      </c>
      <c r="L2200" t="s">
        <v>15801</v>
      </c>
    </row>
    <row r="2201" spans="1:12">
      <c r="A2201" t="s">
        <v>15802</v>
      </c>
      <c r="B2201" s="1" t="s">
        <v>15799</v>
      </c>
      <c r="F2201">
        <v>1</v>
      </c>
      <c r="G2201" t="str">
        <f>HYPERLINK("http://babel.hathitrust.org/cgi/pt?id=uc2.ark:/13960/t9j38vq21")</f>
        <v>http://babel.hathitrust.org/cgi/pt?id=uc2.ark:/13960/t9j38vq21</v>
      </c>
      <c r="H2201" t="str">
        <f>HYPERLINK("http://catalog.hathitrust.org/Record/001675305")</f>
        <v>http://catalog.hathitrust.org/Record/001675305</v>
      </c>
      <c r="J2201" s="1">
        <v>1922</v>
      </c>
      <c r="K2201" t="s">
        <v>15800</v>
      </c>
      <c r="L2201" t="s">
        <v>15801</v>
      </c>
    </row>
    <row r="2202" spans="1:12">
      <c r="A2202" t="s">
        <v>15803</v>
      </c>
      <c r="B2202" s="1" t="s">
        <v>15804</v>
      </c>
      <c r="F2202">
        <v>1</v>
      </c>
      <c r="G2202" t="str">
        <f>HYPERLINK("http://babel.hathitrust.org/cgi/pt?id=wu.89099902322")</f>
        <v>http://babel.hathitrust.org/cgi/pt?id=wu.89099902322</v>
      </c>
      <c r="H2202" t="str">
        <f>HYPERLINK("http://catalog.hathitrust.org/Record/001680339")</f>
        <v>http://catalog.hathitrust.org/Record/001680339</v>
      </c>
      <c r="J2202" s="1">
        <v>1941</v>
      </c>
      <c r="K2202" t="s">
        <v>15805</v>
      </c>
      <c r="L2202" t="s">
        <v>15806</v>
      </c>
    </row>
    <row r="2203" spans="1:12">
      <c r="A2203" t="s">
        <v>15807</v>
      </c>
      <c r="B2203" s="1" t="s">
        <v>15808</v>
      </c>
      <c r="F2203">
        <v>1</v>
      </c>
      <c r="G2203" t="str">
        <f>HYPERLINK("http://babel.hathitrust.org/cgi/pt?id=mdp.39015008608906")</f>
        <v>http://babel.hathitrust.org/cgi/pt?id=mdp.39015008608906</v>
      </c>
      <c r="H2203" t="str">
        <f>HYPERLINK("http://catalog.hathitrust.org/Record/001683924")</f>
        <v>http://catalog.hathitrust.org/Record/001683924</v>
      </c>
      <c r="J2203" s="1">
        <v>1935</v>
      </c>
      <c r="K2203" t="s">
        <v>15809</v>
      </c>
      <c r="L2203" t="s">
        <v>15810</v>
      </c>
    </row>
    <row r="2204" spans="1:12">
      <c r="A2204" t="s">
        <v>15811</v>
      </c>
      <c r="B2204" s="1" t="s">
        <v>15812</v>
      </c>
      <c r="F2204">
        <v>1</v>
      </c>
      <c r="G2204" t="str">
        <f>HYPERLINK("http://babel.hathitrust.org/cgi/pt?id=mdp.39015008489323")</f>
        <v>http://babel.hathitrust.org/cgi/pt?id=mdp.39015008489323</v>
      </c>
      <c r="H2204" t="str">
        <f>HYPERLINK("http://catalog.hathitrust.org/Record/001683927")</f>
        <v>http://catalog.hathitrust.org/Record/001683927</v>
      </c>
      <c r="J2204" s="1">
        <v>1938</v>
      </c>
      <c r="K2204" t="s">
        <v>15813</v>
      </c>
      <c r="L2204" t="s">
        <v>15814</v>
      </c>
    </row>
    <row r="2205" spans="1:12">
      <c r="A2205" t="s">
        <v>15815</v>
      </c>
      <c r="B2205" s="1" t="s">
        <v>15812</v>
      </c>
      <c r="F2205">
        <v>1</v>
      </c>
      <c r="G2205" t="str">
        <f>HYPERLINK("http://babel.hathitrust.org/cgi/pt?id=uc1.b63543")</f>
        <v>http://babel.hathitrust.org/cgi/pt?id=uc1.b63543</v>
      </c>
      <c r="H2205" t="str">
        <f>HYPERLINK("http://catalog.hathitrust.org/Record/001683927")</f>
        <v>http://catalog.hathitrust.org/Record/001683927</v>
      </c>
      <c r="J2205" s="1">
        <v>1938</v>
      </c>
      <c r="K2205" t="s">
        <v>15813</v>
      </c>
      <c r="L2205" t="s">
        <v>15814</v>
      </c>
    </row>
    <row r="2206" spans="1:12">
      <c r="A2206" t="s">
        <v>15816</v>
      </c>
      <c r="B2206" s="1" t="s">
        <v>15817</v>
      </c>
      <c r="F2206">
        <v>1</v>
      </c>
      <c r="G2206" t="str">
        <f>HYPERLINK("http://babel.hathitrust.org/cgi/pt?id=mdp.39015030927399")</f>
        <v>http://babel.hathitrust.org/cgi/pt?id=mdp.39015030927399</v>
      </c>
      <c r="H2206" t="str">
        <f>HYPERLINK("http://catalog.hathitrust.org/Record/001689985")</f>
        <v>http://catalog.hathitrust.org/Record/001689985</v>
      </c>
      <c r="J2206" s="1">
        <v>1908</v>
      </c>
      <c r="K2206" t="s">
        <v>15818</v>
      </c>
      <c r="L2206" t="s">
        <v>15819</v>
      </c>
    </row>
    <row r="2207" spans="1:12">
      <c r="A2207" t="s">
        <v>15820</v>
      </c>
      <c r="B2207" s="1" t="s">
        <v>15821</v>
      </c>
      <c r="F2207">
        <v>1</v>
      </c>
      <c r="G2207" t="str">
        <f>HYPERLINK("http://babel.hathitrust.org/cgi/pt?id=uc2.ark:/13960/t00z72p0w")</f>
        <v>http://babel.hathitrust.org/cgi/pt?id=uc2.ark:/13960/t00z72p0w</v>
      </c>
      <c r="H2207" t="str">
        <f>HYPERLINK("http://catalog.hathitrust.org/Record/001689987")</f>
        <v>http://catalog.hathitrust.org/Record/001689987</v>
      </c>
      <c r="I2207" s="1" t="s">
        <v>15823</v>
      </c>
      <c r="J2207" s="1">
        <v>1910</v>
      </c>
      <c r="K2207" t="s">
        <v>15822</v>
      </c>
      <c r="L2207" t="s">
        <v>15824</v>
      </c>
    </row>
    <row r="2208" spans="1:12">
      <c r="A2208" t="s">
        <v>15825</v>
      </c>
      <c r="B2208" s="1" t="s">
        <v>15821</v>
      </c>
      <c r="F2208">
        <v>1</v>
      </c>
      <c r="G2208" t="str">
        <f>HYPERLINK("http://babel.hathitrust.org/cgi/pt?id=uc2.ark:/13960/t0cv4dh20")</f>
        <v>http://babel.hathitrust.org/cgi/pt?id=uc2.ark:/13960/t0cv4dh20</v>
      </c>
      <c r="H2208" t="str">
        <f>HYPERLINK("http://catalog.hathitrust.org/Record/001689987")</f>
        <v>http://catalog.hathitrust.org/Record/001689987</v>
      </c>
      <c r="I2208" s="1" t="s">
        <v>15826</v>
      </c>
      <c r="J2208" s="1">
        <v>1910</v>
      </c>
      <c r="K2208" t="s">
        <v>15822</v>
      </c>
      <c r="L2208" t="s">
        <v>15824</v>
      </c>
    </row>
    <row r="2209" spans="1:12">
      <c r="A2209" t="s">
        <v>15827</v>
      </c>
      <c r="B2209" s="1" t="s">
        <v>15828</v>
      </c>
      <c r="F2209">
        <v>1</v>
      </c>
      <c r="G2209" t="str">
        <f>HYPERLINK("http://babel.hathitrust.org/cgi/pt?id=njp.32101074259720")</f>
        <v>http://babel.hathitrust.org/cgi/pt?id=njp.32101074259720</v>
      </c>
      <c r="H2209" t="str">
        <f>HYPERLINK("http://catalog.hathitrust.org/Record/001689990")</f>
        <v>http://catalog.hathitrust.org/Record/001689990</v>
      </c>
      <c r="J2209" s="1">
        <v>1917</v>
      </c>
      <c r="K2209" t="s">
        <v>15829</v>
      </c>
      <c r="L2209" t="s">
        <v>15824</v>
      </c>
    </row>
    <row r="2210" spans="1:12">
      <c r="A2210" t="s">
        <v>15830</v>
      </c>
      <c r="B2210" s="1" t="s">
        <v>15831</v>
      </c>
      <c r="D2210">
        <v>1</v>
      </c>
      <c r="G2210" t="str">
        <f>HYPERLINK("http://babel.hathitrust.org/cgi/pt?id=loc.ark:/13960/t0xp7hp6s")</f>
        <v>http://babel.hathitrust.org/cgi/pt?id=loc.ark:/13960/t0xp7hp6s</v>
      </c>
      <c r="H2210" t="str">
        <f>HYPERLINK("http://catalog.hathitrust.org/Record/001690244")</f>
        <v>http://catalog.hathitrust.org/Record/001690244</v>
      </c>
      <c r="J2210" s="1">
        <v>1920</v>
      </c>
      <c r="K2210" t="s">
        <v>15832</v>
      </c>
      <c r="L2210" t="s">
        <v>15833</v>
      </c>
    </row>
    <row r="2211" spans="1:12">
      <c r="A2211" t="s">
        <v>15834</v>
      </c>
      <c r="B2211" s="1" t="s">
        <v>15835</v>
      </c>
      <c r="E2211">
        <v>1</v>
      </c>
      <c r="G2211" t="str">
        <f>HYPERLINK("http://babel.hathitrust.org/cgi/pt?id=njp.32101074200302")</f>
        <v>http://babel.hathitrust.org/cgi/pt?id=njp.32101074200302</v>
      </c>
      <c r="H2211" t="str">
        <f>HYPERLINK("http://catalog.hathitrust.org/Record/001692414")</f>
        <v>http://catalog.hathitrust.org/Record/001692414</v>
      </c>
      <c r="J2211" s="1">
        <v>1807</v>
      </c>
      <c r="K2211" t="s">
        <v>15836</v>
      </c>
      <c r="L2211" t="s">
        <v>20960</v>
      </c>
    </row>
    <row r="2212" spans="1:12">
      <c r="A2212" t="s">
        <v>15837</v>
      </c>
      <c r="B2212" s="1" t="s">
        <v>15838</v>
      </c>
      <c r="F2212">
        <v>1</v>
      </c>
      <c r="G2212" t="str">
        <f>HYPERLINK("http://babel.hathitrust.org/cgi/pt?id=njp.32101007997396")</f>
        <v>http://babel.hathitrust.org/cgi/pt?id=njp.32101007997396</v>
      </c>
      <c r="H2212" t="str">
        <f>HYPERLINK("http://catalog.hathitrust.org/Record/001692569")</f>
        <v>http://catalog.hathitrust.org/Record/001692569</v>
      </c>
      <c r="J2212" s="1">
        <v>1890</v>
      </c>
      <c r="K2212" t="s">
        <v>15839</v>
      </c>
      <c r="L2212" t="s">
        <v>19532</v>
      </c>
    </row>
    <row r="2213" spans="1:12">
      <c r="A2213" t="s">
        <v>15840</v>
      </c>
      <c r="B2213" s="1" t="s">
        <v>15841</v>
      </c>
      <c r="F2213">
        <v>1</v>
      </c>
      <c r="G2213" t="str">
        <f>HYPERLINK("http://babel.hathitrust.org/cgi/pt?id=loc.ark:/13960/t52f88q8w")</f>
        <v>http://babel.hathitrust.org/cgi/pt?id=loc.ark:/13960/t52f88q8w</v>
      </c>
      <c r="H2213" t="str">
        <f>HYPERLINK("http://catalog.hathitrust.org/Record/001692683")</f>
        <v>http://catalog.hathitrust.org/Record/001692683</v>
      </c>
      <c r="J2213" s="1">
        <v>1905</v>
      </c>
      <c r="K2213" t="s">
        <v>15842</v>
      </c>
      <c r="L2213" t="s">
        <v>15843</v>
      </c>
    </row>
    <row r="2214" spans="1:12">
      <c r="A2214" t="s">
        <v>15844</v>
      </c>
      <c r="B2214" s="1" t="s">
        <v>15841</v>
      </c>
      <c r="F2214">
        <v>1</v>
      </c>
      <c r="G2214" t="str">
        <f>HYPERLINK("http://babel.hathitrust.org/cgi/pt?id=uva.x001602419")</f>
        <v>http://babel.hathitrust.org/cgi/pt?id=uva.x001602419</v>
      </c>
      <c r="H2214" t="str">
        <f>HYPERLINK("http://catalog.hathitrust.org/Record/001692683")</f>
        <v>http://catalog.hathitrust.org/Record/001692683</v>
      </c>
      <c r="J2214" s="1">
        <v>1905</v>
      </c>
      <c r="K2214" t="s">
        <v>15842</v>
      </c>
      <c r="L2214" t="s">
        <v>15843</v>
      </c>
    </row>
    <row r="2215" spans="1:12">
      <c r="A2215" t="s">
        <v>15845</v>
      </c>
      <c r="B2215" s="1" t="s">
        <v>15846</v>
      </c>
      <c r="F2215">
        <v>1</v>
      </c>
      <c r="G2215" t="str">
        <f>HYPERLINK("http://babel.hathitrust.org/cgi/pt?id=mdp.39015055337706")</f>
        <v>http://babel.hathitrust.org/cgi/pt?id=mdp.39015055337706</v>
      </c>
      <c r="H2215" t="str">
        <f>HYPERLINK("http://catalog.hathitrust.org/Record/001693350")</f>
        <v>http://catalog.hathitrust.org/Record/001693350</v>
      </c>
      <c r="J2215" s="1">
        <v>1930</v>
      </c>
      <c r="K2215" t="s">
        <v>15847</v>
      </c>
      <c r="L2215" t="s">
        <v>15848</v>
      </c>
    </row>
    <row r="2216" spans="1:12">
      <c r="A2216" t="s">
        <v>15849</v>
      </c>
      <c r="B2216" s="1" t="s">
        <v>15745</v>
      </c>
      <c r="F2216">
        <v>1</v>
      </c>
      <c r="G2216" t="str">
        <f>HYPERLINK("http://babel.hathitrust.org/cgi/pt?id=mdp.39015063028412")</f>
        <v>http://babel.hathitrust.org/cgi/pt?id=mdp.39015063028412</v>
      </c>
      <c r="H2216" t="str">
        <f>HYPERLINK("http://catalog.hathitrust.org/Record/001724285")</f>
        <v>http://catalog.hathitrust.org/Record/001724285</v>
      </c>
      <c r="J2216" s="1">
        <v>1881</v>
      </c>
      <c r="K2216" t="s">
        <v>15746</v>
      </c>
      <c r="L2216" t="s">
        <v>15747</v>
      </c>
    </row>
    <row r="2217" spans="1:12">
      <c r="A2217" t="s">
        <v>15748</v>
      </c>
      <c r="B2217" s="1" t="s">
        <v>15745</v>
      </c>
      <c r="F2217">
        <v>1</v>
      </c>
      <c r="G2217" t="str">
        <f>HYPERLINK("http://babel.hathitrust.org/cgi/pt?id=mdp.39015063046836")</f>
        <v>http://babel.hathitrust.org/cgi/pt?id=mdp.39015063046836</v>
      </c>
      <c r="H2217" t="str">
        <f>HYPERLINK("http://catalog.hathitrust.org/Record/001724285")</f>
        <v>http://catalog.hathitrust.org/Record/001724285</v>
      </c>
      <c r="J2217" s="1">
        <v>1881</v>
      </c>
      <c r="K2217" t="s">
        <v>15746</v>
      </c>
      <c r="L2217" t="s">
        <v>15747</v>
      </c>
    </row>
    <row r="2218" spans="1:12">
      <c r="A2218" t="s">
        <v>15749</v>
      </c>
      <c r="B2218" s="1" t="s">
        <v>15750</v>
      </c>
      <c r="F2218">
        <v>1</v>
      </c>
      <c r="G2218" t="str">
        <f>HYPERLINK("http://babel.hathitrust.org/cgi/pt?id=mdp.39015063028255")</f>
        <v>http://babel.hathitrust.org/cgi/pt?id=mdp.39015063028255</v>
      </c>
      <c r="H2218" t="str">
        <f>HYPERLINK("http://catalog.hathitrust.org/Record/001724286")</f>
        <v>http://catalog.hathitrust.org/Record/001724286</v>
      </c>
      <c r="J2218" s="1">
        <v>1889</v>
      </c>
      <c r="K2218" t="s">
        <v>15746</v>
      </c>
      <c r="L2218" t="s">
        <v>15747</v>
      </c>
    </row>
    <row r="2219" spans="1:12">
      <c r="A2219" t="s">
        <v>15751</v>
      </c>
      <c r="B2219" s="1" t="s">
        <v>15752</v>
      </c>
      <c r="F2219">
        <v>1</v>
      </c>
      <c r="G2219" t="str">
        <f>HYPERLINK("http://babel.hathitrust.org/cgi/pt?id=miun.ahj8214.0001.001")</f>
        <v>http://babel.hathitrust.org/cgi/pt?id=miun.ahj8214.0001.001</v>
      </c>
      <c r="H2219" t="str">
        <f>HYPERLINK("http://catalog.hathitrust.org/Record/001724368")</f>
        <v>http://catalog.hathitrust.org/Record/001724368</v>
      </c>
      <c r="J2219" s="1">
        <v>1859</v>
      </c>
      <c r="K2219" t="s">
        <v>15753</v>
      </c>
      <c r="L2219" t="s">
        <v>15754</v>
      </c>
    </row>
    <row r="2220" spans="1:12">
      <c r="A2220" t="s">
        <v>15755</v>
      </c>
      <c r="B2220" s="1" t="s">
        <v>15756</v>
      </c>
      <c r="F2220">
        <v>1</v>
      </c>
      <c r="G2220" t="str">
        <f>HYPERLINK("http://babel.hathitrust.org/cgi/pt?id=mdp.39015010353582")</f>
        <v>http://babel.hathitrust.org/cgi/pt?id=mdp.39015010353582</v>
      </c>
      <c r="H2220" t="str">
        <f>HYPERLINK("http://catalog.hathitrust.org/Record/001724430")</f>
        <v>http://catalog.hathitrust.org/Record/001724430</v>
      </c>
      <c r="J2220" s="1">
        <v>1877</v>
      </c>
      <c r="K2220" t="s">
        <v>15757</v>
      </c>
      <c r="L2220" t="s">
        <v>15758</v>
      </c>
    </row>
    <row r="2221" spans="1:12">
      <c r="A2221" t="s">
        <v>15759</v>
      </c>
      <c r="B2221" s="1" t="s">
        <v>15760</v>
      </c>
      <c r="F2221">
        <v>1</v>
      </c>
      <c r="G2221" t="str">
        <f>HYPERLINK("http://babel.hathitrust.org/cgi/pt?id=mdp.39015057074562")</f>
        <v>http://babel.hathitrust.org/cgi/pt?id=mdp.39015057074562</v>
      </c>
      <c r="H2221" t="str">
        <f>HYPERLINK("http://catalog.hathitrust.org/Record/001724433")</f>
        <v>http://catalog.hathitrust.org/Record/001724433</v>
      </c>
      <c r="J2221" s="1">
        <v>1913</v>
      </c>
      <c r="K2221" t="s">
        <v>15761</v>
      </c>
      <c r="L2221" t="s">
        <v>15762</v>
      </c>
    </row>
    <row r="2222" spans="1:12">
      <c r="A2222" t="s">
        <v>15763</v>
      </c>
      <c r="B2222" s="1" t="s">
        <v>15760</v>
      </c>
      <c r="F2222">
        <v>1</v>
      </c>
      <c r="G2222" t="str">
        <f>HYPERLINK("http://babel.hathitrust.org/cgi/pt?id=uc1.32106001525879")</f>
        <v>http://babel.hathitrust.org/cgi/pt?id=uc1.32106001525879</v>
      </c>
      <c r="H2222" t="str">
        <f>HYPERLINK("http://catalog.hathitrust.org/Record/001724433")</f>
        <v>http://catalog.hathitrust.org/Record/001724433</v>
      </c>
      <c r="J2222" s="1">
        <v>1913</v>
      </c>
      <c r="K2222" t="s">
        <v>15761</v>
      </c>
      <c r="L2222" t="s">
        <v>15762</v>
      </c>
    </row>
    <row r="2223" spans="1:12">
      <c r="A2223" t="s">
        <v>15764</v>
      </c>
      <c r="B2223" s="1" t="s">
        <v>15765</v>
      </c>
      <c r="F2223">
        <v>1</v>
      </c>
      <c r="G2223" t="str">
        <f>HYPERLINK("http://babel.hathitrust.org/cgi/pt?id=mdp.39015009191142")</f>
        <v>http://babel.hathitrust.org/cgi/pt?id=mdp.39015009191142</v>
      </c>
      <c r="H2223" t="str">
        <f>HYPERLINK("http://catalog.hathitrust.org/Record/001725737")</f>
        <v>http://catalog.hathitrust.org/Record/001725737</v>
      </c>
      <c r="J2223" s="1">
        <v>1909</v>
      </c>
      <c r="K2223" t="s">
        <v>15766</v>
      </c>
      <c r="L2223" t="s">
        <v>15767</v>
      </c>
    </row>
    <row r="2224" spans="1:12">
      <c r="A2224" t="s">
        <v>15768</v>
      </c>
      <c r="B2224" s="1" t="s">
        <v>15769</v>
      </c>
      <c r="E2224">
        <v>1</v>
      </c>
      <c r="G2224" t="str">
        <f>HYPERLINK("http://babel.hathitrust.org/cgi/pt?id=hvd.32044028796258")</f>
        <v>http://babel.hathitrust.org/cgi/pt?id=hvd.32044028796258</v>
      </c>
      <c r="H2224" t="str">
        <f>HYPERLINK("http://catalog.hathitrust.org/Record/001733684")</f>
        <v>http://catalog.hathitrust.org/Record/001733684</v>
      </c>
      <c r="J2224" s="1">
        <v>1862</v>
      </c>
      <c r="K2224" t="s">
        <v>15770</v>
      </c>
      <c r="L2224" t="s">
        <v>16201</v>
      </c>
    </row>
    <row r="2225" spans="1:12">
      <c r="A2225" t="s">
        <v>15771</v>
      </c>
      <c r="B2225" s="1" t="s">
        <v>15772</v>
      </c>
      <c r="E2225">
        <v>1</v>
      </c>
      <c r="G2225" t="str">
        <f>HYPERLINK("http://babel.hathitrust.org/cgi/pt?id=mdp.39015062767382")</f>
        <v>http://babel.hathitrust.org/cgi/pt?id=mdp.39015062767382</v>
      </c>
      <c r="H2225" t="str">
        <f>HYPERLINK("http://catalog.hathitrust.org/Record/001734636")</f>
        <v>http://catalog.hathitrust.org/Record/001734636</v>
      </c>
      <c r="J2225" s="1">
        <v>1889</v>
      </c>
      <c r="K2225" t="s">
        <v>15773</v>
      </c>
      <c r="L2225" t="s">
        <v>15774</v>
      </c>
    </row>
    <row r="2226" spans="1:12">
      <c r="A2226" t="s">
        <v>15775</v>
      </c>
      <c r="B2226" s="1" t="s">
        <v>15776</v>
      </c>
      <c r="E2226">
        <v>1</v>
      </c>
      <c r="G2226" t="str">
        <f>HYPERLINK("http://babel.hathitrust.org/cgi/pt?id=mdp.39015074135339")</f>
        <v>http://babel.hathitrust.org/cgi/pt?id=mdp.39015074135339</v>
      </c>
      <c r="H2226" t="str">
        <f>HYPERLINK("http://catalog.hathitrust.org/Record/001734640")</f>
        <v>http://catalog.hathitrust.org/Record/001734640</v>
      </c>
      <c r="I2226" s="1" t="s">
        <v>15778</v>
      </c>
      <c r="J2226" s="1">
        <v>1918</v>
      </c>
      <c r="K2226" t="s">
        <v>15777</v>
      </c>
      <c r="L2226" t="s">
        <v>18848</v>
      </c>
    </row>
    <row r="2227" spans="1:12">
      <c r="A2227" t="s">
        <v>15779</v>
      </c>
      <c r="B2227" s="1" t="s">
        <v>15776</v>
      </c>
      <c r="E2227">
        <v>1</v>
      </c>
      <c r="G2227" t="str">
        <f>HYPERLINK("http://babel.hathitrust.org/cgi/pt?id=mdp.39015074135347")</f>
        <v>http://babel.hathitrust.org/cgi/pt?id=mdp.39015074135347</v>
      </c>
      <c r="H2227" t="str">
        <f>HYPERLINK("http://catalog.hathitrust.org/Record/001734640")</f>
        <v>http://catalog.hathitrust.org/Record/001734640</v>
      </c>
      <c r="I2227" s="1" t="s">
        <v>15780</v>
      </c>
      <c r="J2227" s="1">
        <v>1918</v>
      </c>
      <c r="K2227" t="s">
        <v>15777</v>
      </c>
      <c r="L2227" t="s">
        <v>18848</v>
      </c>
    </row>
    <row r="2228" spans="1:12">
      <c r="A2228" t="s">
        <v>15781</v>
      </c>
      <c r="B2228" s="1" t="s">
        <v>15776</v>
      </c>
      <c r="E2228">
        <v>1</v>
      </c>
      <c r="G2228" t="str">
        <f>HYPERLINK("http://babel.hathitrust.org/cgi/pt?id=mdp.39015074135354")</f>
        <v>http://babel.hathitrust.org/cgi/pt?id=mdp.39015074135354</v>
      </c>
      <c r="H2228" t="str">
        <f>HYPERLINK("http://catalog.hathitrust.org/Record/001734640")</f>
        <v>http://catalog.hathitrust.org/Record/001734640</v>
      </c>
      <c r="I2228" s="1" t="s">
        <v>15782</v>
      </c>
      <c r="J2228" s="1">
        <v>1918</v>
      </c>
      <c r="K2228" t="s">
        <v>15777</v>
      </c>
      <c r="L2228" t="s">
        <v>18848</v>
      </c>
    </row>
    <row r="2229" spans="1:12">
      <c r="A2229" t="s">
        <v>15783</v>
      </c>
      <c r="B2229" s="1" t="s">
        <v>15776</v>
      </c>
      <c r="E2229">
        <v>1</v>
      </c>
      <c r="G2229" t="str">
        <f>HYPERLINK("http://babel.hathitrust.org/cgi/pt?id=mdp.39015074135362")</f>
        <v>http://babel.hathitrust.org/cgi/pt?id=mdp.39015074135362</v>
      </c>
      <c r="H2229" t="str">
        <f>HYPERLINK("http://catalog.hathitrust.org/Record/001734640")</f>
        <v>http://catalog.hathitrust.org/Record/001734640</v>
      </c>
      <c r="I2229" s="1" t="s">
        <v>15784</v>
      </c>
      <c r="J2229" s="1">
        <v>1918</v>
      </c>
      <c r="K2229" t="s">
        <v>15777</v>
      </c>
      <c r="L2229" t="s">
        <v>18848</v>
      </c>
    </row>
    <row r="2230" spans="1:12">
      <c r="A2230" t="s">
        <v>15785</v>
      </c>
      <c r="B2230" s="1" t="s">
        <v>15786</v>
      </c>
      <c r="E2230">
        <v>1</v>
      </c>
      <c r="G2230" t="str">
        <f>HYPERLINK("http://babel.hathitrust.org/cgi/pt?id=mdp.39015073768361")</f>
        <v>http://babel.hathitrust.org/cgi/pt?id=mdp.39015073768361</v>
      </c>
      <c r="H2230" t="str">
        <f>HYPERLINK("http://catalog.hathitrust.org/Record/001734844")</f>
        <v>http://catalog.hathitrust.org/Record/001734844</v>
      </c>
      <c r="I2230" s="1" t="s">
        <v>20916</v>
      </c>
      <c r="J2230" s="1">
        <v>1810</v>
      </c>
      <c r="K2230" t="s">
        <v>15787</v>
      </c>
      <c r="L2230" t="s">
        <v>15788</v>
      </c>
    </row>
    <row r="2231" spans="1:12">
      <c r="A2231" t="s">
        <v>15789</v>
      </c>
      <c r="B2231" s="1" t="s">
        <v>15786</v>
      </c>
      <c r="E2231">
        <v>1</v>
      </c>
      <c r="G2231" t="str">
        <f>HYPERLINK("http://babel.hathitrust.org/cgi/pt?id=mdp.39015073768379")</f>
        <v>http://babel.hathitrust.org/cgi/pt?id=mdp.39015073768379</v>
      </c>
      <c r="H2231" t="str">
        <f>HYPERLINK("http://catalog.hathitrust.org/Record/001734844")</f>
        <v>http://catalog.hathitrust.org/Record/001734844</v>
      </c>
      <c r="I2231" s="1" t="s">
        <v>20755</v>
      </c>
      <c r="J2231" s="1">
        <v>1810</v>
      </c>
      <c r="K2231" t="s">
        <v>15787</v>
      </c>
      <c r="L2231" t="s">
        <v>15788</v>
      </c>
    </row>
    <row r="2232" spans="1:12">
      <c r="A2232" t="s">
        <v>15790</v>
      </c>
      <c r="B2232" s="1" t="s">
        <v>15786</v>
      </c>
      <c r="E2232">
        <v>1</v>
      </c>
      <c r="G2232" t="str">
        <f>HYPERLINK("http://babel.hathitrust.org/cgi/pt?id=mdp.39015073768387")</f>
        <v>http://babel.hathitrust.org/cgi/pt?id=mdp.39015073768387</v>
      </c>
      <c r="H2232" t="str">
        <f>HYPERLINK("http://catalog.hathitrust.org/Record/001734844")</f>
        <v>http://catalog.hathitrust.org/Record/001734844</v>
      </c>
      <c r="I2232" s="1" t="s">
        <v>20920</v>
      </c>
      <c r="J2232" s="1">
        <v>1810</v>
      </c>
      <c r="K2232" t="s">
        <v>15787</v>
      </c>
      <c r="L2232" t="s">
        <v>15788</v>
      </c>
    </row>
    <row r="2233" spans="1:12">
      <c r="A2233" t="s">
        <v>15791</v>
      </c>
      <c r="B2233" s="1" t="s">
        <v>15792</v>
      </c>
      <c r="E2233">
        <v>1</v>
      </c>
      <c r="G2233" t="str">
        <f>HYPERLINK("http://babel.hathitrust.org/cgi/pt?id=mdp.39015062743334")</f>
        <v>http://babel.hathitrust.org/cgi/pt?id=mdp.39015062743334</v>
      </c>
      <c r="H2233" t="str">
        <f>HYPERLINK("http://catalog.hathitrust.org/Record/001735271")</f>
        <v>http://catalog.hathitrust.org/Record/001735271</v>
      </c>
      <c r="J2233" s="1">
        <v>1915</v>
      </c>
      <c r="K2233" t="s">
        <v>15793</v>
      </c>
      <c r="L2233" t="s">
        <v>15794</v>
      </c>
    </row>
    <row r="2234" spans="1:12">
      <c r="A2234" t="s">
        <v>15795</v>
      </c>
      <c r="B2234" s="1" t="s">
        <v>15796</v>
      </c>
      <c r="E2234">
        <v>1</v>
      </c>
      <c r="G2234" t="str">
        <f>HYPERLINK("http://babel.hathitrust.org/cgi/pt?id=uc1.b305840")</f>
        <v>http://babel.hathitrust.org/cgi/pt?id=uc1.b305840</v>
      </c>
      <c r="H2234" t="str">
        <f>HYPERLINK("http://catalog.hathitrust.org/Record/001735281")</f>
        <v>http://catalog.hathitrust.org/Record/001735281</v>
      </c>
      <c r="J2234" s="1">
        <v>1897</v>
      </c>
      <c r="K2234" t="s">
        <v>15700</v>
      </c>
      <c r="L2234" t="s">
        <v>15701</v>
      </c>
    </row>
    <row r="2235" spans="1:12">
      <c r="A2235" t="s">
        <v>15702</v>
      </c>
      <c r="B2235" s="1" t="s">
        <v>15703</v>
      </c>
      <c r="E2235">
        <v>1</v>
      </c>
      <c r="G2235" t="str">
        <f>HYPERLINK("http://babel.hathitrust.org/cgi/pt?id=mdp.39015062745644")</f>
        <v>http://babel.hathitrust.org/cgi/pt?id=mdp.39015062745644</v>
      </c>
      <c r="H2235" t="str">
        <f>HYPERLINK("http://catalog.hathitrust.org/Record/001735371")</f>
        <v>http://catalog.hathitrust.org/Record/001735371</v>
      </c>
      <c r="J2235" s="1">
        <v>1894</v>
      </c>
      <c r="K2235" t="s">
        <v>15704</v>
      </c>
      <c r="L2235" t="s">
        <v>15705</v>
      </c>
    </row>
    <row r="2236" spans="1:12">
      <c r="A2236" t="s">
        <v>15706</v>
      </c>
      <c r="B2236" s="1" t="s">
        <v>15707</v>
      </c>
      <c r="F2236">
        <v>1</v>
      </c>
      <c r="G2236" t="str">
        <f>HYPERLINK("http://babel.hathitrust.org/cgi/pt?id=mdp.39015070326122")</f>
        <v>http://babel.hathitrust.org/cgi/pt?id=mdp.39015070326122</v>
      </c>
      <c r="H2236" t="str">
        <f>HYPERLINK("http://catalog.hathitrust.org/Record/001736090")</f>
        <v>http://catalog.hathitrust.org/Record/001736090</v>
      </c>
      <c r="J2236" s="1">
        <v>1963</v>
      </c>
      <c r="K2236" t="s">
        <v>15708</v>
      </c>
      <c r="L2236" t="s">
        <v>15709</v>
      </c>
    </row>
    <row r="2237" spans="1:12">
      <c r="A2237" t="s">
        <v>15710</v>
      </c>
      <c r="B2237" s="1" t="s">
        <v>15711</v>
      </c>
      <c r="F2237">
        <v>1</v>
      </c>
      <c r="G2237" t="str">
        <f>HYPERLINK("http://babel.hathitrust.org/cgi/pt?id=mdp.39015069415050")</f>
        <v>http://babel.hathitrust.org/cgi/pt?id=mdp.39015069415050</v>
      </c>
      <c r="H2237" t="str">
        <f>HYPERLINK("http://catalog.hathitrust.org/Record/001738765")</f>
        <v>http://catalog.hathitrust.org/Record/001738765</v>
      </c>
      <c r="J2237" s="1">
        <v>1914</v>
      </c>
      <c r="K2237" t="s">
        <v>15712</v>
      </c>
      <c r="L2237" t="s">
        <v>16950</v>
      </c>
    </row>
    <row r="2238" spans="1:12">
      <c r="A2238" t="s">
        <v>15713</v>
      </c>
      <c r="B2238" s="1" t="s">
        <v>15711</v>
      </c>
      <c r="F2238">
        <v>1</v>
      </c>
      <c r="G2238" t="str">
        <f>HYPERLINK("http://babel.hathitrust.org/cgi/pt?id=uc1.b3126453")</f>
        <v>http://babel.hathitrust.org/cgi/pt?id=uc1.b3126453</v>
      </c>
      <c r="H2238" t="str">
        <f>HYPERLINK("http://catalog.hathitrust.org/Record/001738765")</f>
        <v>http://catalog.hathitrust.org/Record/001738765</v>
      </c>
      <c r="J2238" s="1">
        <v>1914</v>
      </c>
      <c r="K2238" t="s">
        <v>15712</v>
      </c>
      <c r="L2238" t="s">
        <v>16950</v>
      </c>
    </row>
    <row r="2239" spans="1:12">
      <c r="A2239" t="s">
        <v>15714</v>
      </c>
      <c r="B2239" s="1" t="s">
        <v>15715</v>
      </c>
      <c r="E2239">
        <v>1</v>
      </c>
      <c r="G2239" t="str">
        <f>HYPERLINK("http://babel.hathitrust.org/cgi/pt?id=mdp.39015034628092")</f>
        <v>http://babel.hathitrust.org/cgi/pt?id=mdp.39015034628092</v>
      </c>
      <c r="H2239" t="str">
        <f>HYPERLINK("http://catalog.hathitrust.org/Record/001764777")</f>
        <v>http://catalog.hathitrust.org/Record/001764777</v>
      </c>
      <c r="J2239" s="1">
        <v>1876</v>
      </c>
      <c r="K2239" t="s">
        <v>15716</v>
      </c>
      <c r="L2239" t="s">
        <v>15717</v>
      </c>
    </row>
    <row r="2240" spans="1:12">
      <c r="A2240" t="s">
        <v>15718</v>
      </c>
      <c r="B2240" s="1" t="s">
        <v>15719</v>
      </c>
      <c r="E2240">
        <v>1</v>
      </c>
      <c r="G2240" t="str">
        <f>HYPERLINK("http://babel.hathitrust.org/cgi/pt?id=mdp.39015034628084")</f>
        <v>http://babel.hathitrust.org/cgi/pt?id=mdp.39015034628084</v>
      </c>
      <c r="H2240" t="str">
        <f>HYPERLINK("http://catalog.hathitrust.org/Record/001764778")</f>
        <v>http://catalog.hathitrust.org/Record/001764778</v>
      </c>
      <c r="J2240" s="1">
        <v>1887</v>
      </c>
      <c r="K2240" t="s">
        <v>15720</v>
      </c>
      <c r="L2240" t="s">
        <v>15717</v>
      </c>
    </row>
    <row r="2241" spans="1:12">
      <c r="A2241" t="s">
        <v>15721</v>
      </c>
      <c r="B2241" s="1" t="s">
        <v>15722</v>
      </c>
      <c r="F2241">
        <v>1</v>
      </c>
      <c r="G2241" t="str">
        <f>HYPERLINK("http://babel.hathitrust.org/cgi/pt?id=mdp.39015003882910")</f>
        <v>http://babel.hathitrust.org/cgi/pt?id=mdp.39015003882910</v>
      </c>
      <c r="H2241" t="str">
        <f>HYPERLINK("http://catalog.hathitrust.org/Record/001768099")</f>
        <v>http://catalog.hathitrust.org/Record/001768099</v>
      </c>
      <c r="J2241" s="1">
        <v>1910</v>
      </c>
      <c r="K2241" t="s">
        <v>15723</v>
      </c>
      <c r="L2241" t="s">
        <v>18477</v>
      </c>
    </row>
    <row r="2242" spans="1:12">
      <c r="A2242" t="s">
        <v>15724</v>
      </c>
      <c r="B2242" s="1" t="s">
        <v>15725</v>
      </c>
      <c r="F2242">
        <v>1</v>
      </c>
      <c r="G2242" t="str">
        <f>HYPERLINK("http://babel.hathitrust.org/cgi/pt?id=uc1.b62227")</f>
        <v>http://babel.hathitrust.org/cgi/pt?id=uc1.b62227</v>
      </c>
      <c r="H2242" t="str">
        <f>HYPERLINK("http://catalog.hathitrust.org/Record/001768256")</f>
        <v>http://catalog.hathitrust.org/Record/001768256</v>
      </c>
      <c r="J2242" s="1">
        <v>1822</v>
      </c>
      <c r="K2242" t="s">
        <v>15726</v>
      </c>
      <c r="L2242" t="s">
        <v>20960</v>
      </c>
    </row>
    <row r="2243" spans="1:12">
      <c r="A2243" t="s">
        <v>15727</v>
      </c>
      <c r="B2243" s="1" t="s">
        <v>15725</v>
      </c>
      <c r="F2243">
        <v>1</v>
      </c>
      <c r="G2243" t="str">
        <f>HYPERLINK("http://babel.hathitrust.org/cgi/pt?id=uc2.ark:/13960/t03x85k4p")</f>
        <v>http://babel.hathitrust.org/cgi/pt?id=uc2.ark:/13960/t03x85k4p</v>
      </c>
      <c r="H2243" t="str">
        <f>HYPERLINK("http://catalog.hathitrust.org/Record/001768256")</f>
        <v>http://catalog.hathitrust.org/Record/001768256</v>
      </c>
      <c r="J2243" s="1">
        <v>1822</v>
      </c>
      <c r="K2243" t="s">
        <v>15726</v>
      </c>
      <c r="L2243" t="s">
        <v>20960</v>
      </c>
    </row>
    <row r="2244" spans="1:12">
      <c r="A2244" t="s">
        <v>15728</v>
      </c>
      <c r="B2244" s="1" t="s">
        <v>15729</v>
      </c>
      <c r="F2244">
        <v>1</v>
      </c>
      <c r="G2244" t="str">
        <f>HYPERLINK("http://babel.hathitrust.org/cgi/pt?id=mdp.39015065730908")</f>
        <v>http://babel.hathitrust.org/cgi/pt?id=mdp.39015065730908</v>
      </c>
      <c r="H2244" t="str">
        <f>HYPERLINK("http://catalog.hathitrust.org/Record/001768365")</f>
        <v>http://catalog.hathitrust.org/Record/001768365</v>
      </c>
      <c r="J2244" s="1">
        <v>1963</v>
      </c>
      <c r="K2244" t="s">
        <v>18906</v>
      </c>
      <c r="L2244" t="s">
        <v>18907</v>
      </c>
    </row>
    <row r="2245" spans="1:12">
      <c r="A2245" t="s">
        <v>15730</v>
      </c>
      <c r="B2245" s="1" t="s">
        <v>15731</v>
      </c>
      <c r="F2245">
        <v>1</v>
      </c>
      <c r="G2245" t="str">
        <f>HYPERLINK("http://babel.hathitrust.org/cgi/pt?id=mdp.39015008831730")</f>
        <v>http://babel.hathitrust.org/cgi/pt?id=mdp.39015008831730</v>
      </c>
      <c r="H2245" t="str">
        <f>HYPERLINK("http://catalog.hathitrust.org/Record/001770109")</f>
        <v>http://catalog.hathitrust.org/Record/001770109</v>
      </c>
      <c r="J2245" s="1">
        <v>1913</v>
      </c>
      <c r="K2245" t="s">
        <v>15732</v>
      </c>
      <c r="L2245" t="s">
        <v>15733</v>
      </c>
    </row>
    <row r="2246" spans="1:12">
      <c r="A2246" t="s">
        <v>15734</v>
      </c>
      <c r="B2246" s="1" t="s">
        <v>15735</v>
      </c>
      <c r="F2246">
        <v>1</v>
      </c>
      <c r="G2246" t="str">
        <f>HYPERLINK("http://babel.hathitrust.org/cgi/pt?id=mdp.39015025977565")</f>
        <v>http://babel.hathitrust.org/cgi/pt?id=mdp.39015025977565</v>
      </c>
      <c r="H2246" t="str">
        <f>HYPERLINK("http://catalog.hathitrust.org/Record/001770581")</f>
        <v>http://catalog.hathitrust.org/Record/001770581</v>
      </c>
      <c r="J2246" s="1">
        <v>1899</v>
      </c>
      <c r="K2246" t="s">
        <v>15736</v>
      </c>
      <c r="L2246" t="s">
        <v>15737</v>
      </c>
    </row>
    <row r="2247" spans="1:12">
      <c r="A2247" t="s">
        <v>15738</v>
      </c>
      <c r="B2247" s="1" t="s">
        <v>15739</v>
      </c>
      <c r="F2247">
        <v>1</v>
      </c>
      <c r="G2247" t="str">
        <f>HYPERLINK("http://babel.hathitrust.org/cgi/pt?id=mdp.39015078721183")</f>
        <v>http://babel.hathitrust.org/cgi/pt?id=mdp.39015078721183</v>
      </c>
      <c r="H2247" t="str">
        <f>HYPERLINK("http://catalog.hathitrust.org/Record/001770803")</f>
        <v>http://catalog.hathitrust.org/Record/001770803</v>
      </c>
      <c r="J2247" s="1">
        <v>1915</v>
      </c>
      <c r="K2247" t="s">
        <v>15740</v>
      </c>
      <c r="L2247" t="s">
        <v>19718</v>
      </c>
    </row>
    <row r="2248" spans="1:12">
      <c r="A2248" t="s">
        <v>15741</v>
      </c>
      <c r="B2248" s="1" t="s">
        <v>15742</v>
      </c>
      <c r="F2248">
        <v>1</v>
      </c>
      <c r="G2248" t="str">
        <f>HYPERLINK("http://babel.hathitrust.org/cgi/pt?id=mdp.39015078153791")</f>
        <v>http://babel.hathitrust.org/cgi/pt?id=mdp.39015078153791</v>
      </c>
      <c r="H2248" t="str">
        <f>HYPERLINK("http://catalog.hathitrust.org/Record/001770845")</f>
        <v>http://catalog.hathitrust.org/Record/001770845</v>
      </c>
      <c r="J2248" s="1">
        <v>1920</v>
      </c>
      <c r="K2248" t="s">
        <v>18574</v>
      </c>
      <c r="L2248" t="s">
        <v>19718</v>
      </c>
    </row>
    <row r="2249" spans="1:12">
      <c r="A2249" t="s">
        <v>15743</v>
      </c>
      <c r="B2249" s="1" t="s">
        <v>15744</v>
      </c>
      <c r="E2249">
        <v>1</v>
      </c>
      <c r="F2249">
        <v>1</v>
      </c>
      <c r="G2249" t="str">
        <f>HYPERLINK("http://babel.hathitrust.org/cgi/pt?id=hvd.hn4ny9")</f>
        <v>http://babel.hathitrust.org/cgi/pt?id=hvd.hn4ny9</v>
      </c>
      <c r="H2249" t="str">
        <f>HYPERLINK("http://catalog.hathitrust.org/Record/001770850")</f>
        <v>http://catalog.hathitrust.org/Record/001770850</v>
      </c>
      <c r="J2249" s="1">
        <v>1851</v>
      </c>
      <c r="K2249" t="s">
        <v>15661</v>
      </c>
      <c r="L2249" t="s">
        <v>15662</v>
      </c>
    </row>
    <row r="2250" spans="1:12">
      <c r="A2250" t="s">
        <v>15663</v>
      </c>
      <c r="B2250" s="1" t="s">
        <v>15744</v>
      </c>
      <c r="F2250">
        <v>1</v>
      </c>
      <c r="G2250" t="str">
        <f>HYPERLINK("http://babel.hathitrust.org/cgi/pt?id=mdp.39015005592012")</f>
        <v>http://babel.hathitrust.org/cgi/pt?id=mdp.39015005592012</v>
      </c>
      <c r="H2250" t="str">
        <f>HYPERLINK("http://catalog.hathitrust.org/Record/001770850")</f>
        <v>http://catalog.hathitrust.org/Record/001770850</v>
      </c>
      <c r="J2250" s="1">
        <v>1851</v>
      </c>
      <c r="K2250" t="s">
        <v>15661</v>
      </c>
      <c r="L2250" t="s">
        <v>15662</v>
      </c>
    </row>
    <row r="2251" spans="1:12">
      <c r="A2251" t="s">
        <v>15664</v>
      </c>
      <c r="B2251" s="1" t="s">
        <v>15744</v>
      </c>
      <c r="F2251">
        <v>1</v>
      </c>
      <c r="G2251" t="str">
        <f>HYPERLINK("http://babel.hathitrust.org/cgi/pt?id=nyp.33433069256851")</f>
        <v>http://babel.hathitrust.org/cgi/pt?id=nyp.33433069256851</v>
      </c>
      <c r="H2251" t="str">
        <f>HYPERLINK("http://catalog.hathitrust.org/Record/001770850")</f>
        <v>http://catalog.hathitrust.org/Record/001770850</v>
      </c>
      <c r="J2251" s="1">
        <v>1851</v>
      </c>
      <c r="K2251" t="s">
        <v>15661</v>
      </c>
      <c r="L2251" t="s">
        <v>15662</v>
      </c>
    </row>
    <row r="2252" spans="1:12">
      <c r="A2252" t="s">
        <v>15665</v>
      </c>
      <c r="B2252" s="1" t="s">
        <v>15744</v>
      </c>
      <c r="F2252">
        <v>1</v>
      </c>
      <c r="G2252" t="str">
        <f>HYPERLINK("http://babel.hathitrust.org/cgi/pt?id=uc2.ark:/13960/t6vx0842k")</f>
        <v>http://babel.hathitrust.org/cgi/pt?id=uc2.ark:/13960/t6vx0842k</v>
      </c>
      <c r="H2252" t="str">
        <f>HYPERLINK("http://catalog.hathitrust.org/Record/001770850")</f>
        <v>http://catalog.hathitrust.org/Record/001770850</v>
      </c>
      <c r="J2252" s="1">
        <v>1851</v>
      </c>
      <c r="K2252" t="s">
        <v>15661</v>
      </c>
      <c r="L2252" t="s">
        <v>15662</v>
      </c>
    </row>
    <row r="2253" spans="1:12">
      <c r="A2253" t="s">
        <v>15666</v>
      </c>
      <c r="B2253" s="1" t="s">
        <v>15667</v>
      </c>
      <c r="D2253">
        <v>1</v>
      </c>
      <c r="G2253" t="str">
        <f>HYPERLINK("http://babel.hathitrust.org/cgi/pt?id=hvd.32044097057533")</f>
        <v>http://babel.hathitrust.org/cgi/pt?id=hvd.32044097057533</v>
      </c>
      <c r="H2253" t="str">
        <f>HYPERLINK("http://catalog.hathitrust.org/Record/001770864")</f>
        <v>http://catalog.hathitrust.org/Record/001770864</v>
      </c>
      <c r="J2253" s="1">
        <v>1825</v>
      </c>
      <c r="K2253" t="s">
        <v>15668</v>
      </c>
      <c r="L2253" t="s">
        <v>20043</v>
      </c>
    </row>
    <row r="2254" spans="1:12">
      <c r="A2254" t="s">
        <v>15669</v>
      </c>
      <c r="B2254" s="1" t="s">
        <v>15670</v>
      </c>
      <c r="F2254">
        <v>1</v>
      </c>
      <c r="G2254" t="str">
        <f>HYPERLINK("http://babel.hathitrust.org/cgi/pt?id=uc1.b266880")</f>
        <v>http://babel.hathitrust.org/cgi/pt?id=uc1.b266880</v>
      </c>
      <c r="H2254" t="str">
        <f>HYPERLINK("http://catalog.hathitrust.org/Record/001770873")</f>
        <v>http://catalog.hathitrust.org/Record/001770873</v>
      </c>
      <c r="J2254" s="1">
        <v>1833</v>
      </c>
      <c r="K2254" t="s">
        <v>18580</v>
      </c>
      <c r="L2254" t="s">
        <v>18581</v>
      </c>
    </row>
    <row r="2255" spans="1:12">
      <c r="A2255" t="s">
        <v>15671</v>
      </c>
      <c r="B2255" s="1" t="s">
        <v>15670</v>
      </c>
      <c r="F2255">
        <v>1</v>
      </c>
      <c r="G2255" t="str">
        <f>HYPERLINK("http://babel.hathitrust.org/cgi/pt?id=uc2.ark:/13960/t48p5z74t")</f>
        <v>http://babel.hathitrust.org/cgi/pt?id=uc2.ark:/13960/t48p5z74t</v>
      </c>
      <c r="H2255" t="str">
        <f>HYPERLINK("http://catalog.hathitrust.org/Record/001770873")</f>
        <v>http://catalog.hathitrust.org/Record/001770873</v>
      </c>
      <c r="J2255" s="1">
        <v>1833</v>
      </c>
      <c r="K2255" t="s">
        <v>18580</v>
      </c>
      <c r="L2255" t="s">
        <v>18581</v>
      </c>
    </row>
    <row r="2256" spans="1:12">
      <c r="A2256" t="s">
        <v>15672</v>
      </c>
      <c r="B2256" s="1" t="s">
        <v>15673</v>
      </c>
      <c r="F2256">
        <v>1</v>
      </c>
      <c r="G2256" t="str">
        <f>HYPERLINK("http://babel.hathitrust.org/cgi/pt?id=wu.89089195226")</f>
        <v>http://babel.hathitrust.org/cgi/pt?id=wu.89089195226</v>
      </c>
      <c r="H2256" t="str">
        <f>HYPERLINK("http://catalog.hathitrust.org/Record/001770874")</f>
        <v>http://catalog.hathitrust.org/Record/001770874</v>
      </c>
      <c r="J2256" s="1">
        <v>1831</v>
      </c>
      <c r="K2256" t="s">
        <v>15674</v>
      </c>
      <c r="L2256" t="s">
        <v>15675</v>
      </c>
    </row>
    <row r="2257" spans="1:12">
      <c r="A2257" t="s">
        <v>15676</v>
      </c>
      <c r="B2257" s="1" t="s">
        <v>15677</v>
      </c>
      <c r="F2257">
        <v>1</v>
      </c>
      <c r="G2257" t="str">
        <f>HYPERLINK("http://babel.hathitrust.org/cgi/pt?id=mdp.39015055625159")</f>
        <v>http://babel.hathitrust.org/cgi/pt?id=mdp.39015055625159</v>
      </c>
      <c r="H2257" t="str">
        <f>HYPERLINK("http://catalog.hathitrust.org/Record/001770879")</f>
        <v>http://catalog.hathitrust.org/Record/001770879</v>
      </c>
      <c r="I2257" s="1" t="s">
        <v>20755</v>
      </c>
      <c r="J2257" s="1">
        <v>1961</v>
      </c>
      <c r="K2257" t="s">
        <v>15678</v>
      </c>
    </row>
    <row r="2258" spans="1:12">
      <c r="A2258" t="s">
        <v>15679</v>
      </c>
      <c r="B2258" s="1" t="s">
        <v>15677</v>
      </c>
      <c r="F2258">
        <v>1</v>
      </c>
      <c r="G2258" t="str">
        <f>HYPERLINK("http://babel.hathitrust.org/cgi/pt?id=mdp.39015067889223")</f>
        <v>http://babel.hathitrust.org/cgi/pt?id=mdp.39015067889223</v>
      </c>
      <c r="H2258" t="str">
        <f>HYPERLINK("http://catalog.hathitrust.org/Record/001770879")</f>
        <v>http://catalog.hathitrust.org/Record/001770879</v>
      </c>
      <c r="I2258" s="1" t="s">
        <v>20916</v>
      </c>
      <c r="J2258" s="1">
        <v>1961</v>
      </c>
      <c r="K2258" t="s">
        <v>15678</v>
      </c>
    </row>
    <row r="2259" spans="1:12">
      <c r="A2259" t="s">
        <v>15680</v>
      </c>
      <c r="B2259" s="1" t="s">
        <v>15677</v>
      </c>
      <c r="F2259">
        <v>1</v>
      </c>
      <c r="G2259" t="str">
        <f>HYPERLINK("http://babel.hathitrust.org/cgi/pt?id=mdp.39015067889231")</f>
        <v>http://babel.hathitrust.org/cgi/pt?id=mdp.39015067889231</v>
      </c>
      <c r="H2259" t="str">
        <f>HYPERLINK("http://catalog.hathitrust.org/Record/001770879")</f>
        <v>http://catalog.hathitrust.org/Record/001770879</v>
      </c>
      <c r="I2259" s="1" t="s">
        <v>20755</v>
      </c>
      <c r="J2259" s="1">
        <v>1961</v>
      </c>
      <c r="K2259" t="s">
        <v>15678</v>
      </c>
    </row>
    <row r="2260" spans="1:12">
      <c r="A2260" t="s">
        <v>15681</v>
      </c>
      <c r="B2260" s="1" t="s">
        <v>15682</v>
      </c>
      <c r="E2260">
        <v>1</v>
      </c>
      <c r="G2260" t="str">
        <f>HYPERLINK("http://babel.hathitrust.org/cgi/pt?id=mdp.39015064376679")</f>
        <v>http://babel.hathitrust.org/cgi/pt?id=mdp.39015064376679</v>
      </c>
      <c r="H2260" t="str">
        <f>HYPERLINK("http://catalog.hathitrust.org/Record/001770880")</f>
        <v>http://catalog.hathitrust.org/Record/001770880</v>
      </c>
      <c r="J2260" s="1">
        <v>1922</v>
      </c>
      <c r="K2260" t="s">
        <v>15683</v>
      </c>
      <c r="L2260" t="s">
        <v>15684</v>
      </c>
    </row>
    <row r="2261" spans="1:12">
      <c r="A2261" t="s">
        <v>15685</v>
      </c>
      <c r="B2261" s="1" t="s">
        <v>15686</v>
      </c>
      <c r="E2261">
        <v>1</v>
      </c>
      <c r="G2261" t="str">
        <f>HYPERLINK("http://babel.hathitrust.org/cgi/pt?id=nyp.33433069241531")</f>
        <v>http://babel.hathitrust.org/cgi/pt?id=nyp.33433069241531</v>
      </c>
      <c r="H2261" t="str">
        <f>HYPERLINK("http://catalog.hathitrust.org/Record/001770890")</f>
        <v>http://catalog.hathitrust.org/Record/001770890</v>
      </c>
      <c r="J2261" s="1">
        <v>1823</v>
      </c>
      <c r="K2261" t="s">
        <v>15687</v>
      </c>
      <c r="L2261" t="s">
        <v>20043</v>
      </c>
    </row>
    <row r="2262" spans="1:12">
      <c r="A2262" t="s">
        <v>15688</v>
      </c>
      <c r="B2262" s="1" t="s">
        <v>15689</v>
      </c>
      <c r="F2262">
        <v>1</v>
      </c>
      <c r="G2262" t="str">
        <f>HYPERLINK("http://babel.hathitrust.org/cgi/pt?id=mdp.39015006106986")</f>
        <v>http://babel.hathitrust.org/cgi/pt?id=mdp.39015006106986</v>
      </c>
      <c r="H2262" t="str">
        <f>HYPERLINK("http://catalog.hathitrust.org/Record/001770942")</f>
        <v>http://catalog.hathitrust.org/Record/001770942</v>
      </c>
      <c r="J2262" s="1">
        <v>1939</v>
      </c>
      <c r="K2262" t="s">
        <v>15690</v>
      </c>
      <c r="L2262" t="s">
        <v>15691</v>
      </c>
    </row>
    <row r="2263" spans="1:12">
      <c r="A2263" t="s">
        <v>15692</v>
      </c>
      <c r="B2263" s="1" t="s">
        <v>15693</v>
      </c>
      <c r="F2263">
        <v>1</v>
      </c>
      <c r="G2263" t="str">
        <f>HYPERLINK("http://babel.hathitrust.org/cgi/pt?id=mdp.39015020054345")</f>
        <v>http://babel.hathitrust.org/cgi/pt?id=mdp.39015020054345</v>
      </c>
      <c r="H2263" t="str">
        <f>HYPERLINK("http://catalog.hathitrust.org/Record/001770946")</f>
        <v>http://catalog.hathitrust.org/Record/001770946</v>
      </c>
      <c r="J2263" s="1">
        <v>1916</v>
      </c>
      <c r="K2263" t="s">
        <v>15694</v>
      </c>
      <c r="L2263" t="s">
        <v>17119</v>
      </c>
    </row>
    <row r="2264" spans="1:12">
      <c r="A2264" t="s">
        <v>15695</v>
      </c>
      <c r="B2264" s="1" t="s">
        <v>15696</v>
      </c>
      <c r="E2264">
        <v>1</v>
      </c>
      <c r="F2264">
        <v>1</v>
      </c>
      <c r="G2264" t="str">
        <f>HYPERLINK("http://babel.hathitrust.org/cgi/pt?id=mdp.39015009065007")</f>
        <v>http://babel.hathitrust.org/cgi/pt?id=mdp.39015009065007</v>
      </c>
      <c r="H2264" t="str">
        <f>HYPERLINK("http://catalog.hathitrust.org/Record/001770972")</f>
        <v>http://catalog.hathitrust.org/Record/001770972</v>
      </c>
      <c r="J2264" s="1">
        <v>1922</v>
      </c>
      <c r="K2264" t="s">
        <v>15697</v>
      </c>
      <c r="L2264" t="s">
        <v>19690</v>
      </c>
    </row>
    <row r="2265" spans="1:12">
      <c r="A2265" t="s">
        <v>15698</v>
      </c>
      <c r="B2265" s="1" t="s">
        <v>15699</v>
      </c>
      <c r="D2265">
        <v>1</v>
      </c>
      <c r="G2265" t="str">
        <f>HYPERLINK("http://babel.hathitrust.org/cgi/pt?id=ien.35556004815056")</f>
        <v>http://babel.hathitrust.org/cgi/pt?id=ien.35556004815056</v>
      </c>
      <c r="H2265" t="str">
        <f>HYPERLINK("http://catalog.hathitrust.org/Record/001771002")</f>
        <v>http://catalog.hathitrust.org/Record/001771002</v>
      </c>
      <c r="I2265" s="1" t="s">
        <v>20755</v>
      </c>
      <c r="J2265" s="1">
        <v>1799</v>
      </c>
      <c r="K2265" t="s">
        <v>15607</v>
      </c>
      <c r="L2265" t="s">
        <v>20086</v>
      </c>
    </row>
    <row r="2266" spans="1:12">
      <c r="A2266" t="s">
        <v>15608</v>
      </c>
      <c r="B2266" s="1" t="s">
        <v>15609</v>
      </c>
      <c r="F2266">
        <v>1</v>
      </c>
      <c r="G2266" t="str">
        <f>HYPERLINK("http://babel.hathitrust.org/cgi/pt?id=mdp.39015001815086")</f>
        <v>http://babel.hathitrust.org/cgi/pt?id=mdp.39015001815086</v>
      </c>
      <c r="H2266" t="str">
        <f>HYPERLINK("http://catalog.hathitrust.org/Record/001774530")</f>
        <v>http://catalog.hathitrust.org/Record/001774530</v>
      </c>
      <c r="J2266" s="1">
        <v>1962</v>
      </c>
      <c r="K2266" t="s">
        <v>15610</v>
      </c>
      <c r="L2266" t="s">
        <v>15611</v>
      </c>
    </row>
    <row r="2267" spans="1:12">
      <c r="A2267" t="s">
        <v>15612</v>
      </c>
      <c r="B2267" s="1" t="s">
        <v>15613</v>
      </c>
      <c r="E2267">
        <v>1</v>
      </c>
      <c r="G2267" t="str">
        <f>HYPERLINK("http://babel.hathitrust.org/cgi/pt?id=mdp.39015010701822")</f>
        <v>http://babel.hathitrust.org/cgi/pt?id=mdp.39015010701822</v>
      </c>
      <c r="H2267" t="str">
        <f>HYPERLINK("http://catalog.hathitrust.org/Record/001775853")</f>
        <v>http://catalog.hathitrust.org/Record/001775853</v>
      </c>
      <c r="J2267" s="1">
        <v>1906</v>
      </c>
      <c r="K2267" t="s">
        <v>15614</v>
      </c>
      <c r="L2267" t="s">
        <v>15615</v>
      </c>
    </row>
    <row r="2268" spans="1:12">
      <c r="A2268" t="s">
        <v>15616</v>
      </c>
      <c r="B2268" s="1" t="s">
        <v>15617</v>
      </c>
      <c r="E2268">
        <v>1</v>
      </c>
      <c r="G2268" t="str">
        <f>HYPERLINK("http://babel.hathitrust.org/cgi/pt?id=njp.32101067487395")</f>
        <v>http://babel.hathitrust.org/cgi/pt?id=njp.32101067487395</v>
      </c>
      <c r="H2268" t="str">
        <f>HYPERLINK("http://catalog.hathitrust.org/Record/001776281")</f>
        <v>http://catalog.hathitrust.org/Record/001776281</v>
      </c>
      <c r="J2268" s="1">
        <v>1898</v>
      </c>
      <c r="K2268" t="s">
        <v>15618</v>
      </c>
      <c r="L2268" t="s">
        <v>15619</v>
      </c>
    </row>
    <row r="2269" spans="1:12">
      <c r="A2269" t="s">
        <v>15620</v>
      </c>
      <c r="B2269" s="1" t="s">
        <v>15621</v>
      </c>
      <c r="F2269">
        <v>1</v>
      </c>
      <c r="G2269" t="str">
        <f>HYPERLINK("http://babel.hathitrust.org/cgi/pt?id=mdp.39015005464709")</f>
        <v>http://babel.hathitrust.org/cgi/pt?id=mdp.39015005464709</v>
      </c>
      <c r="H2269" t="str">
        <f>HYPERLINK("http://catalog.hathitrust.org/Record/001776938")</f>
        <v>http://catalog.hathitrust.org/Record/001776938</v>
      </c>
      <c r="J2269" s="1">
        <v>1903</v>
      </c>
      <c r="K2269" t="s">
        <v>15622</v>
      </c>
      <c r="L2269" t="s">
        <v>18304</v>
      </c>
    </row>
    <row r="2270" spans="1:12">
      <c r="A2270" t="s">
        <v>15623</v>
      </c>
      <c r="B2270" s="1" t="s">
        <v>15624</v>
      </c>
      <c r="F2270">
        <v>1</v>
      </c>
      <c r="G2270" t="str">
        <f>HYPERLINK("http://babel.hathitrust.org/cgi/pt?id=mdp.39015002205832")</f>
        <v>http://babel.hathitrust.org/cgi/pt?id=mdp.39015002205832</v>
      </c>
      <c r="H2270" t="str">
        <f>HYPERLINK("http://catalog.hathitrust.org/Record/001777028")</f>
        <v>http://catalog.hathitrust.org/Record/001777028</v>
      </c>
      <c r="J2270" s="1">
        <v>1933</v>
      </c>
      <c r="K2270" t="s">
        <v>15625</v>
      </c>
      <c r="L2270" t="s">
        <v>18376</v>
      </c>
    </row>
    <row r="2271" spans="1:12">
      <c r="A2271" t="s">
        <v>15626</v>
      </c>
      <c r="B2271" s="1" t="s">
        <v>15624</v>
      </c>
      <c r="F2271">
        <v>1</v>
      </c>
      <c r="G2271" t="str">
        <f>HYPERLINK("http://babel.hathitrust.org/cgi/pt?id=mdp.39015004733427")</f>
        <v>http://babel.hathitrust.org/cgi/pt?id=mdp.39015004733427</v>
      </c>
      <c r="H2271" t="str">
        <f>HYPERLINK("http://catalog.hathitrust.org/Record/001777028")</f>
        <v>http://catalog.hathitrust.org/Record/001777028</v>
      </c>
      <c r="J2271" s="1">
        <v>1933</v>
      </c>
      <c r="K2271" t="s">
        <v>15625</v>
      </c>
      <c r="L2271" t="s">
        <v>18376</v>
      </c>
    </row>
    <row r="2272" spans="1:12">
      <c r="A2272" t="s">
        <v>15627</v>
      </c>
      <c r="B2272" s="1" t="s">
        <v>15624</v>
      </c>
      <c r="F2272">
        <v>1</v>
      </c>
      <c r="G2272" t="str">
        <f>HYPERLINK("http://babel.hathitrust.org/cgi/pt?id=mdp.39015017683031")</f>
        <v>http://babel.hathitrust.org/cgi/pt?id=mdp.39015017683031</v>
      </c>
      <c r="H2272" t="str">
        <f>HYPERLINK("http://catalog.hathitrust.org/Record/001777028")</f>
        <v>http://catalog.hathitrust.org/Record/001777028</v>
      </c>
      <c r="J2272" s="1">
        <v>1933</v>
      </c>
      <c r="K2272" t="s">
        <v>15625</v>
      </c>
      <c r="L2272" t="s">
        <v>18376</v>
      </c>
    </row>
    <row r="2273" spans="1:12">
      <c r="A2273" t="s">
        <v>15628</v>
      </c>
      <c r="B2273" s="1" t="s">
        <v>15629</v>
      </c>
      <c r="F2273">
        <v>1</v>
      </c>
      <c r="G2273" t="str">
        <f>HYPERLINK("http://babel.hathitrust.org/cgi/pt?id=mdp.39015019158776")</f>
        <v>http://babel.hathitrust.org/cgi/pt?id=mdp.39015019158776</v>
      </c>
      <c r="H2273" t="str">
        <f>HYPERLINK("http://catalog.hathitrust.org/Record/001777095")</f>
        <v>http://catalog.hathitrust.org/Record/001777095</v>
      </c>
      <c r="J2273" s="1">
        <v>1895</v>
      </c>
      <c r="K2273" t="s">
        <v>15630</v>
      </c>
      <c r="L2273" t="s">
        <v>15631</v>
      </c>
    </row>
    <row r="2274" spans="1:12">
      <c r="A2274" t="s">
        <v>15632</v>
      </c>
      <c r="B2274" s="1" t="s">
        <v>15633</v>
      </c>
      <c r="F2274">
        <v>1</v>
      </c>
      <c r="G2274" t="str">
        <f>HYPERLINK("http://babel.hathitrust.org/cgi/pt?id=njp.32101072322314")</f>
        <v>http://babel.hathitrust.org/cgi/pt?id=njp.32101072322314</v>
      </c>
      <c r="H2274" t="str">
        <f>HYPERLINK("http://catalog.hathitrust.org/Record/001777132")</f>
        <v>http://catalog.hathitrust.org/Record/001777132</v>
      </c>
      <c r="J2274" s="1">
        <v>1905</v>
      </c>
      <c r="K2274" t="s">
        <v>15634</v>
      </c>
      <c r="L2274" t="s">
        <v>15635</v>
      </c>
    </row>
    <row r="2275" spans="1:12">
      <c r="A2275" t="s">
        <v>15636</v>
      </c>
      <c r="B2275" s="1" t="s">
        <v>15633</v>
      </c>
      <c r="F2275">
        <v>1</v>
      </c>
      <c r="G2275" t="str">
        <f>HYPERLINK("http://babel.hathitrust.org/cgi/pt?id=uc2.ark:/13960/t5m90cp5s")</f>
        <v>http://babel.hathitrust.org/cgi/pt?id=uc2.ark:/13960/t5m90cp5s</v>
      </c>
      <c r="H2275" t="str">
        <f>HYPERLINK("http://catalog.hathitrust.org/Record/001777132")</f>
        <v>http://catalog.hathitrust.org/Record/001777132</v>
      </c>
      <c r="J2275" s="1">
        <v>1905</v>
      </c>
      <c r="K2275" t="s">
        <v>15634</v>
      </c>
      <c r="L2275" t="s">
        <v>15635</v>
      </c>
    </row>
    <row r="2276" spans="1:12">
      <c r="A2276" t="s">
        <v>15637</v>
      </c>
      <c r="B2276" s="1" t="s">
        <v>15638</v>
      </c>
      <c r="F2276">
        <v>1</v>
      </c>
      <c r="G2276" t="str">
        <f>HYPERLINK("http://babel.hathitrust.org/cgi/pt?id=mdp.39015031288858")</f>
        <v>http://babel.hathitrust.org/cgi/pt?id=mdp.39015031288858</v>
      </c>
      <c r="H2276" t="str">
        <f>HYPERLINK("http://catalog.hathitrust.org/Record/001789464")</f>
        <v>http://catalog.hathitrust.org/Record/001789464</v>
      </c>
      <c r="J2276" s="1">
        <v>1908</v>
      </c>
      <c r="K2276" t="s">
        <v>15639</v>
      </c>
      <c r="L2276" t="s">
        <v>15640</v>
      </c>
    </row>
    <row r="2277" spans="1:12">
      <c r="A2277" t="s">
        <v>15641</v>
      </c>
      <c r="B2277" s="1" t="s">
        <v>15642</v>
      </c>
      <c r="F2277">
        <v>1</v>
      </c>
      <c r="G2277" t="str">
        <f>HYPERLINK("http://babel.hathitrust.org/cgi/pt?id=mdp.39015030088176")</f>
        <v>http://babel.hathitrust.org/cgi/pt?id=mdp.39015030088176</v>
      </c>
      <c r="H2277" t="str">
        <f>HYPERLINK("http://catalog.hathitrust.org/Record/001789589")</f>
        <v>http://catalog.hathitrust.org/Record/001789589</v>
      </c>
      <c r="J2277" s="1">
        <v>1886</v>
      </c>
      <c r="K2277" t="s">
        <v>15643</v>
      </c>
      <c r="L2277" t="s">
        <v>15644</v>
      </c>
    </row>
    <row r="2278" spans="1:12">
      <c r="A2278" t="s">
        <v>15645</v>
      </c>
      <c r="B2278" s="1" t="s">
        <v>15646</v>
      </c>
      <c r="F2278">
        <v>1</v>
      </c>
      <c r="G2278" t="str">
        <f>HYPERLINK("http://babel.hathitrust.org/cgi/pt?id=mdp.39015030088036")</f>
        <v>http://babel.hathitrust.org/cgi/pt?id=mdp.39015030088036</v>
      </c>
      <c r="H2278" t="str">
        <f>HYPERLINK("http://catalog.hathitrust.org/Record/001789620")</f>
        <v>http://catalog.hathitrust.org/Record/001789620</v>
      </c>
      <c r="J2278" s="1">
        <v>1893</v>
      </c>
      <c r="K2278" t="s">
        <v>15647</v>
      </c>
      <c r="L2278" t="s">
        <v>15648</v>
      </c>
    </row>
    <row r="2279" spans="1:12">
      <c r="A2279" t="s">
        <v>15649</v>
      </c>
      <c r="B2279" s="1" t="s">
        <v>15650</v>
      </c>
      <c r="F2279">
        <v>1</v>
      </c>
      <c r="G2279" t="str">
        <f>HYPERLINK("http://babel.hathitrust.org/cgi/pt?id=mdp.39015011920827")</f>
        <v>http://babel.hathitrust.org/cgi/pt?id=mdp.39015011920827</v>
      </c>
      <c r="H2279" t="str">
        <f>HYPERLINK("http://catalog.hathitrust.org/Record/001789730")</f>
        <v>http://catalog.hathitrust.org/Record/001789730</v>
      </c>
      <c r="J2279" s="1">
        <v>1925</v>
      </c>
      <c r="K2279" t="s">
        <v>15651</v>
      </c>
      <c r="L2279" t="s">
        <v>15652</v>
      </c>
    </row>
    <row r="2280" spans="1:12">
      <c r="A2280" t="s">
        <v>15653</v>
      </c>
      <c r="B2280" s="1" t="s">
        <v>15650</v>
      </c>
      <c r="F2280">
        <v>1</v>
      </c>
      <c r="G2280" t="str">
        <f>HYPERLINK("http://babel.hathitrust.org/cgi/pt?id=uc1.b256885")</f>
        <v>http://babel.hathitrust.org/cgi/pt?id=uc1.b256885</v>
      </c>
      <c r="H2280" t="str">
        <f>HYPERLINK("http://catalog.hathitrust.org/Record/001789730")</f>
        <v>http://catalog.hathitrust.org/Record/001789730</v>
      </c>
      <c r="J2280" s="1">
        <v>1925</v>
      </c>
      <c r="K2280" t="s">
        <v>15651</v>
      </c>
      <c r="L2280" t="s">
        <v>15652</v>
      </c>
    </row>
    <row r="2281" spans="1:12">
      <c r="A2281" t="s">
        <v>15654</v>
      </c>
      <c r="B2281" s="1" t="s">
        <v>15650</v>
      </c>
      <c r="F2281">
        <v>1</v>
      </c>
      <c r="G2281" t="str">
        <f>HYPERLINK("http://babel.hathitrust.org/cgi/pt?id=uc2.ark:/13960/t8gf0qx2k")</f>
        <v>http://babel.hathitrust.org/cgi/pt?id=uc2.ark:/13960/t8gf0qx2k</v>
      </c>
      <c r="H2281" t="str">
        <f>HYPERLINK("http://catalog.hathitrust.org/Record/001789730")</f>
        <v>http://catalog.hathitrust.org/Record/001789730</v>
      </c>
      <c r="J2281" s="1">
        <v>1925</v>
      </c>
      <c r="K2281" t="s">
        <v>15651</v>
      </c>
      <c r="L2281" t="s">
        <v>15652</v>
      </c>
    </row>
    <row r="2282" spans="1:12">
      <c r="A2282" t="s">
        <v>15655</v>
      </c>
      <c r="B2282" s="1" t="s">
        <v>15656</v>
      </c>
      <c r="F2282">
        <v>1</v>
      </c>
      <c r="G2282" t="str">
        <f>HYPERLINK("http://babel.hathitrust.org/cgi/pt?id=mdp.39015055054418")</f>
        <v>http://babel.hathitrust.org/cgi/pt?id=mdp.39015055054418</v>
      </c>
      <c r="H2282" t="str">
        <f>HYPERLINK("http://catalog.hathitrust.org/Record/001789750")</f>
        <v>http://catalog.hathitrust.org/Record/001789750</v>
      </c>
      <c r="J2282" s="1">
        <v>1905</v>
      </c>
      <c r="K2282" t="s">
        <v>15657</v>
      </c>
      <c r="L2282" t="s">
        <v>15658</v>
      </c>
    </row>
    <row r="2283" spans="1:12">
      <c r="A2283" t="s">
        <v>15659</v>
      </c>
      <c r="B2283" s="1" t="s">
        <v>15660</v>
      </c>
      <c r="F2283">
        <v>1</v>
      </c>
      <c r="G2283" t="str">
        <f>HYPERLINK("http://babel.hathitrust.org/cgi/pt?id=mdp.39015030087897")</f>
        <v>http://babel.hathitrust.org/cgi/pt?id=mdp.39015030087897</v>
      </c>
      <c r="H2283" t="str">
        <f>HYPERLINK("http://catalog.hathitrust.org/Record/001789774")</f>
        <v>http://catalog.hathitrust.org/Record/001789774</v>
      </c>
      <c r="J2283" s="1">
        <v>1898</v>
      </c>
      <c r="K2283" t="s">
        <v>15556</v>
      </c>
      <c r="L2283" t="s">
        <v>15557</v>
      </c>
    </row>
    <row r="2284" spans="1:12">
      <c r="A2284" t="s">
        <v>15558</v>
      </c>
      <c r="B2284" s="1" t="s">
        <v>15559</v>
      </c>
      <c r="F2284">
        <v>1</v>
      </c>
      <c r="G2284" t="str">
        <f>HYPERLINK("http://babel.hathitrust.org/cgi/pt?id=mdp.39015053585603")</f>
        <v>http://babel.hathitrust.org/cgi/pt?id=mdp.39015053585603</v>
      </c>
      <c r="H2284" t="str">
        <f>HYPERLINK("http://catalog.hathitrust.org/Record/001802963")</f>
        <v>http://catalog.hathitrust.org/Record/001802963</v>
      </c>
      <c r="J2284" s="1">
        <v>1921</v>
      </c>
      <c r="K2284" t="s">
        <v>15560</v>
      </c>
      <c r="L2284" t="s">
        <v>15561</v>
      </c>
    </row>
    <row r="2285" spans="1:12">
      <c r="A2285" t="s">
        <v>15562</v>
      </c>
      <c r="B2285" s="1" t="s">
        <v>15563</v>
      </c>
      <c r="F2285">
        <v>1</v>
      </c>
      <c r="G2285" t="str">
        <f>HYPERLINK("http://babel.hathitrust.org/cgi/pt?id=mdp.39015019156366")</f>
        <v>http://babel.hathitrust.org/cgi/pt?id=mdp.39015019156366</v>
      </c>
      <c r="H2285" t="str">
        <f>HYPERLINK("http://catalog.hathitrust.org/Record/001807655")</f>
        <v>http://catalog.hathitrust.org/Record/001807655</v>
      </c>
      <c r="J2285" s="1">
        <v>1944</v>
      </c>
      <c r="K2285" t="s">
        <v>15564</v>
      </c>
      <c r="L2285" t="s">
        <v>15565</v>
      </c>
    </row>
    <row r="2286" spans="1:12">
      <c r="A2286" t="s">
        <v>15566</v>
      </c>
      <c r="B2286" s="1" t="s">
        <v>15567</v>
      </c>
      <c r="F2286">
        <v>1</v>
      </c>
      <c r="G2286" t="str">
        <f>HYPERLINK("http://babel.hathitrust.org/cgi/pt?id=mdp.39015018655269")</f>
        <v>http://babel.hathitrust.org/cgi/pt?id=mdp.39015018655269</v>
      </c>
      <c r="H2286" t="str">
        <f>HYPERLINK("http://catalog.hathitrust.org/Record/001807664")</f>
        <v>http://catalog.hathitrust.org/Record/001807664</v>
      </c>
      <c r="J2286" s="1">
        <v>1954</v>
      </c>
      <c r="K2286" t="s">
        <v>15568</v>
      </c>
      <c r="L2286" t="s">
        <v>15569</v>
      </c>
    </row>
    <row r="2287" spans="1:12">
      <c r="A2287" t="s">
        <v>15570</v>
      </c>
      <c r="B2287" s="1" t="s">
        <v>15567</v>
      </c>
      <c r="F2287">
        <v>1</v>
      </c>
      <c r="G2287" t="str">
        <f>HYPERLINK("http://babel.hathitrust.org/cgi/pt?id=uc1.b311442")</f>
        <v>http://babel.hathitrust.org/cgi/pt?id=uc1.b311442</v>
      </c>
      <c r="H2287" t="str">
        <f>HYPERLINK("http://catalog.hathitrust.org/Record/001807664")</f>
        <v>http://catalog.hathitrust.org/Record/001807664</v>
      </c>
      <c r="J2287" s="1">
        <v>1954</v>
      </c>
      <c r="K2287" t="s">
        <v>15568</v>
      </c>
      <c r="L2287" t="s">
        <v>15569</v>
      </c>
    </row>
    <row r="2288" spans="1:12">
      <c r="A2288" t="s">
        <v>15571</v>
      </c>
      <c r="B2288" s="1" t="s">
        <v>15572</v>
      </c>
      <c r="F2288">
        <v>1</v>
      </c>
      <c r="G2288" t="str">
        <f>HYPERLINK("http://babel.hathitrust.org/cgi/pt?id=mdp.39015004070960")</f>
        <v>http://babel.hathitrust.org/cgi/pt?id=mdp.39015004070960</v>
      </c>
      <c r="H2288" t="str">
        <f>HYPERLINK("http://catalog.hathitrust.org/Record/001808348")</f>
        <v>http://catalog.hathitrust.org/Record/001808348</v>
      </c>
      <c r="I2288" s="1" t="s">
        <v>20755</v>
      </c>
      <c r="J2288" s="1">
        <v>1959</v>
      </c>
      <c r="K2288" t="s">
        <v>15573</v>
      </c>
      <c r="L2288" t="s">
        <v>18247</v>
      </c>
    </row>
    <row r="2289" spans="1:12">
      <c r="A2289" t="s">
        <v>15574</v>
      </c>
      <c r="B2289" s="1" t="s">
        <v>15572</v>
      </c>
      <c r="F2289">
        <v>1</v>
      </c>
      <c r="G2289" t="str">
        <f>HYPERLINK("http://babel.hathitrust.org/cgi/pt?id=mdp.39015005913440")</f>
        <v>http://babel.hathitrust.org/cgi/pt?id=mdp.39015005913440</v>
      </c>
      <c r="H2289" t="str">
        <f>HYPERLINK("http://catalog.hathitrust.org/Record/001808348")</f>
        <v>http://catalog.hathitrust.org/Record/001808348</v>
      </c>
      <c r="I2289" s="1" t="s">
        <v>20755</v>
      </c>
      <c r="J2289" s="1">
        <v>1959</v>
      </c>
      <c r="K2289" t="s">
        <v>15573</v>
      </c>
      <c r="L2289" t="s">
        <v>18247</v>
      </c>
    </row>
    <row r="2290" spans="1:12">
      <c r="A2290" t="s">
        <v>15575</v>
      </c>
      <c r="B2290" s="1" t="s">
        <v>15576</v>
      </c>
      <c r="F2290">
        <v>1</v>
      </c>
      <c r="G2290" t="str">
        <f>HYPERLINK("http://babel.hathitrust.org/cgi/pt?id=mdp.39015002179870")</f>
        <v>http://babel.hathitrust.org/cgi/pt?id=mdp.39015002179870</v>
      </c>
      <c r="H2290" t="str">
        <f>HYPERLINK("http://catalog.hathitrust.org/Record/001811215")</f>
        <v>http://catalog.hathitrust.org/Record/001811215</v>
      </c>
      <c r="J2290" s="1">
        <v>1890</v>
      </c>
      <c r="K2290" t="s">
        <v>15577</v>
      </c>
      <c r="L2290" t="s">
        <v>15578</v>
      </c>
    </row>
    <row r="2291" spans="1:12">
      <c r="A2291" t="s">
        <v>15579</v>
      </c>
      <c r="B2291" s="1" t="s">
        <v>15576</v>
      </c>
      <c r="F2291">
        <v>1</v>
      </c>
      <c r="G2291" t="str">
        <f>HYPERLINK("http://babel.hathitrust.org/cgi/pt?id=mdp.39015028046954")</f>
        <v>http://babel.hathitrust.org/cgi/pt?id=mdp.39015028046954</v>
      </c>
      <c r="H2291" t="str">
        <f>HYPERLINK("http://catalog.hathitrust.org/Record/001811215")</f>
        <v>http://catalog.hathitrust.org/Record/001811215</v>
      </c>
      <c r="J2291" s="1">
        <v>1890</v>
      </c>
      <c r="K2291" t="s">
        <v>15577</v>
      </c>
      <c r="L2291" t="s">
        <v>15578</v>
      </c>
    </row>
    <row r="2292" spans="1:12">
      <c r="A2292" t="s">
        <v>15580</v>
      </c>
      <c r="B2292" s="1" t="s">
        <v>15576</v>
      </c>
      <c r="F2292">
        <v>1</v>
      </c>
      <c r="G2292" t="str">
        <f>HYPERLINK("http://babel.hathitrust.org/cgi/pt?id=uc2.ark:/13960/t39z99n35")</f>
        <v>http://babel.hathitrust.org/cgi/pt?id=uc2.ark:/13960/t39z99n35</v>
      </c>
      <c r="H2292" t="str">
        <f>HYPERLINK("http://catalog.hathitrust.org/Record/001811215")</f>
        <v>http://catalog.hathitrust.org/Record/001811215</v>
      </c>
      <c r="J2292" s="1">
        <v>1890</v>
      </c>
      <c r="K2292" t="s">
        <v>15577</v>
      </c>
      <c r="L2292" t="s">
        <v>15578</v>
      </c>
    </row>
    <row r="2293" spans="1:12">
      <c r="A2293" t="s">
        <v>15581</v>
      </c>
      <c r="B2293" s="1" t="s">
        <v>15582</v>
      </c>
      <c r="F2293">
        <v>1</v>
      </c>
      <c r="G2293" t="str">
        <f>HYPERLINK("http://babel.hathitrust.org/cgi/pt?id=mdp.39015027645343")</f>
        <v>http://babel.hathitrust.org/cgi/pt?id=mdp.39015027645343</v>
      </c>
      <c r="H2293" t="str">
        <f>HYPERLINK("http://catalog.hathitrust.org/Record/001812325")</f>
        <v>http://catalog.hathitrust.org/Record/001812325</v>
      </c>
      <c r="J2293" s="1">
        <v>1910</v>
      </c>
      <c r="K2293" t="s">
        <v>15583</v>
      </c>
      <c r="L2293" t="s">
        <v>19375</v>
      </c>
    </row>
    <row r="2294" spans="1:12">
      <c r="A2294" t="s">
        <v>15584</v>
      </c>
      <c r="B2294" s="1" t="s">
        <v>15585</v>
      </c>
      <c r="F2294">
        <v>1</v>
      </c>
      <c r="G2294" t="str">
        <f>HYPERLINK("http://babel.hathitrust.org/cgi/pt?id=mdp.39015004823285")</f>
        <v>http://babel.hathitrust.org/cgi/pt?id=mdp.39015004823285</v>
      </c>
      <c r="H2294" t="str">
        <f>HYPERLINK("http://catalog.hathitrust.org/Record/001812442")</f>
        <v>http://catalog.hathitrust.org/Record/001812442</v>
      </c>
      <c r="J2294" s="1">
        <v>1959</v>
      </c>
      <c r="K2294" t="s">
        <v>15586</v>
      </c>
      <c r="L2294" t="s">
        <v>19375</v>
      </c>
    </row>
    <row r="2295" spans="1:12">
      <c r="A2295" t="s">
        <v>15587</v>
      </c>
      <c r="B2295" s="1" t="s">
        <v>15588</v>
      </c>
      <c r="F2295">
        <v>1</v>
      </c>
      <c r="G2295" t="str">
        <f>HYPERLINK("http://babel.hathitrust.org/cgi/pt?id=mdp.39015005000255")</f>
        <v>http://babel.hathitrust.org/cgi/pt?id=mdp.39015005000255</v>
      </c>
      <c r="H2295" t="str">
        <f>HYPERLINK("http://catalog.hathitrust.org/Record/001812455")</f>
        <v>http://catalog.hathitrust.org/Record/001812455</v>
      </c>
      <c r="J2295" s="1">
        <v>1867</v>
      </c>
      <c r="K2295" t="s">
        <v>15589</v>
      </c>
      <c r="L2295" t="s">
        <v>15590</v>
      </c>
    </row>
    <row r="2296" spans="1:12">
      <c r="A2296" t="s">
        <v>15591</v>
      </c>
      <c r="B2296" s="1" t="s">
        <v>15592</v>
      </c>
      <c r="F2296">
        <v>1</v>
      </c>
      <c r="G2296" t="str">
        <f>HYPERLINK("http://babel.hathitrust.org/cgi/pt?id=mdp.39015004928894")</f>
        <v>http://babel.hathitrust.org/cgi/pt?id=mdp.39015004928894</v>
      </c>
      <c r="H2296" t="str">
        <f>HYPERLINK("http://catalog.hathitrust.org/Record/001845219")</f>
        <v>http://catalog.hathitrust.org/Record/001845219</v>
      </c>
      <c r="J2296" s="1">
        <v>1867</v>
      </c>
      <c r="K2296" t="s">
        <v>15593</v>
      </c>
      <c r="L2296" t="s">
        <v>15594</v>
      </c>
    </row>
    <row r="2297" spans="1:12">
      <c r="A2297" t="s">
        <v>15595</v>
      </c>
      <c r="B2297" s="1" t="s">
        <v>15596</v>
      </c>
      <c r="F2297">
        <v>1</v>
      </c>
      <c r="G2297" t="str">
        <f>HYPERLINK("http://babel.hathitrust.org/cgi/pt?id=mdp.39015005694503")</f>
        <v>http://babel.hathitrust.org/cgi/pt?id=mdp.39015005694503</v>
      </c>
      <c r="H2297" t="str">
        <f>HYPERLINK("http://catalog.hathitrust.org/Record/001876328")</f>
        <v>http://catalog.hathitrust.org/Record/001876328</v>
      </c>
      <c r="J2297" s="1">
        <v>1910</v>
      </c>
      <c r="K2297" t="s">
        <v>15597</v>
      </c>
      <c r="L2297" t="s">
        <v>15598</v>
      </c>
    </row>
    <row r="2298" spans="1:12">
      <c r="A2298" t="s">
        <v>15599</v>
      </c>
      <c r="B2298" s="1" t="s">
        <v>15600</v>
      </c>
      <c r="E2298">
        <v>1</v>
      </c>
      <c r="G2298" t="str">
        <f>HYPERLINK("http://babel.hathitrust.org/cgi/pt?id=mdp.39015002333600")</f>
        <v>http://babel.hathitrust.org/cgi/pt?id=mdp.39015002333600</v>
      </c>
      <c r="H2298" t="str">
        <f>HYPERLINK("http://catalog.hathitrust.org/Record/001882974")</f>
        <v>http://catalog.hathitrust.org/Record/001882974</v>
      </c>
      <c r="J2298" s="1">
        <v>1924</v>
      </c>
      <c r="K2298" t="s">
        <v>15601</v>
      </c>
      <c r="L2298" t="s">
        <v>18061</v>
      </c>
    </row>
    <row r="2299" spans="1:12">
      <c r="A2299" t="s">
        <v>15602</v>
      </c>
      <c r="B2299" s="1" t="s">
        <v>15603</v>
      </c>
      <c r="F2299">
        <v>1</v>
      </c>
      <c r="G2299" t="str">
        <f>HYPERLINK("http://babel.hathitrust.org/cgi/pt?id=mdp.39015003660670")</f>
        <v>http://babel.hathitrust.org/cgi/pt?id=mdp.39015003660670</v>
      </c>
      <c r="H2299" t="str">
        <f>HYPERLINK("http://catalog.hathitrust.org/Record/001883272")</f>
        <v>http://catalog.hathitrust.org/Record/001883272</v>
      </c>
      <c r="J2299" s="1">
        <v>1937</v>
      </c>
      <c r="K2299" t="s">
        <v>15604</v>
      </c>
      <c r="L2299" t="s">
        <v>15605</v>
      </c>
    </row>
    <row r="2300" spans="1:12">
      <c r="A2300" t="s">
        <v>15606</v>
      </c>
      <c r="B2300" s="1" t="s">
        <v>15499</v>
      </c>
      <c r="E2300">
        <v>1</v>
      </c>
      <c r="G2300" t="str">
        <f>HYPERLINK("http://babel.hathitrust.org/cgi/pt?id=mdp.39015062755635")</f>
        <v>http://babel.hathitrust.org/cgi/pt?id=mdp.39015062755635</v>
      </c>
      <c r="H2300" t="str">
        <f>HYPERLINK("http://catalog.hathitrust.org/Record/001883412")</f>
        <v>http://catalog.hathitrust.org/Record/001883412</v>
      </c>
      <c r="J2300" s="1">
        <v>1922</v>
      </c>
      <c r="K2300" t="s">
        <v>15500</v>
      </c>
      <c r="L2300" t="s">
        <v>15501</v>
      </c>
    </row>
    <row r="2301" spans="1:12">
      <c r="A2301" t="s">
        <v>15502</v>
      </c>
      <c r="B2301" s="1" t="s">
        <v>15503</v>
      </c>
      <c r="E2301">
        <v>1</v>
      </c>
      <c r="G2301" t="str">
        <f>HYPERLINK("http://babel.hathitrust.org/cgi/pt?id=mdp.39015003990572")</f>
        <v>http://babel.hathitrust.org/cgi/pt?id=mdp.39015003990572</v>
      </c>
      <c r="H2301" t="str">
        <f>HYPERLINK("http://catalog.hathitrust.org/Record/001883606")</f>
        <v>http://catalog.hathitrust.org/Record/001883606</v>
      </c>
      <c r="J2301" s="1">
        <v>1913</v>
      </c>
      <c r="K2301" t="s">
        <v>15504</v>
      </c>
      <c r="L2301" t="s">
        <v>18079</v>
      </c>
    </row>
    <row r="2302" spans="1:12">
      <c r="A2302" t="s">
        <v>15505</v>
      </c>
      <c r="B2302" s="1" t="s">
        <v>15506</v>
      </c>
      <c r="E2302">
        <v>1</v>
      </c>
      <c r="G2302" t="str">
        <f>HYPERLINK("http://babel.hathitrust.org/cgi/pt?id=mdp.39015066085252")</f>
        <v>http://babel.hathitrust.org/cgi/pt?id=mdp.39015066085252</v>
      </c>
      <c r="H2302" t="str">
        <f>HYPERLINK("http://catalog.hathitrust.org/Record/001883607")</f>
        <v>http://catalog.hathitrust.org/Record/001883607</v>
      </c>
      <c r="J2302" s="1">
        <v>1918</v>
      </c>
      <c r="K2302" t="s">
        <v>15504</v>
      </c>
      <c r="L2302" t="s">
        <v>18079</v>
      </c>
    </row>
    <row r="2303" spans="1:12">
      <c r="A2303" t="s">
        <v>15507</v>
      </c>
      <c r="B2303" s="1" t="s">
        <v>15508</v>
      </c>
      <c r="E2303">
        <v>1</v>
      </c>
      <c r="G2303" t="str">
        <f>HYPERLINK("http://babel.hathitrust.org/cgi/pt?id=mdp.39015005034437")</f>
        <v>http://babel.hathitrust.org/cgi/pt?id=mdp.39015005034437</v>
      </c>
      <c r="H2303" t="str">
        <f>HYPERLINK("http://catalog.hathitrust.org/Record/001883608")</f>
        <v>http://catalog.hathitrust.org/Record/001883608</v>
      </c>
      <c r="J2303" s="1">
        <v>1922</v>
      </c>
      <c r="K2303" t="s">
        <v>15504</v>
      </c>
      <c r="L2303" t="s">
        <v>18079</v>
      </c>
    </row>
    <row r="2304" spans="1:12">
      <c r="A2304" t="s">
        <v>15509</v>
      </c>
      <c r="B2304" s="1" t="s">
        <v>15510</v>
      </c>
      <c r="F2304">
        <v>1</v>
      </c>
      <c r="G2304" t="str">
        <f>HYPERLINK("http://babel.hathitrust.org/cgi/pt?id=mdp.39015005467694")</f>
        <v>http://babel.hathitrust.org/cgi/pt?id=mdp.39015005467694</v>
      </c>
      <c r="H2304" t="str">
        <f>HYPERLINK("http://catalog.hathitrust.org/Record/001883649")</f>
        <v>http://catalog.hathitrust.org/Record/001883649</v>
      </c>
      <c r="J2304" s="1">
        <v>1925</v>
      </c>
      <c r="K2304" t="s">
        <v>15511</v>
      </c>
    </row>
    <row r="2305" spans="1:12">
      <c r="A2305" t="s">
        <v>15512</v>
      </c>
      <c r="B2305" s="1" t="s">
        <v>15513</v>
      </c>
      <c r="F2305">
        <v>1</v>
      </c>
      <c r="G2305" t="str">
        <f>HYPERLINK("http://babel.hathitrust.org/cgi/pt?id=mdp.39015014371069")</f>
        <v>http://babel.hathitrust.org/cgi/pt?id=mdp.39015014371069</v>
      </c>
      <c r="H2305" t="str">
        <f>HYPERLINK("http://catalog.hathitrust.org/Record/001883650")</f>
        <v>http://catalog.hathitrust.org/Record/001883650</v>
      </c>
      <c r="J2305" s="1">
        <v>1959</v>
      </c>
      <c r="K2305" t="s">
        <v>15514</v>
      </c>
      <c r="L2305" t="s">
        <v>15515</v>
      </c>
    </row>
    <row r="2306" spans="1:12">
      <c r="A2306" t="s">
        <v>15516</v>
      </c>
      <c r="B2306" s="1" t="s">
        <v>15517</v>
      </c>
      <c r="F2306">
        <v>1</v>
      </c>
      <c r="G2306" t="str">
        <f>HYPERLINK("http://babel.hathitrust.org/cgi/pt?id=mdp.39015062701357")</f>
        <v>http://babel.hathitrust.org/cgi/pt?id=mdp.39015062701357</v>
      </c>
      <c r="H2306" t="str">
        <f>HYPERLINK("http://catalog.hathitrust.org/Record/001883651")</f>
        <v>http://catalog.hathitrust.org/Record/001883651</v>
      </c>
      <c r="J2306" s="1">
        <v>1915</v>
      </c>
      <c r="K2306" t="s">
        <v>15518</v>
      </c>
      <c r="L2306" t="s">
        <v>15519</v>
      </c>
    </row>
    <row r="2307" spans="1:12">
      <c r="A2307" t="s">
        <v>15520</v>
      </c>
      <c r="B2307" s="1" t="s">
        <v>15521</v>
      </c>
      <c r="F2307">
        <v>1</v>
      </c>
      <c r="G2307" t="str">
        <f>HYPERLINK("http://babel.hathitrust.org/cgi/pt?id=loc.ark:/13960/t17m13p6x")</f>
        <v>http://babel.hathitrust.org/cgi/pt?id=loc.ark:/13960/t17m13p6x</v>
      </c>
      <c r="H2307" t="str">
        <f>HYPERLINK("http://catalog.hathitrust.org/Record/001883653")</f>
        <v>http://catalog.hathitrust.org/Record/001883653</v>
      </c>
      <c r="J2307" s="1">
        <v>1922</v>
      </c>
      <c r="K2307" t="s">
        <v>15522</v>
      </c>
      <c r="L2307" t="s">
        <v>15523</v>
      </c>
    </row>
    <row r="2308" spans="1:12">
      <c r="A2308" t="s">
        <v>15524</v>
      </c>
      <c r="B2308" s="1" t="s">
        <v>15521</v>
      </c>
      <c r="F2308">
        <v>1</v>
      </c>
      <c r="G2308" t="str">
        <f>HYPERLINK("http://babel.hathitrust.org/cgi/pt?id=mdp.39015019990285")</f>
        <v>http://babel.hathitrust.org/cgi/pt?id=mdp.39015019990285</v>
      </c>
      <c r="H2308" t="str">
        <f>HYPERLINK("http://catalog.hathitrust.org/Record/001883653")</f>
        <v>http://catalog.hathitrust.org/Record/001883653</v>
      </c>
      <c r="J2308" s="1">
        <v>1922</v>
      </c>
      <c r="K2308" t="s">
        <v>15522</v>
      </c>
      <c r="L2308" t="s">
        <v>15523</v>
      </c>
    </row>
    <row r="2309" spans="1:12">
      <c r="A2309" t="s">
        <v>15525</v>
      </c>
      <c r="B2309" s="1" t="s">
        <v>15521</v>
      </c>
      <c r="F2309">
        <v>1</v>
      </c>
      <c r="G2309" t="str">
        <f>HYPERLINK("http://babel.hathitrust.org/cgi/pt?id=uc1.b308905")</f>
        <v>http://babel.hathitrust.org/cgi/pt?id=uc1.b308905</v>
      </c>
      <c r="H2309" t="str">
        <f>HYPERLINK("http://catalog.hathitrust.org/Record/001883653")</f>
        <v>http://catalog.hathitrust.org/Record/001883653</v>
      </c>
      <c r="J2309" s="1">
        <v>1922</v>
      </c>
      <c r="K2309" t="s">
        <v>15522</v>
      </c>
      <c r="L2309" t="s">
        <v>15523</v>
      </c>
    </row>
    <row r="2310" spans="1:12">
      <c r="A2310" t="s">
        <v>15526</v>
      </c>
      <c r="B2310" s="1" t="s">
        <v>15521</v>
      </c>
      <c r="F2310">
        <v>1</v>
      </c>
      <c r="G2310" t="str">
        <f>HYPERLINK("http://babel.hathitrust.org/cgi/pt?id=uc2.ark:/13960/t6639q97v")</f>
        <v>http://babel.hathitrust.org/cgi/pt?id=uc2.ark:/13960/t6639q97v</v>
      </c>
      <c r="H2310" t="str">
        <f>HYPERLINK("http://catalog.hathitrust.org/Record/001883653")</f>
        <v>http://catalog.hathitrust.org/Record/001883653</v>
      </c>
      <c r="J2310" s="1">
        <v>1922</v>
      </c>
      <c r="K2310" t="s">
        <v>15522</v>
      </c>
      <c r="L2310" t="s">
        <v>15523</v>
      </c>
    </row>
    <row r="2311" spans="1:12">
      <c r="A2311" t="s">
        <v>15527</v>
      </c>
      <c r="B2311" s="1" t="s">
        <v>15528</v>
      </c>
      <c r="E2311">
        <v>1</v>
      </c>
      <c r="G2311" t="str">
        <f>HYPERLINK("http://babel.hathitrust.org/cgi/pt?id=mdp.39015056088191")</f>
        <v>http://babel.hathitrust.org/cgi/pt?id=mdp.39015056088191</v>
      </c>
      <c r="H2311" t="str">
        <f>HYPERLINK("http://catalog.hathitrust.org/Record/001883659")</f>
        <v>http://catalog.hathitrust.org/Record/001883659</v>
      </c>
      <c r="J2311" s="1">
        <v>1893</v>
      </c>
      <c r="K2311" t="s">
        <v>15529</v>
      </c>
      <c r="L2311" t="s">
        <v>15530</v>
      </c>
    </row>
    <row r="2312" spans="1:12">
      <c r="A2312" t="s">
        <v>15531</v>
      </c>
      <c r="B2312" s="1" t="s">
        <v>15532</v>
      </c>
      <c r="E2312">
        <v>1</v>
      </c>
      <c r="G2312" t="str">
        <f>HYPERLINK("http://babel.hathitrust.org/cgi/pt?id=mdp.39015021774883")</f>
        <v>http://babel.hathitrust.org/cgi/pt?id=mdp.39015021774883</v>
      </c>
      <c r="H2312" t="str">
        <f>HYPERLINK("http://catalog.hathitrust.org/Record/001883660")</f>
        <v>http://catalog.hathitrust.org/Record/001883660</v>
      </c>
      <c r="J2312" s="1">
        <v>1888</v>
      </c>
      <c r="K2312" t="s">
        <v>15533</v>
      </c>
      <c r="L2312" t="s">
        <v>15534</v>
      </c>
    </row>
    <row r="2313" spans="1:12">
      <c r="A2313" t="s">
        <v>15535</v>
      </c>
      <c r="B2313" s="1" t="s">
        <v>15536</v>
      </c>
      <c r="E2313">
        <v>1</v>
      </c>
      <c r="F2313">
        <v>1</v>
      </c>
      <c r="G2313" t="str">
        <f>HYPERLINK("http://babel.hathitrust.org/cgi/pt?id=mdp.39015074170567")</f>
        <v>http://babel.hathitrust.org/cgi/pt?id=mdp.39015074170567</v>
      </c>
      <c r="H2313" t="str">
        <f>HYPERLINK("http://catalog.hathitrust.org/Record/001883679")</f>
        <v>http://catalog.hathitrust.org/Record/001883679</v>
      </c>
      <c r="J2313" s="1">
        <v>1904</v>
      </c>
      <c r="K2313" t="s">
        <v>15537</v>
      </c>
    </row>
    <row r="2314" spans="1:12">
      <c r="A2314" t="s">
        <v>15538</v>
      </c>
      <c r="B2314" s="1" t="s">
        <v>15539</v>
      </c>
      <c r="F2314">
        <v>1</v>
      </c>
      <c r="G2314" t="str">
        <f>HYPERLINK("http://babel.hathitrust.org/cgi/pt?id=mdp.39015062701167")</f>
        <v>http://babel.hathitrust.org/cgi/pt?id=mdp.39015062701167</v>
      </c>
      <c r="H2314" t="str">
        <f>HYPERLINK("http://catalog.hathitrust.org/Record/001883680")</f>
        <v>http://catalog.hathitrust.org/Record/001883680</v>
      </c>
      <c r="J2314" s="1">
        <v>1927</v>
      </c>
      <c r="K2314" t="s">
        <v>15540</v>
      </c>
      <c r="L2314" t="s">
        <v>15541</v>
      </c>
    </row>
    <row r="2315" spans="1:12">
      <c r="A2315" t="s">
        <v>15542</v>
      </c>
      <c r="B2315" s="1" t="s">
        <v>15543</v>
      </c>
      <c r="E2315">
        <v>1</v>
      </c>
      <c r="G2315" t="str">
        <f>HYPERLINK("http://babel.hathitrust.org/cgi/pt?id=loc.ark:/13960/t45q5p503")</f>
        <v>http://babel.hathitrust.org/cgi/pt?id=loc.ark:/13960/t45q5p503</v>
      </c>
      <c r="H2315" t="str">
        <f>HYPERLINK("http://catalog.hathitrust.org/Record/001883694")</f>
        <v>http://catalog.hathitrust.org/Record/001883694</v>
      </c>
      <c r="J2315" s="1">
        <v>1915</v>
      </c>
      <c r="K2315" t="s">
        <v>15544</v>
      </c>
      <c r="L2315" t="s">
        <v>15501</v>
      </c>
    </row>
    <row r="2316" spans="1:12">
      <c r="A2316" t="s">
        <v>15545</v>
      </c>
      <c r="B2316" s="1" t="s">
        <v>15546</v>
      </c>
      <c r="F2316">
        <v>1</v>
      </c>
      <c r="G2316" t="str">
        <f>HYPERLINK("http://babel.hathitrust.org/cgi/pt?id=mdp.39015062746790")</f>
        <v>http://babel.hathitrust.org/cgi/pt?id=mdp.39015062746790</v>
      </c>
      <c r="H2316" t="str">
        <f>HYPERLINK("http://catalog.hathitrust.org/Record/001883707")</f>
        <v>http://catalog.hathitrust.org/Record/001883707</v>
      </c>
      <c r="J2316" s="1">
        <v>1926</v>
      </c>
      <c r="K2316" t="s">
        <v>15547</v>
      </c>
    </row>
    <row r="2317" spans="1:12">
      <c r="A2317" t="s">
        <v>15548</v>
      </c>
      <c r="B2317" s="1" t="s">
        <v>15549</v>
      </c>
      <c r="F2317">
        <v>1</v>
      </c>
      <c r="G2317" t="str">
        <f>HYPERLINK("http://babel.hathitrust.org/cgi/pt?id=mdp.39015080278842")</f>
        <v>http://babel.hathitrust.org/cgi/pt?id=mdp.39015080278842</v>
      </c>
      <c r="H2317" t="str">
        <f>HYPERLINK("http://catalog.hathitrust.org/Record/001884107")</f>
        <v>http://catalog.hathitrust.org/Record/001884107</v>
      </c>
      <c r="I2317" s="1" t="s">
        <v>15551</v>
      </c>
      <c r="J2317" s="1">
        <v>1924</v>
      </c>
      <c r="K2317" t="s">
        <v>15550</v>
      </c>
    </row>
    <row r="2318" spans="1:12">
      <c r="A2318" t="s">
        <v>15552</v>
      </c>
      <c r="B2318" s="1" t="s">
        <v>15553</v>
      </c>
      <c r="F2318">
        <v>1</v>
      </c>
      <c r="G2318" t="str">
        <f>HYPERLINK("http://babel.hathitrust.org/cgi/pt?id=mdp.39015062349389")</f>
        <v>http://babel.hathitrust.org/cgi/pt?id=mdp.39015062349389</v>
      </c>
      <c r="H2318" t="str">
        <f>HYPERLINK("http://catalog.hathitrust.org/Record/001884113")</f>
        <v>http://catalog.hathitrust.org/Record/001884113</v>
      </c>
      <c r="J2318" s="1">
        <v>1924</v>
      </c>
      <c r="K2318" t="s">
        <v>15554</v>
      </c>
    </row>
    <row r="2319" spans="1:12">
      <c r="A2319" t="s">
        <v>15555</v>
      </c>
      <c r="B2319" s="1" t="s">
        <v>15553</v>
      </c>
      <c r="F2319">
        <v>1</v>
      </c>
      <c r="G2319" t="str">
        <f>HYPERLINK("http://babel.hathitrust.org/cgi/pt?id=mdp.39015063722329")</f>
        <v>http://babel.hathitrust.org/cgi/pt?id=mdp.39015063722329</v>
      </c>
      <c r="H2319" t="str">
        <f>HYPERLINK("http://catalog.hathitrust.org/Record/001884113")</f>
        <v>http://catalog.hathitrust.org/Record/001884113</v>
      </c>
      <c r="J2319" s="1">
        <v>1924</v>
      </c>
      <c r="K2319" t="s">
        <v>15554</v>
      </c>
    </row>
    <row r="2320" spans="1:12">
      <c r="A2320" t="s">
        <v>15439</v>
      </c>
      <c r="B2320" s="1" t="s">
        <v>15440</v>
      </c>
      <c r="E2320">
        <v>1</v>
      </c>
      <c r="G2320" t="str">
        <f>HYPERLINK("http://babel.hathitrust.org/cgi/pt?id=mdp.39015042015167")</f>
        <v>http://babel.hathitrust.org/cgi/pt?id=mdp.39015042015167</v>
      </c>
      <c r="H2320" t="str">
        <f>HYPERLINK("http://catalog.hathitrust.org/Record/001884117")</f>
        <v>http://catalog.hathitrust.org/Record/001884117</v>
      </c>
      <c r="J2320" s="1">
        <v>1903</v>
      </c>
      <c r="K2320" t="s">
        <v>15441</v>
      </c>
      <c r="L2320" t="s">
        <v>16178</v>
      </c>
    </row>
    <row r="2321" spans="1:12">
      <c r="A2321" t="s">
        <v>15442</v>
      </c>
      <c r="B2321" s="1" t="s">
        <v>15443</v>
      </c>
      <c r="F2321">
        <v>1</v>
      </c>
      <c r="G2321" t="str">
        <f>HYPERLINK("http://babel.hathitrust.org/cgi/pt?id=mdp.39015030725405")</f>
        <v>http://babel.hathitrust.org/cgi/pt?id=mdp.39015030725405</v>
      </c>
      <c r="H2321" t="str">
        <f>HYPERLINK("http://catalog.hathitrust.org/Record/001897980")</f>
        <v>http://catalog.hathitrust.org/Record/001897980</v>
      </c>
      <c r="J2321" s="1">
        <v>1920</v>
      </c>
      <c r="K2321" t="s">
        <v>15444</v>
      </c>
      <c r="L2321" t="s">
        <v>20937</v>
      </c>
    </row>
    <row r="2322" spans="1:12">
      <c r="A2322" t="s">
        <v>15445</v>
      </c>
      <c r="B2322" s="1" t="s">
        <v>15443</v>
      </c>
      <c r="F2322">
        <v>1</v>
      </c>
      <c r="G2322" t="str">
        <f>HYPERLINK("http://babel.hathitrust.org/cgi/pt?id=uc2.ark:/13960/t1ng4k67d")</f>
        <v>http://babel.hathitrust.org/cgi/pt?id=uc2.ark:/13960/t1ng4k67d</v>
      </c>
      <c r="H2322" t="str">
        <f>HYPERLINK("http://catalog.hathitrust.org/Record/001897980")</f>
        <v>http://catalog.hathitrust.org/Record/001897980</v>
      </c>
      <c r="J2322" s="1">
        <v>1920</v>
      </c>
      <c r="K2322" t="s">
        <v>15444</v>
      </c>
      <c r="L2322" t="s">
        <v>20937</v>
      </c>
    </row>
    <row r="2323" spans="1:12">
      <c r="A2323" t="s">
        <v>15446</v>
      </c>
      <c r="B2323" s="1" t="s">
        <v>15447</v>
      </c>
      <c r="F2323">
        <v>1</v>
      </c>
      <c r="G2323" t="str">
        <f>HYPERLINK("http://babel.hathitrust.org/cgi/pt?id=mdp.39015034102262")</f>
        <v>http://babel.hathitrust.org/cgi/pt?id=mdp.39015034102262</v>
      </c>
      <c r="H2323" t="str">
        <f>HYPERLINK("http://catalog.hathitrust.org/Record/001898144")</f>
        <v>http://catalog.hathitrust.org/Record/001898144</v>
      </c>
      <c r="J2323" s="1">
        <v>1909</v>
      </c>
      <c r="K2323" t="s">
        <v>15448</v>
      </c>
      <c r="L2323" t="s">
        <v>15449</v>
      </c>
    </row>
    <row r="2324" spans="1:12">
      <c r="A2324" t="s">
        <v>15450</v>
      </c>
      <c r="B2324" s="1" t="s">
        <v>15451</v>
      </c>
      <c r="F2324">
        <v>1</v>
      </c>
      <c r="G2324" t="str">
        <f>HYPERLINK("http://babel.hathitrust.org/cgi/pt?id=mdp.39015039587582")</f>
        <v>http://babel.hathitrust.org/cgi/pt?id=mdp.39015039587582</v>
      </c>
      <c r="H2324" t="str">
        <f>HYPERLINK("http://catalog.hathitrust.org/Record/001898401")</f>
        <v>http://catalog.hathitrust.org/Record/001898401</v>
      </c>
      <c r="J2324" s="1">
        <v>1860</v>
      </c>
      <c r="K2324" t="s">
        <v>15452</v>
      </c>
      <c r="L2324" t="s">
        <v>15453</v>
      </c>
    </row>
    <row r="2325" spans="1:12">
      <c r="A2325" t="s">
        <v>15454</v>
      </c>
      <c r="B2325" s="1" t="s">
        <v>15455</v>
      </c>
      <c r="F2325">
        <v>1</v>
      </c>
      <c r="G2325" t="str">
        <f>HYPERLINK("http://babel.hathitrust.org/cgi/pt?id=mdp.39015055278728")</f>
        <v>http://babel.hathitrust.org/cgi/pt?id=mdp.39015055278728</v>
      </c>
      <c r="H2325" t="str">
        <f>HYPERLINK("http://catalog.hathitrust.org/Record/001898432")</f>
        <v>http://catalog.hathitrust.org/Record/001898432</v>
      </c>
      <c r="J2325" s="1">
        <v>1893</v>
      </c>
      <c r="K2325" t="s">
        <v>15456</v>
      </c>
      <c r="L2325" t="s">
        <v>15457</v>
      </c>
    </row>
    <row r="2326" spans="1:12">
      <c r="A2326" t="s">
        <v>15458</v>
      </c>
      <c r="B2326" s="1" t="s">
        <v>15455</v>
      </c>
      <c r="F2326">
        <v>1</v>
      </c>
      <c r="G2326" t="str">
        <f>HYPERLINK("http://babel.hathitrust.org/cgi/pt?id=uc1.b289640")</f>
        <v>http://babel.hathitrust.org/cgi/pt?id=uc1.b289640</v>
      </c>
      <c r="H2326" t="str">
        <f>HYPERLINK("http://catalog.hathitrust.org/Record/001898432")</f>
        <v>http://catalog.hathitrust.org/Record/001898432</v>
      </c>
      <c r="J2326" s="1">
        <v>1893</v>
      </c>
      <c r="K2326" t="s">
        <v>15456</v>
      </c>
      <c r="L2326" t="s">
        <v>15457</v>
      </c>
    </row>
    <row r="2327" spans="1:12">
      <c r="A2327" t="s">
        <v>15459</v>
      </c>
      <c r="B2327" s="1" t="s">
        <v>15455</v>
      </c>
      <c r="F2327">
        <v>1</v>
      </c>
      <c r="G2327" t="str">
        <f>HYPERLINK("http://babel.hathitrust.org/cgi/pt?id=uc2.ark:/13960/t8ff3tq5d")</f>
        <v>http://babel.hathitrust.org/cgi/pt?id=uc2.ark:/13960/t8ff3tq5d</v>
      </c>
      <c r="H2327" t="str">
        <f>HYPERLINK("http://catalog.hathitrust.org/Record/001898432")</f>
        <v>http://catalog.hathitrust.org/Record/001898432</v>
      </c>
      <c r="J2327" s="1">
        <v>1893</v>
      </c>
      <c r="K2327" t="s">
        <v>15456</v>
      </c>
      <c r="L2327" t="s">
        <v>15457</v>
      </c>
    </row>
    <row r="2328" spans="1:12">
      <c r="A2328" t="s">
        <v>15460</v>
      </c>
      <c r="B2328" s="1" t="s">
        <v>15461</v>
      </c>
      <c r="F2328">
        <v>1</v>
      </c>
      <c r="G2328" t="str">
        <f>HYPERLINK("http://babel.hathitrust.org/cgi/pt?id=mdp.39015025134704")</f>
        <v>http://babel.hathitrust.org/cgi/pt?id=mdp.39015025134704</v>
      </c>
      <c r="H2328" t="str">
        <f>HYPERLINK("http://catalog.hathitrust.org/Record/001898582")</f>
        <v>http://catalog.hathitrust.org/Record/001898582</v>
      </c>
      <c r="J2328" s="1">
        <v>1946</v>
      </c>
      <c r="K2328" t="s">
        <v>15462</v>
      </c>
      <c r="L2328" t="s">
        <v>15463</v>
      </c>
    </row>
    <row r="2329" spans="1:12">
      <c r="A2329" t="s">
        <v>15464</v>
      </c>
      <c r="B2329" s="1" t="s">
        <v>15465</v>
      </c>
      <c r="F2329">
        <v>1</v>
      </c>
      <c r="G2329" t="str">
        <f>HYPERLINK("http://babel.hathitrust.org/cgi/pt?id=mdp.39015025338313")</f>
        <v>http://babel.hathitrust.org/cgi/pt?id=mdp.39015025338313</v>
      </c>
      <c r="H2329" t="str">
        <f>HYPERLINK("http://catalog.hathitrust.org/Record/001898584")</f>
        <v>http://catalog.hathitrust.org/Record/001898584</v>
      </c>
      <c r="J2329" s="1">
        <v>1954</v>
      </c>
      <c r="K2329" t="s">
        <v>15466</v>
      </c>
    </row>
    <row r="2330" spans="1:12">
      <c r="A2330" t="s">
        <v>15467</v>
      </c>
      <c r="B2330" s="1" t="s">
        <v>15468</v>
      </c>
      <c r="F2330">
        <v>1</v>
      </c>
      <c r="G2330" t="str">
        <f>HYPERLINK("http://babel.hathitrust.org/cgi/pt?id=mdp.39015014173549")</f>
        <v>http://babel.hathitrust.org/cgi/pt?id=mdp.39015014173549</v>
      </c>
      <c r="H2330" t="str">
        <f>HYPERLINK("http://catalog.hathitrust.org/Record/001898628")</f>
        <v>http://catalog.hathitrust.org/Record/001898628</v>
      </c>
      <c r="J2330" s="1">
        <v>1913</v>
      </c>
      <c r="K2330" t="s">
        <v>15469</v>
      </c>
      <c r="L2330" t="s">
        <v>20872</v>
      </c>
    </row>
    <row r="2331" spans="1:12">
      <c r="A2331" t="s">
        <v>15470</v>
      </c>
      <c r="B2331" s="1" t="s">
        <v>15471</v>
      </c>
      <c r="D2331">
        <v>1</v>
      </c>
      <c r="G2331" t="str">
        <f>HYPERLINK("http://babel.hathitrust.org/cgi/pt?id=mdp.39015009128953")</f>
        <v>http://babel.hathitrust.org/cgi/pt?id=mdp.39015009128953</v>
      </c>
      <c r="H2331" t="str">
        <f>HYPERLINK("http://catalog.hathitrust.org/Record/001899074")</f>
        <v>http://catalog.hathitrust.org/Record/001899074</v>
      </c>
      <c r="I2331" s="1" t="s">
        <v>20916</v>
      </c>
      <c r="J2331" s="1">
        <v>1788</v>
      </c>
      <c r="K2331" t="s">
        <v>15472</v>
      </c>
      <c r="L2331" t="s">
        <v>15473</v>
      </c>
    </row>
    <row r="2332" spans="1:12">
      <c r="A2332" t="s">
        <v>15474</v>
      </c>
      <c r="B2332" s="1" t="s">
        <v>15471</v>
      </c>
      <c r="D2332">
        <v>1</v>
      </c>
      <c r="G2332" t="str">
        <f>HYPERLINK("http://babel.hathitrust.org/cgi/pt?id=mdp.39015009136568")</f>
        <v>http://babel.hathitrust.org/cgi/pt?id=mdp.39015009136568</v>
      </c>
      <c r="H2332" t="str">
        <f>HYPERLINK("http://catalog.hathitrust.org/Record/001899074")</f>
        <v>http://catalog.hathitrust.org/Record/001899074</v>
      </c>
      <c r="I2332" s="1" t="s">
        <v>20755</v>
      </c>
      <c r="J2332" s="1">
        <v>1788</v>
      </c>
      <c r="K2332" t="s">
        <v>15472</v>
      </c>
      <c r="L2332" t="s">
        <v>15473</v>
      </c>
    </row>
    <row r="2333" spans="1:12">
      <c r="A2333" t="s">
        <v>15475</v>
      </c>
      <c r="B2333" s="1" t="s">
        <v>15476</v>
      </c>
      <c r="D2333">
        <v>1</v>
      </c>
      <c r="G2333" t="str">
        <f>HYPERLINK("http://babel.hathitrust.org/cgi/pt?id=hvd.hn3j5l")</f>
        <v>http://babel.hathitrust.org/cgi/pt?id=hvd.hn3j5l</v>
      </c>
      <c r="H2333" t="str">
        <f>HYPERLINK("http://catalog.hathitrust.org/Record/001899075")</f>
        <v>http://catalog.hathitrust.org/Record/001899075</v>
      </c>
      <c r="J2333" s="1">
        <v>1863</v>
      </c>
      <c r="K2333" t="s">
        <v>15477</v>
      </c>
      <c r="L2333" t="s">
        <v>15473</v>
      </c>
    </row>
    <row r="2334" spans="1:12">
      <c r="A2334" t="s">
        <v>15478</v>
      </c>
      <c r="B2334" s="1" t="s">
        <v>15479</v>
      </c>
      <c r="D2334">
        <v>1</v>
      </c>
      <c r="G2334" t="str">
        <f>HYPERLINK("http://babel.hathitrust.org/cgi/pt?id=mdp.39015047742963")</f>
        <v>http://babel.hathitrust.org/cgi/pt?id=mdp.39015047742963</v>
      </c>
      <c r="H2334" t="str">
        <f>HYPERLINK("http://catalog.hathitrust.org/Record/001899076")</f>
        <v>http://catalog.hathitrust.org/Record/001899076</v>
      </c>
      <c r="J2334" s="1">
        <v>1870</v>
      </c>
      <c r="K2334" t="s">
        <v>15472</v>
      </c>
      <c r="L2334" t="s">
        <v>15473</v>
      </c>
    </row>
    <row r="2335" spans="1:12">
      <c r="A2335" t="s">
        <v>15480</v>
      </c>
      <c r="B2335" s="1" t="s">
        <v>15481</v>
      </c>
      <c r="F2335">
        <v>1</v>
      </c>
      <c r="G2335" t="str">
        <f>HYPERLINK("http://babel.hathitrust.org/cgi/pt?id=mdp.39015000930910")</f>
        <v>http://babel.hathitrust.org/cgi/pt?id=mdp.39015000930910</v>
      </c>
      <c r="H2335" t="str">
        <f>HYPERLINK("http://catalog.hathitrust.org/Record/001899141")</f>
        <v>http://catalog.hathitrust.org/Record/001899141</v>
      </c>
      <c r="J2335" s="1">
        <v>1929</v>
      </c>
      <c r="K2335" t="s">
        <v>15482</v>
      </c>
      <c r="L2335" t="s">
        <v>19960</v>
      </c>
    </row>
    <row r="2336" spans="1:12">
      <c r="A2336" t="s">
        <v>15483</v>
      </c>
      <c r="B2336" s="1" t="s">
        <v>15481</v>
      </c>
      <c r="F2336">
        <v>1</v>
      </c>
      <c r="G2336" t="str">
        <f>HYPERLINK("http://babel.hathitrust.org/cgi/pt?id=mdp.39015002579343")</f>
        <v>http://babel.hathitrust.org/cgi/pt?id=mdp.39015002579343</v>
      </c>
      <c r="H2336" t="str">
        <f>HYPERLINK("http://catalog.hathitrust.org/Record/001899141")</f>
        <v>http://catalog.hathitrust.org/Record/001899141</v>
      </c>
      <c r="J2336" s="1">
        <v>1929</v>
      </c>
      <c r="K2336" t="s">
        <v>15482</v>
      </c>
      <c r="L2336" t="s">
        <v>19960</v>
      </c>
    </row>
    <row r="2337" spans="1:12">
      <c r="A2337" t="s">
        <v>15484</v>
      </c>
      <c r="B2337" s="1" t="s">
        <v>15481</v>
      </c>
      <c r="F2337">
        <v>1</v>
      </c>
      <c r="G2337" t="str">
        <f>HYPERLINK("http://babel.hathitrust.org/cgi/pt?id=mdp.39015014610755")</f>
        <v>http://babel.hathitrust.org/cgi/pt?id=mdp.39015014610755</v>
      </c>
      <c r="H2337" t="str">
        <f>HYPERLINK("http://catalog.hathitrust.org/Record/001899141")</f>
        <v>http://catalog.hathitrust.org/Record/001899141</v>
      </c>
      <c r="J2337" s="1">
        <v>1929</v>
      </c>
      <c r="K2337" t="s">
        <v>15482</v>
      </c>
      <c r="L2337" t="s">
        <v>19960</v>
      </c>
    </row>
    <row r="2338" spans="1:12">
      <c r="A2338" t="s">
        <v>15485</v>
      </c>
      <c r="B2338" s="1" t="s">
        <v>15481</v>
      </c>
      <c r="F2338">
        <v>1</v>
      </c>
      <c r="G2338" t="str">
        <f>HYPERLINK("http://babel.hathitrust.org/cgi/pt?id=mdp.39015032643721")</f>
        <v>http://babel.hathitrust.org/cgi/pt?id=mdp.39015032643721</v>
      </c>
      <c r="H2338" t="str">
        <f>HYPERLINK("http://catalog.hathitrust.org/Record/001899141")</f>
        <v>http://catalog.hathitrust.org/Record/001899141</v>
      </c>
      <c r="J2338" s="1">
        <v>1929</v>
      </c>
      <c r="K2338" t="s">
        <v>15482</v>
      </c>
      <c r="L2338" t="s">
        <v>19960</v>
      </c>
    </row>
    <row r="2339" spans="1:12">
      <c r="A2339" t="s">
        <v>15486</v>
      </c>
      <c r="B2339" s="1" t="s">
        <v>15487</v>
      </c>
      <c r="F2339">
        <v>1</v>
      </c>
      <c r="G2339" t="str">
        <f>HYPERLINK("http://babel.hathitrust.org/cgi/pt?id=mdp.39015008387154")</f>
        <v>http://babel.hathitrust.org/cgi/pt?id=mdp.39015008387154</v>
      </c>
      <c r="H2339" t="str">
        <f>HYPERLINK("http://catalog.hathitrust.org/Record/001899142")</f>
        <v>http://catalog.hathitrust.org/Record/001899142</v>
      </c>
      <c r="J2339" s="1">
        <v>1930</v>
      </c>
      <c r="K2339" t="s">
        <v>15482</v>
      </c>
      <c r="L2339" t="s">
        <v>15488</v>
      </c>
    </row>
    <row r="2340" spans="1:12">
      <c r="A2340" t="s">
        <v>15489</v>
      </c>
      <c r="B2340" s="1" t="s">
        <v>15490</v>
      </c>
      <c r="E2340">
        <v>1</v>
      </c>
      <c r="G2340" t="str">
        <f>HYPERLINK("http://babel.hathitrust.org/cgi/pt?id=mdp.39015031013025")</f>
        <v>http://babel.hathitrust.org/cgi/pt?id=mdp.39015031013025</v>
      </c>
      <c r="H2340" t="str">
        <f>HYPERLINK("http://catalog.hathitrust.org/Record/001899186")</f>
        <v>http://catalog.hathitrust.org/Record/001899186</v>
      </c>
      <c r="J2340" s="1">
        <v>1899</v>
      </c>
      <c r="K2340" t="s">
        <v>15491</v>
      </c>
      <c r="L2340" t="s">
        <v>17895</v>
      </c>
    </row>
    <row r="2341" spans="1:12">
      <c r="A2341" t="s">
        <v>15492</v>
      </c>
      <c r="B2341" s="1" t="s">
        <v>15493</v>
      </c>
      <c r="D2341">
        <v>1</v>
      </c>
      <c r="G2341" t="str">
        <f>HYPERLINK("http://babel.hathitrust.org/cgi/pt?id=mdp.39015031013033")</f>
        <v>http://babel.hathitrust.org/cgi/pt?id=mdp.39015031013033</v>
      </c>
      <c r="H2341" t="str">
        <f>HYPERLINK("http://catalog.hathitrust.org/Record/001899187")</f>
        <v>http://catalog.hathitrust.org/Record/001899187</v>
      </c>
      <c r="J2341" s="1">
        <v>1912</v>
      </c>
      <c r="K2341" t="s">
        <v>17894</v>
      </c>
      <c r="L2341" t="s">
        <v>17895</v>
      </c>
    </row>
    <row r="2342" spans="1:12">
      <c r="A2342" t="s">
        <v>15494</v>
      </c>
      <c r="B2342" s="1" t="s">
        <v>15495</v>
      </c>
      <c r="F2342">
        <v>1</v>
      </c>
      <c r="G2342" t="str">
        <f>HYPERLINK("http://babel.hathitrust.org/cgi/pt?id=mdp.39015058014146")</f>
        <v>http://babel.hathitrust.org/cgi/pt?id=mdp.39015058014146</v>
      </c>
      <c r="H2342" t="str">
        <f>HYPERLINK("http://catalog.hathitrust.org/Record/001899190")</f>
        <v>http://catalog.hathitrust.org/Record/001899190</v>
      </c>
      <c r="I2342" s="1" t="s">
        <v>20920</v>
      </c>
      <c r="J2342" s="1">
        <v>1957</v>
      </c>
      <c r="K2342" t="s">
        <v>15496</v>
      </c>
      <c r="L2342" t="s">
        <v>17895</v>
      </c>
    </row>
    <row r="2343" spans="1:12">
      <c r="A2343" t="s">
        <v>15497</v>
      </c>
      <c r="B2343" s="1" t="s">
        <v>15498</v>
      </c>
      <c r="D2343">
        <v>1</v>
      </c>
      <c r="G2343" t="str">
        <f>HYPERLINK("http://babel.hathitrust.org/cgi/pt?id=mdp.39015028980152")</f>
        <v>http://babel.hathitrust.org/cgi/pt?id=mdp.39015028980152</v>
      </c>
      <c r="H2343" t="str">
        <f>HYPERLINK("http://catalog.hathitrust.org/Record/001899326")</f>
        <v>http://catalog.hathitrust.org/Record/001899326</v>
      </c>
      <c r="J2343" s="1">
        <v>1893</v>
      </c>
      <c r="K2343" t="s">
        <v>15382</v>
      </c>
      <c r="L2343" t="s">
        <v>18991</v>
      </c>
    </row>
    <row r="2344" spans="1:12">
      <c r="A2344" t="s">
        <v>15383</v>
      </c>
      <c r="B2344" s="1" t="s">
        <v>15384</v>
      </c>
      <c r="F2344">
        <v>1</v>
      </c>
      <c r="G2344" t="str">
        <f>HYPERLINK("http://babel.hathitrust.org/cgi/pt?id=mdp.39015039320182")</f>
        <v>http://babel.hathitrust.org/cgi/pt?id=mdp.39015039320182</v>
      </c>
      <c r="H2344" t="str">
        <f>HYPERLINK("http://catalog.hathitrust.org/Record/001899338")</f>
        <v>http://catalog.hathitrust.org/Record/001899338</v>
      </c>
      <c r="J2344" s="1">
        <v>1686</v>
      </c>
      <c r="K2344" t="s">
        <v>15385</v>
      </c>
      <c r="L2344" t="s">
        <v>19375</v>
      </c>
    </row>
    <row r="2345" spans="1:12">
      <c r="A2345" t="s">
        <v>15386</v>
      </c>
      <c r="B2345" s="1" t="s">
        <v>15387</v>
      </c>
      <c r="F2345">
        <v>1</v>
      </c>
      <c r="G2345" t="str">
        <f>HYPERLINK("http://babel.hathitrust.org/cgi/pt?id=mdp.39015001142507")</f>
        <v>http://babel.hathitrust.org/cgi/pt?id=mdp.39015001142507</v>
      </c>
      <c r="H2345" t="str">
        <f>HYPERLINK("http://catalog.hathitrust.org/Record/001899340")</f>
        <v>http://catalog.hathitrust.org/Record/001899340</v>
      </c>
      <c r="J2345" s="1">
        <v>1909</v>
      </c>
      <c r="K2345" t="s">
        <v>15388</v>
      </c>
      <c r="L2345" t="s">
        <v>19375</v>
      </c>
    </row>
    <row r="2346" spans="1:12">
      <c r="A2346" t="s">
        <v>15389</v>
      </c>
      <c r="B2346" s="1" t="s">
        <v>15387</v>
      </c>
      <c r="F2346">
        <v>1</v>
      </c>
      <c r="G2346" t="str">
        <f>HYPERLINK("http://babel.hathitrust.org/cgi/pt?id=mdp.39015002761446")</f>
        <v>http://babel.hathitrust.org/cgi/pt?id=mdp.39015002761446</v>
      </c>
      <c r="H2346" t="str">
        <f>HYPERLINK("http://catalog.hathitrust.org/Record/001899340")</f>
        <v>http://catalog.hathitrust.org/Record/001899340</v>
      </c>
      <c r="J2346" s="1">
        <v>1909</v>
      </c>
      <c r="K2346" t="s">
        <v>15388</v>
      </c>
      <c r="L2346" t="s">
        <v>19375</v>
      </c>
    </row>
    <row r="2347" spans="1:12">
      <c r="A2347" t="s">
        <v>15390</v>
      </c>
      <c r="B2347" s="1" t="s">
        <v>15391</v>
      </c>
      <c r="F2347">
        <v>1</v>
      </c>
      <c r="G2347" t="str">
        <f>HYPERLINK("http://babel.hathitrust.org/cgi/pt?id=mdp.39015004846237")</f>
        <v>http://babel.hathitrust.org/cgi/pt?id=mdp.39015004846237</v>
      </c>
      <c r="H2347" t="str">
        <f>HYPERLINK("http://catalog.hathitrust.org/Record/001899341")</f>
        <v>http://catalog.hathitrust.org/Record/001899341</v>
      </c>
      <c r="J2347" s="1">
        <v>1886</v>
      </c>
      <c r="K2347" t="s">
        <v>15392</v>
      </c>
      <c r="L2347" t="s">
        <v>19375</v>
      </c>
    </row>
    <row r="2348" spans="1:12">
      <c r="A2348" t="s">
        <v>15393</v>
      </c>
      <c r="B2348" s="1" t="s">
        <v>15394</v>
      </c>
      <c r="F2348">
        <v>1</v>
      </c>
      <c r="G2348" t="str">
        <f>HYPERLINK("http://babel.hathitrust.org/cgi/pt?id=mdp.39015070578110")</f>
        <v>http://babel.hathitrust.org/cgi/pt?id=mdp.39015070578110</v>
      </c>
      <c r="H2348" t="str">
        <f>HYPERLINK("http://catalog.hathitrust.org/Record/001899344")</f>
        <v>http://catalog.hathitrust.org/Record/001899344</v>
      </c>
      <c r="J2348" s="1">
        <v>1872</v>
      </c>
      <c r="K2348" t="s">
        <v>15395</v>
      </c>
      <c r="L2348" t="s">
        <v>15396</v>
      </c>
    </row>
    <row r="2349" spans="1:12">
      <c r="A2349" t="s">
        <v>15397</v>
      </c>
      <c r="B2349" s="1" t="s">
        <v>15398</v>
      </c>
      <c r="F2349">
        <v>1</v>
      </c>
      <c r="G2349" t="str">
        <f>HYPERLINK("http://babel.hathitrust.org/cgi/pt?id=mdp.39015031012373")</f>
        <v>http://babel.hathitrust.org/cgi/pt?id=mdp.39015031012373</v>
      </c>
      <c r="H2349" t="str">
        <f>HYPERLINK("http://catalog.hathitrust.org/Record/001899353")</f>
        <v>http://catalog.hathitrust.org/Record/001899353</v>
      </c>
      <c r="J2349" s="1">
        <v>1885</v>
      </c>
      <c r="K2349" t="s">
        <v>15399</v>
      </c>
      <c r="L2349" t="s">
        <v>15400</v>
      </c>
    </row>
    <row r="2350" spans="1:12">
      <c r="A2350" t="s">
        <v>15401</v>
      </c>
      <c r="B2350" s="1" t="s">
        <v>15402</v>
      </c>
      <c r="F2350">
        <v>1</v>
      </c>
      <c r="G2350" t="str">
        <f>HYPERLINK("http://babel.hathitrust.org/cgi/pt?id=mdp.39015031012365")</f>
        <v>http://babel.hathitrust.org/cgi/pt?id=mdp.39015031012365</v>
      </c>
      <c r="H2350" t="str">
        <f>HYPERLINK("http://catalog.hathitrust.org/Record/001899354")</f>
        <v>http://catalog.hathitrust.org/Record/001899354</v>
      </c>
      <c r="J2350" s="1">
        <v>1823</v>
      </c>
      <c r="K2350" t="s">
        <v>15403</v>
      </c>
      <c r="L2350" t="s">
        <v>15404</v>
      </c>
    </row>
    <row r="2351" spans="1:12">
      <c r="A2351" t="s">
        <v>15405</v>
      </c>
      <c r="B2351" s="1" t="s">
        <v>15406</v>
      </c>
      <c r="D2351">
        <v>1</v>
      </c>
      <c r="G2351" t="str">
        <f>HYPERLINK("http://babel.hathitrust.org/cgi/pt?id=mdp.39015003639195")</f>
        <v>http://babel.hathitrust.org/cgi/pt?id=mdp.39015003639195</v>
      </c>
      <c r="H2351" t="str">
        <f>HYPERLINK("http://catalog.hathitrust.org/Record/001899372")</f>
        <v>http://catalog.hathitrust.org/Record/001899372</v>
      </c>
      <c r="J2351" s="1">
        <v>1815</v>
      </c>
      <c r="K2351" t="s">
        <v>16161</v>
      </c>
      <c r="L2351" t="s">
        <v>19694</v>
      </c>
    </row>
    <row r="2352" spans="1:12">
      <c r="A2352" t="s">
        <v>15407</v>
      </c>
      <c r="B2352" s="1" t="s">
        <v>15408</v>
      </c>
      <c r="D2352">
        <v>1</v>
      </c>
      <c r="G2352" t="str">
        <f>HYPERLINK("http://babel.hathitrust.org/cgi/pt?id=mdp.39015005252047")</f>
        <v>http://babel.hathitrust.org/cgi/pt?id=mdp.39015005252047</v>
      </c>
      <c r="H2352" t="str">
        <f>HYPERLINK("http://catalog.hathitrust.org/Record/001899373")</f>
        <v>http://catalog.hathitrust.org/Record/001899373</v>
      </c>
      <c r="J2352" s="1">
        <v>1823</v>
      </c>
      <c r="K2352" t="s">
        <v>15409</v>
      </c>
      <c r="L2352" t="s">
        <v>19694</v>
      </c>
    </row>
    <row r="2353" spans="1:12">
      <c r="A2353" t="s">
        <v>15410</v>
      </c>
      <c r="B2353" s="1" t="s">
        <v>15411</v>
      </c>
      <c r="F2353">
        <v>1</v>
      </c>
      <c r="G2353" t="str">
        <f>HYPERLINK("http://babel.hathitrust.org/cgi/pt?id=hvd.hn1lrz")</f>
        <v>http://babel.hathitrust.org/cgi/pt?id=hvd.hn1lrz</v>
      </c>
      <c r="H2353" t="str">
        <f>HYPERLINK("http://catalog.hathitrust.org/Record/001899381")</f>
        <v>http://catalog.hathitrust.org/Record/001899381</v>
      </c>
      <c r="J2353" s="1">
        <v>1831</v>
      </c>
      <c r="K2353" t="s">
        <v>15412</v>
      </c>
      <c r="L2353" t="s">
        <v>15413</v>
      </c>
    </row>
    <row r="2354" spans="1:12">
      <c r="A2354" t="s">
        <v>15414</v>
      </c>
      <c r="B2354" s="1" t="s">
        <v>15411</v>
      </c>
      <c r="F2354">
        <v>1</v>
      </c>
      <c r="G2354" t="str">
        <f>HYPERLINK("http://babel.hathitrust.org/cgi/pt?id=mdp.39015013439032")</f>
        <v>http://babel.hathitrust.org/cgi/pt?id=mdp.39015013439032</v>
      </c>
      <c r="H2354" t="str">
        <f>HYPERLINK("http://catalog.hathitrust.org/Record/001899381")</f>
        <v>http://catalog.hathitrust.org/Record/001899381</v>
      </c>
      <c r="J2354" s="1">
        <v>1831</v>
      </c>
      <c r="K2354" t="s">
        <v>15412</v>
      </c>
      <c r="L2354" t="s">
        <v>15413</v>
      </c>
    </row>
    <row r="2355" spans="1:12">
      <c r="A2355" t="s">
        <v>15415</v>
      </c>
      <c r="B2355" s="1" t="s">
        <v>15416</v>
      </c>
      <c r="F2355">
        <v>1</v>
      </c>
      <c r="G2355" t="str">
        <f>HYPERLINK("http://babel.hathitrust.org/cgi/pt?id=uc2.ark:/13960/t8gf0pq5x")</f>
        <v>http://babel.hathitrust.org/cgi/pt?id=uc2.ark:/13960/t8gf0pq5x</v>
      </c>
      <c r="H2355" t="str">
        <f>HYPERLINK("http://catalog.hathitrust.org/Record/001899391")</f>
        <v>http://catalog.hathitrust.org/Record/001899391</v>
      </c>
      <c r="J2355" s="1">
        <v>1901</v>
      </c>
      <c r="K2355" t="s">
        <v>15417</v>
      </c>
      <c r="L2355" t="s">
        <v>15418</v>
      </c>
    </row>
    <row r="2356" spans="1:12">
      <c r="A2356" t="s">
        <v>15419</v>
      </c>
      <c r="B2356" s="1" t="s">
        <v>15420</v>
      </c>
      <c r="F2356">
        <v>1</v>
      </c>
      <c r="G2356" t="str">
        <f>HYPERLINK("http://babel.hathitrust.org/cgi/pt?id=hvd.hwjumv")</f>
        <v>http://babel.hathitrust.org/cgi/pt?id=hvd.hwjumv</v>
      </c>
      <c r="H2356" t="str">
        <f>HYPERLINK("http://catalog.hathitrust.org/Record/001899398")</f>
        <v>http://catalog.hathitrust.org/Record/001899398</v>
      </c>
      <c r="I2356" s="1" t="s">
        <v>20916</v>
      </c>
      <c r="J2356" s="1">
        <v>1801</v>
      </c>
      <c r="K2356" t="s">
        <v>15421</v>
      </c>
      <c r="L2356" t="s">
        <v>18885</v>
      </c>
    </row>
    <row r="2357" spans="1:12">
      <c r="A2357" t="s">
        <v>15422</v>
      </c>
      <c r="B2357" s="1" t="s">
        <v>15420</v>
      </c>
      <c r="F2357">
        <v>1</v>
      </c>
      <c r="G2357" t="str">
        <f>HYPERLINK("http://babel.hathitrust.org/cgi/pt?id=hvd.hwjumw")</f>
        <v>http://babel.hathitrust.org/cgi/pt?id=hvd.hwjumw</v>
      </c>
      <c r="H2357" t="str">
        <f>HYPERLINK("http://catalog.hathitrust.org/Record/001899398")</f>
        <v>http://catalog.hathitrust.org/Record/001899398</v>
      </c>
      <c r="I2357" s="1" t="s">
        <v>20755</v>
      </c>
      <c r="J2357" s="1">
        <v>1801</v>
      </c>
      <c r="K2357" t="s">
        <v>15421</v>
      </c>
      <c r="L2357" t="s">
        <v>18885</v>
      </c>
    </row>
    <row r="2358" spans="1:12">
      <c r="A2358" t="s">
        <v>15423</v>
      </c>
      <c r="B2358" s="1" t="s">
        <v>15420</v>
      </c>
      <c r="F2358">
        <v>1</v>
      </c>
      <c r="G2358" t="str">
        <f>HYPERLINK("http://babel.hathitrust.org/cgi/pt?id=mdp.39015005732642")</f>
        <v>http://babel.hathitrust.org/cgi/pt?id=mdp.39015005732642</v>
      </c>
      <c r="H2358" t="str">
        <f>HYPERLINK("http://catalog.hathitrust.org/Record/001899398")</f>
        <v>http://catalog.hathitrust.org/Record/001899398</v>
      </c>
      <c r="I2358" s="1" t="s">
        <v>20918</v>
      </c>
      <c r="J2358" s="1">
        <v>1801</v>
      </c>
      <c r="K2358" t="s">
        <v>15421</v>
      </c>
      <c r="L2358" t="s">
        <v>18885</v>
      </c>
    </row>
    <row r="2359" spans="1:12">
      <c r="A2359" t="s">
        <v>15424</v>
      </c>
      <c r="B2359" s="1" t="s">
        <v>15420</v>
      </c>
      <c r="F2359">
        <v>1</v>
      </c>
      <c r="G2359" t="str">
        <f>HYPERLINK("http://babel.hathitrust.org/cgi/pt?id=nyp.33433082509807")</f>
        <v>http://babel.hathitrust.org/cgi/pt?id=nyp.33433082509807</v>
      </c>
      <c r="H2359" t="str">
        <f>HYPERLINK("http://catalog.hathitrust.org/Record/001899398")</f>
        <v>http://catalog.hathitrust.org/Record/001899398</v>
      </c>
      <c r="I2359" s="1" t="s">
        <v>20799</v>
      </c>
      <c r="J2359" s="1">
        <v>1801</v>
      </c>
      <c r="K2359" t="s">
        <v>15421</v>
      </c>
      <c r="L2359" t="s">
        <v>18885</v>
      </c>
    </row>
    <row r="2360" spans="1:12">
      <c r="A2360" t="s">
        <v>15425</v>
      </c>
      <c r="B2360" s="1" t="s">
        <v>15420</v>
      </c>
      <c r="F2360">
        <v>1</v>
      </c>
      <c r="G2360" t="str">
        <f>HYPERLINK("http://babel.hathitrust.org/cgi/pt?id=nyp.33433082509815")</f>
        <v>http://babel.hathitrust.org/cgi/pt?id=nyp.33433082509815</v>
      </c>
      <c r="H2360" t="str">
        <f>HYPERLINK("http://catalog.hathitrust.org/Record/001899398")</f>
        <v>http://catalog.hathitrust.org/Record/001899398</v>
      </c>
      <c r="I2360" s="1" t="s">
        <v>20796</v>
      </c>
      <c r="J2360" s="1">
        <v>1801</v>
      </c>
      <c r="K2360" t="s">
        <v>15421</v>
      </c>
      <c r="L2360" t="s">
        <v>18885</v>
      </c>
    </row>
    <row r="2361" spans="1:12">
      <c r="A2361" t="s">
        <v>15426</v>
      </c>
      <c r="B2361" s="1" t="s">
        <v>15427</v>
      </c>
      <c r="F2361">
        <v>1</v>
      </c>
      <c r="G2361" t="str">
        <f>HYPERLINK("http://babel.hathitrust.org/cgi/pt?id=mdp.39015074634059")</f>
        <v>http://babel.hathitrust.org/cgi/pt?id=mdp.39015074634059</v>
      </c>
      <c r="H2361" t="str">
        <f>HYPERLINK("http://catalog.hathitrust.org/Record/001899399")</f>
        <v>http://catalog.hathitrust.org/Record/001899399</v>
      </c>
      <c r="J2361" s="1">
        <v>1838</v>
      </c>
      <c r="K2361" t="s">
        <v>15428</v>
      </c>
      <c r="L2361" t="s">
        <v>18885</v>
      </c>
    </row>
    <row r="2362" spans="1:12">
      <c r="A2362" t="s">
        <v>15429</v>
      </c>
      <c r="B2362" s="1" t="s">
        <v>15430</v>
      </c>
      <c r="F2362">
        <v>1</v>
      </c>
      <c r="G2362" t="str">
        <f>HYPERLINK("http://babel.hathitrust.org/cgi/pt?id=mdp.39015059906977")</f>
        <v>http://babel.hathitrust.org/cgi/pt?id=mdp.39015059906977</v>
      </c>
      <c r="H2362" t="str">
        <f>HYPERLINK("http://catalog.hathitrust.org/Record/001899412")</f>
        <v>http://catalog.hathitrust.org/Record/001899412</v>
      </c>
      <c r="J2362" s="1">
        <v>1924</v>
      </c>
      <c r="K2362" t="s">
        <v>15431</v>
      </c>
    </row>
    <row r="2363" spans="1:12">
      <c r="A2363" t="s">
        <v>15432</v>
      </c>
      <c r="B2363" s="1" t="s">
        <v>15433</v>
      </c>
      <c r="F2363">
        <v>1</v>
      </c>
      <c r="G2363" t="str">
        <f>HYPERLINK("http://babel.hathitrust.org/cgi/pt?id=mdp.39015024663257")</f>
        <v>http://babel.hathitrust.org/cgi/pt?id=mdp.39015024663257</v>
      </c>
      <c r="H2363" t="str">
        <f>HYPERLINK("http://catalog.hathitrust.org/Record/001899415")</f>
        <v>http://catalog.hathitrust.org/Record/001899415</v>
      </c>
      <c r="J2363" s="1">
        <v>1927</v>
      </c>
      <c r="K2363" t="s">
        <v>15434</v>
      </c>
      <c r="L2363" t="s">
        <v>15435</v>
      </c>
    </row>
    <row r="2364" spans="1:12">
      <c r="A2364" t="s">
        <v>15436</v>
      </c>
      <c r="B2364" s="1" t="s">
        <v>15437</v>
      </c>
      <c r="F2364">
        <v>1</v>
      </c>
      <c r="G2364" t="str">
        <f>HYPERLINK("http://babel.hathitrust.org/cgi/pt?id=mdp.39015059906985")</f>
        <v>http://babel.hathitrust.org/cgi/pt?id=mdp.39015059906985</v>
      </c>
      <c r="H2364" t="str">
        <f>HYPERLINK("http://catalog.hathitrust.org/Record/001899418")</f>
        <v>http://catalog.hathitrust.org/Record/001899418</v>
      </c>
      <c r="J2364" s="1">
        <v>1900</v>
      </c>
      <c r="K2364" t="s">
        <v>15438</v>
      </c>
      <c r="L2364" t="s">
        <v>15313</v>
      </c>
    </row>
    <row r="2365" spans="1:12">
      <c r="A2365" t="s">
        <v>15314</v>
      </c>
      <c r="B2365" s="1" t="s">
        <v>15315</v>
      </c>
      <c r="F2365">
        <v>1</v>
      </c>
      <c r="G2365" t="str">
        <f>HYPERLINK("http://babel.hathitrust.org/cgi/pt?id=mdp.39015031014999")</f>
        <v>http://babel.hathitrust.org/cgi/pt?id=mdp.39015031014999</v>
      </c>
      <c r="H2365" t="str">
        <f>HYPERLINK("http://catalog.hathitrust.org/Record/001899429")</f>
        <v>http://catalog.hathitrust.org/Record/001899429</v>
      </c>
      <c r="J2365" s="1">
        <v>1890</v>
      </c>
      <c r="K2365" t="s">
        <v>15316</v>
      </c>
      <c r="L2365" t="s">
        <v>19800</v>
      </c>
    </row>
    <row r="2366" spans="1:12">
      <c r="A2366" t="s">
        <v>15317</v>
      </c>
      <c r="B2366" s="1" t="s">
        <v>15318</v>
      </c>
      <c r="F2366">
        <v>1</v>
      </c>
      <c r="G2366" t="str">
        <f>HYPERLINK("http://babel.hathitrust.org/cgi/pt?id=mdp.39015009006928")</f>
        <v>http://babel.hathitrust.org/cgi/pt?id=mdp.39015009006928</v>
      </c>
      <c r="H2366" t="str">
        <f>HYPERLINK("http://catalog.hathitrust.org/Record/001899430")</f>
        <v>http://catalog.hathitrust.org/Record/001899430</v>
      </c>
      <c r="J2366" s="1">
        <v>1926</v>
      </c>
      <c r="K2366" t="s">
        <v>15319</v>
      </c>
      <c r="L2366" t="s">
        <v>15320</v>
      </c>
    </row>
    <row r="2367" spans="1:12">
      <c r="A2367" t="s">
        <v>15321</v>
      </c>
      <c r="B2367" s="1" t="s">
        <v>15322</v>
      </c>
      <c r="F2367">
        <v>1</v>
      </c>
      <c r="G2367" t="str">
        <f>HYPERLINK("http://babel.hathitrust.org/cgi/pt?id=mdp.39015017637615")</f>
        <v>http://babel.hathitrust.org/cgi/pt?id=mdp.39015017637615</v>
      </c>
      <c r="H2367" t="str">
        <f>HYPERLINK("http://catalog.hathitrust.org/Record/001899435")</f>
        <v>http://catalog.hathitrust.org/Record/001899435</v>
      </c>
      <c r="J2367" s="1">
        <v>1920</v>
      </c>
      <c r="K2367" t="s">
        <v>15323</v>
      </c>
    </row>
    <row r="2368" spans="1:12">
      <c r="A2368" t="s">
        <v>15324</v>
      </c>
      <c r="B2368" s="1" t="s">
        <v>15325</v>
      </c>
      <c r="F2368">
        <v>1</v>
      </c>
      <c r="G2368" t="str">
        <f>HYPERLINK("http://babel.hathitrust.org/cgi/pt?id=mdp.39015014764602")</f>
        <v>http://babel.hathitrust.org/cgi/pt?id=mdp.39015014764602</v>
      </c>
      <c r="H2368" t="str">
        <f>HYPERLINK("http://catalog.hathitrust.org/Record/001899449")</f>
        <v>http://catalog.hathitrust.org/Record/001899449</v>
      </c>
      <c r="J2368" s="1">
        <v>1906</v>
      </c>
      <c r="K2368" t="s">
        <v>15326</v>
      </c>
      <c r="L2368" t="s">
        <v>15327</v>
      </c>
    </row>
    <row r="2369" spans="1:12">
      <c r="A2369" t="s">
        <v>15328</v>
      </c>
      <c r="B2369" s="1" t="s">
        <v>15325</v>
      </c>
      <c r="F2369">
        <v>1</v>
      </c>
      <c r="G2369" t="str">
        <f>HYPERLINK("http://babel.hathitrust.org/cgi/pt?id=uc1.b4091194")</f>
        <v>http://babel.hathitrust.org/cgi/pt?id=uc1.b4091194</v>
      </c>
      <c r="H2369" t="str">
        <f>HYPERLINK("http://catalog.hathitrust.org/Record/001899449")</f>
        <v>http://catalog.hathitrust.org/Record/001899449</v>
      </c>
      <c r="J2369" s="1">
        <v>1906</v>
      </c>
      <c r="K2369" t="s">
        <v>15326</v>
      </c>
      <c r="L2369" t="s">
        <v>15327</v>
      </c>
    </row>
    <row r="2370" spans="1:12">
      <c r="A2370" t="s">
        <v>15329</v>
      </c>
      <c r="B2370" s="1" t="s">
        <v>15325</v>
      </c>
      <c r="F2370">
        <v>1</v>
      </c>
      <c r="G2370" t="str">
        <f>HYPERLINK("http://babel.hathitrust.org/cgi/pt?id=uc2.ark:/13960/t58d02w08")</f>
        <v>http://babel.hathitrust.org/cgi/pt?id=uc2.ark:/13960/t58d02w08</v>
      </c>
      <c r="H2370" t="str">
        <f>HYPERLINK("http://catalog.hathitrust.org/Record/001899449")</f>
        <v>http://catalog.hathitrust.org/Record/001899449</v>
      </c>
      <c r="J2370" s="1">
        <v>1906</v>
      </c>
      <c r="K2370" t="s">
        <v>15326</v>
      </c>
      <c r="L2370" t="s">
        <v>15327</v>
      </c>
    </row>
    <row r="2371" spans="1:12">
      <c r="A2371" t="s">
        <v>15330</v>
      </c>
      <c r="B2371" s="1" t="s">
        <v>15331</v>
      </c>
      <c r="F2371">
        <v>1</v>
      </c>
      <c r="G2371" t="str">
        <f>HYPERLINK("http://babel.hathitrust.org/cgi/pt?id=mdp.39015001684938")</f>
        <v>http://babel.hathitrust.org/cgi/pt?id=mdp.39015001684938</v>
      </c>
      <c r="H2371" t="str">
        <f>HYPERLINK("http://catalog.hathitrust.org/Record/001899450")</f>
        <v>http://catalog.hathitrust.org/Record/001899450</v>
      </c>
      <c r="J2371" s="1">
        <v>1908</v>
      </c>
      <c r="K2371" t="s">
        <v>15332</v>
      </c>
      <c r="L2371" t="s">
        <v>15327</v>
      </c>
    </row>
    <row r="2372" spans="1:12">
      <c r="A2372" t="s">
        <v>15333</v>
      </c>
      <c r="B2372" s="1" t="s">
        <v>15334</v>
      </c>
      <c r="F2372">
        <v>1</v>
      </c>
      <c r="G2372" t="str">
        <f>HYPERLINK("http://babel.hathitrust.org/cgi/pt?id=mdp.39015030701851")</f>
        <v>http://babel.hathitrust.org/cgi/pt?id=mdp.39015030701851</v>
      </c>
      <c r="H2372" t="str">
        <f>HYPERLINK("http://catalog.hathitrust.org/Record/001899452")</f>
        <v>http://catalog.hathitrust.org/Record/001899452</v>
      </c>
      <c r="J2372" s="1">
        <v>1918</v>
      </c>
      <c r="K2372" t="s">
        <v>15335</v>
      </c>
      <c r="L2372" t="s">
        <v>15327</v>
      </c>
    </row>
    <row r="2373" spans="1:12">
      <c r="A2373" t="s">
        <v>15336</v>
      </c>
      <c r="B2373" s="1" t="s">
        <v>15337</v>
      </c>
      <c r="F2373">
        <v>1</v>
      </c>
      <c r="G2373" t="str">
        <f>HYPERLINK("http://babel.hathitrust.org/cgi/pt?id=mdp.39015008631577")</f>
        <v>http://babel.hathitrust.org/cgi/pt?id=mdp.39015008631577</v>
      </c>
      <c r="H2373" t="str">
        <f>HYPERLINK("http://catalog.hathitrust.org/Record/001899456")</f>
        <v>http://catalog.hathitrust.org/Record/001899456</v>
      </c>
      <c r="J2373" s="1">
        <v>1950</v>
      </c>
      <c r="K2373" t="s">
        <v>15338</v>
      </c>
      <c r="L2373" t="s">
        <v>15339</v>
      </c>
    </row>
    <row r="2374" spans="1:12">
      <c r="A2374" t="s">
        <v>15340</v>
      </c>
      <c r="B2374" s="1" t="s">
        <v>15341</v>
      </c>
      <c r="F2374">
        <v>1</v>
      </c>
      <c r="G2374" t="str">
        <f>HYPERLINK("http://babel.hathitrust.org/cgi/pt?id=mdp.39015058694988")</f>
        <v>http://babel.hathitrust.org/cgi/pt?id=mdp.39015058694988</v>
      </c>
      <c r="H2374" t="str">
        <f>HYPERLINK("http://catalog.hathitrust.org/Record/001899461")</f>
        <v>http://catalog.hathitrust.org/Record/001899461</v>
      </c>
      <c r="J2374" s="1">
        <v>1901</v>
      </c>
      <c r="K2374" t="s">
        <v>15342</v>
      </c>
      <c r="L2374" t="s">
        <v>15343</v>
      </c>
    </row>
    <row r="2375" spans="1:12">
      <c r="A2375" t="s">
        <v>15344</v>
      </c>
      <c r="B2375" s="1" t="s">
        <v>15345</v>
      </c>
      <c r="F2375">
        <v>1</v>
      </c>
      <c r="G2375" t="str">
        <f>HYPERLINK("http://babel.hathitrust.org/cgi/pt?id=mdp.39015010335936")</f>
        <v>http://babel.hathitrust.org/cgi/pt?id=mdp.39015010335936</v>
      </c>
      <c r="H2375" t="str">
        <f>HYPERLINK("http://catalog.hathitrust.org/Record/001899463")</f>
        <v>http://catalog.hathitrust.org/Record/001899463</v>
      </c>
      <c r="J2375" s="1">
        <v>1893</v>
      </c>
      <c r="K2375" t="s">
        <v>15346</v>
      </c>
      <c r="L2375" t="s">
        <v>20448</v>
      </c>
    </row>
    <row r="2376" spans="1:12">
      <c r="A2376" t="s">
        <v>15347</v>
      </c>
      <c r="B2376" s="1" t="s">
        <v>15345</v>
      </c>
      <c r="F2376">
        <v>1</v>
      </c>
      <c r="G2376" t="str">
        <f>HYPERLINK("http://babel.hathitrust.org/cgi/pt?id=nyp.33433082512157")</f>
        <v>http://babel.hathitrust.org/cgi/pt?id=nyp.33433082512157</v>
      </c>
      <c r="H2376" t="str">
        <f>HYPERLINK("http://catalog.hathitrust.org/Record/001899463")</f>
        <v>http://catalog.hathitrust.org/Record/001899463</v>
      </c>
      <c r="J2376" s="1">
        <v>1893</v>
      </c>
      <c r="K2376" t="s">
        <v>15346</v>
      </c>
      <c r="L2376" t="s">
        <v>20448</v>
      </c>
    </row>
    <row r="2377" spans="1:12">
      <c r="A2377" t="s">
        <v>15348</v>
      </c>
      <c r="B2377" s="1" t="s">
        <v>15345</v>
      </c>
      <c r="F2377">
        <v>1</v>
      </c>
      <c r="G2377" t="str">
        <f>HYPERLINK("http://babel.hathitrust.org/cgi/pt?id=nyp.33433082512165")</f>
        <v>http://babel.hathitrust.org/cgi/pt?id=nyp.33433082512165</v>
      </c>
      <c r="H2377" t="str">
        <f>HYPERLINK("http://catalog.hathitrust.org/Record/001899463")</f>
        <v>http://catalog.hathitrust.org/Record/001899463</v>
      </c>
      <c r="J2377" s="1">
        <v>1893</v>
      </c>
      <c r="K2377" t="s">
        <v>15346</v>
      </c>
      <c r="L2377" t="s">
        <v>20448</v>
      </c>
    </row>
    <row r="2378" spans="1:12">
      <c r="A2378" t="s">
        <v>15349</v>
      </c>
      <c r="B2378" s="1" t="s">
        <v>15350</v>
      </c>
      <c r="F2378">
        <v>1</v>
      </c>
      <c r="G2378" t="str">
        <f>HYPERLINK("http://babel.hathitrust.org/cgi/pt?id=mdp.39015005790301")</f>
        <v>http://babel.hathitrust.org/cgi/pt?id=mdp.39015005790301</v>
      </c>
      <c r="H2378" t="str">
        <f>HYPERLINK("http://catalog.hathitrust.org/Record/001899464")</f>
        <v>http://catalog.hathitrust.org/Record/001899464</v>
      </c>
      <c r="J2378" s="1">
        <v>1893</v>
      </c>
      <c r="K2378" t="s">
        <v>15351</v>
      </c>
      <c r="L2378" t="s">
        <v>20448</v>
      </c>
    </row>
    <row r="2379" spans="1:12">
      <c r="A2379" t="s">
        <v>15352</v>
      </c>
      <c r="B2379" s="1" t="s">
        <v>15353</v>
      </c>
      <c r="F2379">
        <v>1</v>
      </c>
      <c r="G2379" t="str">
        <f>HYPERLINK("http://babel.hathitrust.org/cgi/pt?id=mdp.39015002353467")</f>
        <v>http://babel.hathitrust.org/cgi/pt?id=mdp.39015002353467</v>
      </c>
      <c r="H2379" t="str">
        <f>HYPERLINK("http://catalog.hathitrust.org/Record/001899472")</f>
        <v>http://catalog.hathitrust.org/Record/001899472</v>
      </c>
      <c r="J2379" s="1">
        <v>1914</v>
      </c>
      <c r="K2379" t="s">
        <v>15354</v>
      </c>
      <c r="L2379" t="s">
        <v>19321</v>
      </c>
    </row>
    <row r="2380" spans="1:12">
      <c r="A2380" t="s">
        <v>15355</v>
      </c>
      <c r="B2380" s="1" t="s">
        <v>15353</v>
      </c>
      <c r="F2380">
        <v>1</v>
      </c>
      <c r="G2380" t="str">
        <f>HYPERLINK("http://babel.hathitrust.org/cgi/pt?id=mdp.39015004305390")</f>
        <v>http://babel.hathitrust.org/cgi/pt?id=mdp.39015004305390</v>
      </c>
      <c r="H2380" t="str">
        <f>HYPERLINK("http://catalog.hathitrust.org/Record/001899472")</f>
        <v>http://catalog.hathitrust.org/Record/001899472</v>
      </c>
      <c r="J2380" s="1">
        <v>1914</v>
      </c>
      <c r="K2380" t="s">
        <v>15354</v>
      </c>
      <c r="L2380" t="s">
        <v>19321</v>
      </c>
    </row>
    <row r="2381" spans="1:12">
      <c r="A2381" t="s">
        <v>15356</v>
      </c>
      <c r="B2381" s="1" t="s">
        <v>15357</v>
      </c>
      <c r="F2381">
        <v>1</v>
      </c>
      <c r="G2381" t="str">
        <f>HYPERLINK("http://babel.hathitrust.org/cgi/pt?id=mdp.39015010335944")</f>
        <v>http://babel.hathitrust.org/cgi/pt?id=mdp.39015010335944</v>
      </c>
      <c r="H2381" t="str">
        <f>HYPERLINK("http://catalog.hathitrust.org/Record/001899487")</f>
        <v>http://catalog.hathitrust.org/Record/001899487</v>
      </c>
      <c r="J2381" s="1">
        <v>1895</v>
      </c>
      <c r="K2381" t="s">
        <v>15358</v>
      </c>
      <c r="L2381" t="s">
        <v>17075</v>
      </c>
    </row>
    <row r="2382" spans="1:12">
      <c r="A2382" t="s">
        <v>15359</v>
      </c>
      <c r="B2382" s="1" t="s">
        <v>15357</v>
      </c>
      <c r="F2382">
        <v>1</v>
      </c>
      <c r="G2382" t="str">
        <f>HYPERLINK("http://babel.hathitrust.org/cgi/pt?id=mdp.39015030775574")</f>
        <v>http://babel.hathitrust.org/cgi/pt?id=mdp.39015030775574</v>
      </c>
      <c r="H2382" t="str">
        <f>HYPERLINK("http://catalog.hathitrust.org/Record/001899487")</f>
        <v>http://catalog.hathitrust.org/Record/001899487</v>
      </c>
      <c r="J2382" s="1">
        <v>1895</v>
      </c>
      <c r="K2382" t="s">
        <v>15358</v>
      </c>
      <c r="L2382" t="s">
        <v>17075</v>
      </c>
    </row>
    <row r="2383" spans="1:12">
      <c r="A2383" t="s">
        <v>15360</v>
      </c>
      <c r="B2383" s="1" t="s">
        <v>15357</v>
      </c>
      <c r="F2383">
        <v>1</v>
      </c>
      <c r="G2383" t="str">
        <f>HYPERLINK("http://babel.hathitrust.org/cgi/pt?id=nyp.33433082512074")</f>
        <v>http://babel.hathitrust.org/cgi/pt?id=nyp.33433082512074</v>
      </c>
      <c r="H2383" t="str">
        <f>HYPERLINK("http://catalog.hathitrust.org/Record/001899487")</f>
        <v>http://catalog.hathitrust.org/Record/001899487</v>
      </c>
      <c r="J2383" s="1">
        <v>1895</v>
      </c>
      <c r="K2383" t="s">
        <v>15358</v>
      </c>
      <c r="L2383" t="s">
        <v>17075</v>
      </c>
    </row>
    <row r="2384" spans="1:12">
      <c r="A2384" t="s">
        <v>15361</v>
      </c>
      <c r="B2384" s="1" t="s">
        <v>15357</v>
      </c>
      <c r="F2384">
        <v>1</v>
      </c>
      <c r="G2384" t="str">
        <f>HYPERLINK("http://babel.hathitrust.org/cgi/pt?id=uc2.ark:/13960/t8bg2nt28")</f>
        <v>http://babel.hathitrust.org/cgi/pt?id=uc2.ark:/13960/t8bg2nt28</v>
      </c>
      <c r="H2384" t="str">
        <f>HYPERLINK("http://catalog.hathitrust.org/Record/001899487")</f>
        <v>http://catalog.hathitrust.org/Record/001899487</v>
      </c>
      <c r="J2384" s="1">
        <v>1895</v>
      </c>
      <c r="K2384" t="s">
        <v>15358</v>
      </c>
      <c r="L2384" t="s">
        <v>17075</v>
      </c>
    </row>
    <row r="2385" spans="1:12">
      <c r="A2385" t="s">
        <v>15362</v>
      </c>
      <c r="B2385" s="1" t="s">
        <v>15363</v>
      </c>
      <c r="F2385">
        <v>1</v>
      </c>
      <c r="G2385" t="str">
        <f>HYPERLINK("http://babel.hathitrust.org/cgi/pt?id=mdp.39015031014668")</f>
        <v>http://babel.hathitrust.org/cgi/pt?id=mdp.39015031014668</v>
      </c>
      <c r="H2385" t="str">
        <f>HYPERLINK("http://catalog.hathitrust.org/Record/001899488")</f>
        <v>http://catalog.hathitrust.org/Record/001899488</v>
      </c>
      <c r="J2385" s="1">
        <v>1877</v>
      </c>
      <c r="K2385" t="s">
        <v>15364</v>
      </c>
      <c r="L2385" t="s">
        <v>15365</v>
      </c>
    </row>
    <row r="2386" spans="1:12">
      <c r="A2386" t="s">
        <v>15366</v>
      </c>
      <c r="B2386" s="1" t="s">
        <v>15363</v>
      </c>
      <c r="F2386">
        <v>1</v>
      </c>
      <c r="G2386" t="str">
        <f>HYPERLINK("http://babel.hathitrust.org/cgi/pt?id=uc1.b258305")</f>
        <v>http://babel.hathitrust.org/cgi/pt?id=uc1.b258305</v>
      </c>
      <c r="H2386" t="str">
        <f>HYPERLINK("http://catalog.hathitrust.org/Record/001899488")</f>
        <v>http://catalog.hathitrust.org/Record/001899488</v>
      </c>
      <c r="J2386" s="1">
        <v>1877</v>
      </c>
      <c r="K2386" t="s">
        <v>15364</v>
      </c>
      <c r="L2386" t="s">
        <v>15365</v>
      </c>
    </row>
    <row r="2387" spans="1:12">
      <c r="A2387" t="s">
        <v>15367</v>
      </c>
      <c r="B2387" s="1" t="s">
        <v>15363</v>
      </c>
      <c r="F2387">
        <v>1</v>
      </c>
      <c r="G2387" t="str">
        <f>HYPERLINK("http://babel.hathitrust.org/cgi/pt?id=uc2.ark:/13960/t1rf5p08d")</f>
        <v>http://babel.hathitrust.org/cgi/pt?id=uc2.ark:/13960/t1rf5p08d</v>
      </c>
      <c r="H2387" t="str">
        <f>HYPERLINK("http://catalog.hathitrust.org/Record/001899488")</f>
        <v>http://catalog.hathitrust.org/Record/001899488</v>
      </c>
      <c r="J2387" s="1">
        <v>1877</v>
      </c>
      <c r="K2387" t="s">
        <v>15364</v>
      </c>
      <c r="L2387" t="s">
        <v>15365</v>
      </c>
    </row>
    <row r="2388" spans="1:12">
      <c r="A2388" t="s">
        <v>15368</v>
      </c>
      <c r="B2388" s="1" t="s">
        <v>15369</v>
      </c>
      <c r="F2388">
        <v>1</v>
      </c>
      <c r="G2388" t="str">
        <f>HYPERLINK("http://babel.hathitrust.org/cgi/pt?id=mdp.39015018650773")</f>
        <v>http://babel.hathitrust.org/cgi/pt?id=mdp.39015018650773</v>
      </c>
      <c r="H2388" t="str">
        <f>HYPERLINK("http://catalog.hathitrust.org/Record/001899491")</f>
        <v>http://catalog.hathitrust.org/Record/001899491</v>
      </c>
      <c r="J2388" s="1">
        <v>1859</v>
      </c>
      <c r="K2388" t="s">
        <v>15370</v>
      </c>
      <c r="L2388" t="s">
        <v>15371</v>
      </c>
    </row>
    <row r="2389" spans="1:12">
      <c r="A2389" t="s">
        <v>15372</v>
      </c>
      <c r="B2389" s="1" t="s">
        <v>15373</v>
      </c>
      <c r="F2389">
        <v>1</v>
      </c>
      <c r="G2389" t="str">
        <f>HYPERLINK("http://babel.hathitrust.org/cgi/pt?id=mdp.39015031013660")</f>
        <v>http://babel.hathitrust.org/cgi/pt?id=mdp.39015031013660</v>
      </c>
      <c r="H2389" t="str">
        <f>HYPERLINK("http://catalog.hathitrust.org/Record/001899497")</f>
        <v>http://catalog.hathitrust.org/Record/001899497</v>
      </c>
      <c r="J2389" s="1">
        <v>1836</v>
      </c>
      <c r="K2389" t="s">
        <v>15374</v>
      </c>
      <c r="L2389" t="s">
        <v>15375</v>
      </c>
    </row>
    <row r="2390" spans="1:12">
      <c r="A2390" t="s">
        <v>15376</v>
      </c>
      <c r="B2390" s="1" t="s">
        <v>15377</v>
      </c>
      <c r="F2390">
        <v>1</v>
      </c>
      <c r="G2390" t="str">
        <f>HYPERLINK("http://babel.hathitrust.org/cgi/pt?id=mdp.39015014509999")</f>
        <v>http://babel.hathitrust.org/cgi/pt?id=mdp.39015014509999</v>
      </c>
      <c r="H2390" t="str">
        <f>HYPERLINK("http://catalog.hathitrust.org/Record/001899526")</f>
        <v>http://catalog.hathitrust.org/Record/001899526</v>
      </c>
      <c r="J2390" s="1">
        <v>1923</v>
      </c>
      <c r="K2390" t="s">
        <v>15378</v>
      </c>
      <c r="L2390" t="s">
        <v>15379</v>
      </c>
    </row>
    <row r="2391" spans="1:12">
      <c r="A2391" t="s">
        <v>15380</v>
      </c>
      <c r="B2391" s="1" t="s">
        <v>15377</v>
      </c>
      <c r="F2391">
        <v>1</v>
      </c>
      <c r="G2391" t="str">
        <f>HYPERLINK("http://babel.hathitrust.org/cgi/pt?id=uc1.b258613")</f>
        <v>http://babel.hathitrust.org/cgi/pt?id=uc1.b258613</v>
      </c>
      <c r="H2391" t="str">
        <f>HYPERLINK("http://catalog.hathitrust.org/Record/001899526")</f>
        <v>http://catalog.hathitrust.org/Record/001899526</v>
      </c>
      <c r="J2391" s="1">
        <v>1923</v>
      </c>
      <c r="K2391" t="s">
        <v>15378</v>
      </c>
      <c r="L2391" t="s">
        <v>15379</v>
      </c>
    </row>
    <row r="2392" spans="1:12">
      <c r="A2392" t="s">
        <v>15381</v>
      </c>
      <c r="B2392" s="1" t="s">
        <v>15261</v>
      </c>
      <c r="F2392">
        <v>1</v>
      </c>
      <c r="G2392" t="str">
        <f>HYPERLINK("http://babel.hathitrust.org/cgi/pt?id=uc1.b4095584")</f>
        <v>http://babel.hathitrust.org/cgi/pt?id=uc1.b4095584</v>
      </c>
      <c r="H2392" t="str">
        <f>HYPERLINK("http://catalog.hathitrust.org/Record/001899527")</f>
        <v>http://catalog.hathitrust.org/Record/001899527</v>
      </c>
      <c r="J2392" s="1">
        <v>1919</v>
      </c>
      <c r="K2392" t="s">
        <v>15262</v>
      </c>
      <c r="L2392" t="s">
        <v>15379</v>
      </c>
    </row>
    <row r="2393" spans="1:12">
      <c r="A2393" t="s">
        <v>15263</v>
      </c>
      <c r="B2393" s="1" t="s">
        <v>15261</v>
      </c>
      <c r="F2393">
        <v>1</v>
      </c>
      <c r="G2393" t="str">
        <f>HYPERLINK("http://babel.hathitrust.org/cgi/pt?id=uc2.ark:/13960/t9k35p63w")</f>
        <v>http://babel.hathitrust.org/cgi/pt?id=uc2.ark:/13960/t9k35p63w</v>
      </c>
      <c r="H2393" t="str">
        <f>HYPERLINK("http://catalog.hathitrust.org/Record/001899527")</f>
        <v>http://catalog.hathitrust.org/Record/001899527</v>
      </c>
      <c r="J2393" s="1">
        <v>1919</v>
      </c>
      <c r="K2393" t="s">
        <v>15262</v>
      </c>
      <c r="L2393" t="s">
        <v>15379</v>
      </c>
    </row>
    <row r="2394" spans="1:12">
      <c r="A2394" t="s">
        <v>15264</v>
      </c>
      <c r="B2394" s="1" t="s">
        <v>15265</v>
      </c>
      <c r="F2394">
        <v>1</v>
      </c>
      <c r="G2394" t="str">
        <f>HYPERLINK("http://babel.hathitrust.org/cgi/pt?id=mdp.39015041879779")</f>
        <v>http://babel.hathitrust.org/cgi/pt?id=mdp.39015041879779</v>
      </c>
      <c r="H2394" t="str">
        <f>HYPERLINK("http://catalog.hathitrust.org/Record/001899534")</f>
        <v>http://catalog.hathitrust.org/Record/001899534</v>
      </c>
      <c r="J2394" s="1">
        <v>1902</v>
      </c>
      <c r="K2394" t="s">
        <v>15266</v>
      </c>
      <c r="L2394" t="s">
        <v>15267</v>
      </c>
    </row>
    <row r="2395" spans="1:12">
      <c r="A2395" t="s">
        <v>15268</v>
      </c>
      <c r="B2395" s="1" t="s">
        <v>15269</v>
      </c>
      <c r="E2395">
        <v>1</v>
      </c>
      <c r="G2395" t="str">
        <f>HYPERLINK("http://babel.hathitrust.org/cgi/pt?id=mdp.39015019747065")</f>
        <v>http://babel.hathitrust.org/cgi/pt?id=mdp.39015019747065</v>
      </c>
      <c r="H2395" t="str">
        <f>HYPERLINK("http://catalog.hathitrust.org/Record/001899542")</f>
        <v>http://catalog.hathitrust.org/Record/001899542</v>
      </c>
      <c r="J2395" s="1">
        <v>1876</v>
      </c>
      <c r="K2395" t="s">
        <v>15270</v>
      </c>
      <c r="L2395" t="s">
        <v>15271</v>
      </c>
    </row>
    <row r="2396" spans="1:12">
      <c r="A2396" t="s">
        <v>15272</v>
      </c>
      <c r="B2396" s="1" t="s">
        <v>15273</v>
      </c>
      <c r="E2396">
        <v>1</v>
      </c>
      <c r="G2396" t="str">
        <f>HYPERLINK("http://babel.hathitrust.org/cgi/pt?id=mdp.39015017633929")</f>
        <v>http://babel.hathitrust.org/cgi/pt?id=mdp.39015017633929</v>
      </c>
      <c r="H2396" t="str">
        <f>HYPERLINK("http://catalog.hathitrust.org/Record/001899544")</f>
        <v>http://catalog.hathitrust.org/Record/001899544</v>
      </c>
      <c r="J2396" s="1">
        <v>1879</v>
      </c>
      <c r="K2396" t="s">
        <v>15274</v>
      </c>
      <c r="L2396" t="s">
        <v>15271</v>
      </c>
    </row>
    <row r="2397" spans="1:12">
      <c r="A2397" t="s">
        <v>15275</v>
      </c>
      <c r="B2397" s="1" t="s">
        <v>15276</v>
      </c>
      <c r="F2397">
        <v>1</v>
      </c>
      <c r="G2397" t="str">
        <f>HYPERLINK("http://babel.hathitrust.org/cgi/pt?id=mdp.39015030867967")</f>
        <v>http://babel.hathitrust.org/cgi/pt?id=mdp.39015030867967</v>
      </c>
      <c r="H2397" t="str">
        <f>HYPERLINK("http://catalog.hathitrust.org/Record/001899572")</f>
        <v>http://catalog.hathitrust.org/Record/001899572</v>
      </c>
      <c r="J2397" s="1">
        <v>1897</v>
      </c>
      <c r="K2397" t="s">
        <v>15277</v>
      </c>
      <c r="L2397" t="s">
        <v>17560</v>
      </c>
    </row>
    <row r="2398" spans="1:12">
      <c r="A2398" t="s">
        <v>15278</v>
      </c>
      <c r="B2398" s="1" t="s">
        <v>15276</v>
      </c>
      <c r="F2398">
        <v>1</v>
      </c>
      <c r="G2398" t="str">
        <f>HYPERLINK("http://babel.hathitrust.org/cgi/pt?id=mdp.39015033513444")</f>
        <v>http://babel.hathitrust.org/cgi/pt?id=mdp.39015033513444</v>
      </c>
      <c r="H2398" t="str">
        <f>HYPERLINK("http://catalog.hathitrust.org/Record/001899572")</f>
        <v>http://catalog.hathitrust.org/Record/001899572</v>
      </c>
      <c r="J2398" s="1">
        <v>1897</v>
      </c>
      <c r="K2398" t="s">
        <v>15277</v>
      </c>
      <c r="L2398" t="s">
        <v>17560</v>
      </c>
    </row>
    <row r="2399" spans="1:12">
      <c r="A2399" t="s">
        <v>15279</v>
      </c>
      <c r="B2399" s="1" t="s">
        <v>15276</v>
      </c>
      <c r="F2399">
        <v>1</v>
      </c>
      <c r="G2399" t="str">
        <f>HYPERLINK("http://babel.hathitrust.org/cgi/pt?id=uc1.b258652")</f>
        <v>http://babel.hathitrust.org/cgi/pt?id=uc1.b258652</v>
      </c>
      <c r="H2399" t="str">
        <f>HYPERLINK("http://catalog.hathitrust.org/Record/001899572")</f>
        <v>http://catalog.hathitrust.org/Record/001899572</v>
      </c>
      <c r="J2399" s="1">
        <v>1897</v>
      </c>
      <c r="K2399" t="s">
        <v>15277</v>
      </c>
      <c r="L2399" t="s">
        <v>17560</v>
      </c>
    </row>
    <row r="2400" spans="1:12">
      <c r="A2400" t="s">
        <v>15280</v>
      </c>
      <c r="B2400" s="1" t="s">
        <v>15276</v>
      </c>
      <c r="F2400">
        <v>1</v>
      </c>
      <c r="G2400" t="str">
        <f>HYPERLINK("http://babel.hathitrust.org/cgi/pt?id=uc1.b307976")</f>
        <v>http://babel.hathitrust.org/cgi/pt?id=uc1.b307976</v>
      </c>
      <c r="H2400" t="str">
        <f>HYPERLINK("http://catalog.hathitrust.org/Record/001899572")</f>
        <v>http://catalog.hathitrust.org/Record/001899572</v>
      </c>
      <c r="J2400" s="1">
        <v>1897</v>
      </c>
      <c r="K2400" t="s">
        <v>15277</v>
      </c>
      <c r="L2400" t="s">
        <v>17560</v>
      </c>
    </row>
    <row r="2401" spans="1:12">
      <c r="A2401" t="s">
        <v>15281</v>
      </c>
      <c r="B2401" s="1" t="s">
        <v>15276</v>
      </c>
      <c r="F2401">
        <v>1</v>
      </c>
      <c r="G2401" t="str">
        <f>HYPERLINK("http://babel.hathitrust.org/cgi/pt?id=uc2.ark:/13960/t9v127p4x")</f>
        <v>http://babel.hathitrust.org/cgi/pt?id=uc2.ark:/13960/t9v127p4x</v>
      </c>
      <c r="H2401" t="str">
        <f>HYPERLINK("http://catalog.hathitrust.org/Record/001899572")</f>
        <v>http://catalog.hathitrust.org/Record/001899572</v>
      </c>
      <c r="J2401" s="1">
        <v>1897</v>
      </c>
      <c r="K2401" t="s">
        <v>15277</v>
      </c>
      <c r="L2401" t="s">
        <v>17560</v>
      </c>
    </row>
    <row r="2402" spans="1:12">
      <c r="A2402" t="s">
        <v>15282</v>
      </c>
      <c r="B2402" s="1" t="s">
        <v>15283</v>
      </c>
      <c r="F2402">
        <v>1</v>
      </c>
      <c r="G2402" t="str">
        <f>HYPERLINK("http://babel.hathitrust.org/cgi/pt?id=mdp.39015042471717")</f>
        <v>http://babel.hathitrust.org/cgi/pt?id=mdp.39015042471717</v>
      </c>
      <c r="H2402" t="str">
        <f>HYPERLINK("http://catalog.hathitrust.org/Record/001899573")</f>
        <v>http://catalog.hathitrust.org/Record/001899573</v>
      </c>
      <c r="J2402" s="1">
        <v>1909</v>
      </c>
      <c r="K2402" t="s">
        <v>15277</v>
      </c>
      <c r="L2402" t="s">
        <v>17560</v>
      </c>
    </row>
    <row r="2403" spans="1:12">
      <c r="A2403" t="s">
        <v>15284</v>
      </c>
      <c r="B2403" s="1" t="s">
        <v>15283</v>
      </c>
      <c r="F2403">
        <v>1</v>
      </c>
      <c r="G2403" t="str">
        <f>HYPERLINK("http://babel.hathitrust.org/cgi/pt?id=uc2.ark:/13960/t9m32r33j")</f>
        <v>http://babel.hathitrust.org/cgi/pt?id=uc2.ark:/13960/t9m32r33j</v>
      </c>
      <c r="H2403" t="str">
        <f>HYPERLINK("http://catalog.hathitrust.org/Record/001899573")</f>
        <v>http://catalog.hathitrust.org/Record/001899573</v>
      </c>
      <c r="J2403" s="1">
        <v>1909</v>
      </c>
      <c r="K2403" t="s">
        <v>15277</v>
      </c>
      <c r="L2403" t="s">
        <v>17560</v>
      </c>
    </row>
    <row r="2404" spans="1:12">
      <c r="A2404" t="s">
        <v>15285</v>
      </c>
      <c r="B2404" s="1" t="s">
        <v>15286</v>
      </c>
      <c r="F2404">
        <v>1</v>
      </c>
      <c r="G2404" t="str">
        <f>HYPERLINK("http://babel.hathitrust.org/cgi/pt?id=mdp.39015031038378")</f>
        <v>http://babel.hathitrust.org/cgi/pt?id=mdp.39015031038378</v>
      </c>
      <c r="H2404" t="str">
        <f>HYPERLINK("http://catalog.hathitrust.org/Record/001899574")</f>
        <v>http://catalog.hathitrust.org/Record/001899574</v>
      </c>
      <c r="J2404" s="1">
        <v>1917</v>
      </c>
      <c r="K2404" t="s">
        <v>15287</v>
      </c>
      <c r="L2404" t="s">
        <v>17560</v>
      </c>
    </row>
    <row r="2405" spans="1:12">
      <c r="A2405" t="s">
        <v>15288</v>
      </c>
      <c r="B2405" s="1" t="s">
        <v>15286</v>
      </c>
      <c r="F2405">
        <v>1</v>
      </c>
      <c r="G2405" t="str">
        <f>HYPERLINK("http://babel.hathitrust.org/cgi/pt?id=mdp.39015067148331")</f>
        <v>http://babel.hathitrust.org/cgi/pt?id=mdp.39015067148331</v>
      </c>
      <c r="H2405" t="str">
        <f>HYPERLINK("http://catalog.hathitrust.org/Record/001899574")</f>
        <v>http://catalog.hathitrust.org/Record/001899574</v>
      </c>
      <c r="J2405" s="1">
        <v>1917</v>
      </c>
      <c r="K2405" t="s">
        <v>15287</v>
      </c>
      <c r="L2405" t="s">
        <v>17560</v>
      </c>
    </row>
    <row r="2406" spans="1:12">
      <c r="A2406" t="s">
        <v>15289</v>
      </c>
      <c r="B2406" s="1" t="s">
        <v>15290</v>
      </c>
      <c r="F2406">
        <v>1</v>
      </c>
      <c r="G2406" t="str">
        <f>HYPERLINK("http://babel.hathitrust.org/cgi/pt?id=miun.ajc9756.0001.001")</f>
        <v>http://babel.hathitrust.org/cgi/pt?id=miun.ajc9756.0001.001</v>
      </c>
      <c r="H2406" t="str">
        <f>HYPERLINK("http://catalog.hathitrust.org/Record/001899577")</f>
        <v>http://catalog.hathitrust.org/Record/001899577</v>
      </c>
      <c r="J2406" s="1">
        <v>1863</v>
      </c>
      <c r="K2406" t="s">
        <v>15291</v>
      </c>
      <c r="L2406" t="s">
        <v>15292</v>
      </c>
    </row>
    <row r="2407" spans="1:12">
      <c r="A2407" t="s">
        <v>15293</v>
      </c>
      <c r="B2407" s="1" t="s">
        <v>15294</v>
      </c>
      <c r="F2407">
        <v>1</v>
      </c>
      <c r="G2407" t="str">
        <f>HYPERLINK("http://babel.hathitrust.org/cgi/pt?id=mdp.39015009010003")</f>
        <v>http://babel.hathitrust.org/cgi/pt?id=mdp.39015009010003</v>
      </c>
      <c r="H2407" t="str">
        <f>HYPERLINK("http://catalog.hathitrust.org/Record/001899589")</f>
        <v>http://catalog.hathitrust.org/Record/001899589</v>
      </c>
      <c r="J2407" s="1">
        <v>1943</v>
      </c>
      <c r="K2407" t="s">
        <v>16973</v>
      </c>
      <c r="L2407" t="s">
        <v>16974</v>
      </c>
    </row>
    <row r="2408" spans="1:12">
      <c r="A2408" t="s">
        <v>15295</v>
      </c>
      <c r="B2408" s="1" t="s">
        <v>15296</v>
      </c>
      <c r="F2408">
        <v>1</v>
      </c>
      <c r="G2408" t="str">
        <f>HYPERLINK("http://babel.hathitrust.org/cgi/pt?id=mdp.39015066181762")</f>
        <v>http://babel.hathitrust.org/cgi/pt?id=mdp.39015066181762</v>
      </c>
      <c r="H2408" t="str">
        <f>HYPERLINK("http://catalog.hathitrust.org/Record/001899614")</f>
        <v>http://catalog.hathitrust.org/Record/001899614</v>
      </c>
      <c r="J2408" s="1">
        <v>1898</v>
      </c>
      <c r="K2408" t="s">
        <v>15297</v>
      </c>
      <c r="L2408" t="s">
        <v>16984</v>
      </c>
    </row>
    <row r="2409" spans="1:12">
      <c r="A2409" t="s">
        <v>15298</v>
      </c>
      <c r="B2409" s="1" t="s">
        <v>15296</v>
      </c>
      <c r="F2409">
        <v>1</v>
      </c>
      <c r="G2409" t="str">
        <f>HYPERLINK("http://babel.hathitrust.org/cgi/pt?id=uc1.b258239")</f>
        <v>http://babel.hathitrust.org/cgi/pt?id=uc1.b258239</v>
      </c>
      <c r="H2409" t="str">
        <f>HYPERLINK("http://catalog.hathitrust.org/Record/001899614")</f>
        <v>http://catalog.hathitrust.org/Record/001899614</v>
      </c>
      <c r="J2409" s="1">
        <v>1898</v>
      </c>
      <c r="K2409" t="s">
        <v>15297</v>
      </c>
      <c r="L2409" t="s">
        <v>16984</v>
      </c>
    </row>
    <row r="2410" spans="1:12">
      <c r="A2410" t="s">
        <v>15299</v>
      </c>
      <c r="B2410" s="1" t="s">
        <v>15296</v>
      </c>
      <c r="F2410">
        <v>1</v>
      </c>
      <c r="G2410" t="str">
        <f>HYPERLINK("http://babel.hathitrust.org/cgi/pt?id=uc2.ark:/13960/t37080d44")</f>
        <v>http://babel.hathitrust.org/cgi/pt?id=uc2.ark:/13960/t37080d44</v>
      </c>
      <c r="H2410" t="str">
        <f>HYPERLINK("http://catalog.hathitrust.org/Record/001899614")</f>
        <v>http://catalog.hathitrust.org/Record/001899614</v>
      </c>
      <c r="J2410" s="1">
        <v>1898</v>
      </c>
      <c r="K2410" t="s">
        <v>15297</v>
      </c>
      <c r="L2410" t="s">
        <v>16984</v>
      </c>
    </row>
    <row r="2411" spans="1:12">
      <c r="A2411" t="s">
        <v>15300</v>
      </c>
      <c r="B2411" s="1" t="s">
        <v>15301</v>
      </c>
      <c r="F2411">
        <v>1</v>
      </c>
      <c r="G2411" t="str">
        <f>HYPERLINK("http://babel.hathitrust.org/cgi/pt?id=mdp.39015066079677")</f>
        <v>http://babel.hathitrust.org/cgi/pt?id=mdp.39015066079677</v>
      </c>
      <c r="H2411" t="str">
        <f>HYPERLINK("http://catalog.hathitrust.org/Record/001899615")</f>
        <v>http://catalog.hathitrust.org/Record/001899615</v>
      </c>
      <c r="J2411" s="1">
        <v>1900</v>
      </c>
      <c r="K2411" t="s">
        <v>15302</v>
      </c>
      <c r="L2411" t="s">
        <v>16984</v>
      </c>
    </row>
    <row r="2412" spans="1:12">
      <c r="A2412" t="s">
        <v>15303</v>
      </c>
      <c r="B2412" s="1" t="s">
        <v>15301</v>
      </c>
      <c r="F2412">
        <v>1</v>
      </c>
      <c r="G2412" t="str">
        <f>HYPERLINK("http://babel.hathitrust.org/cgi/pt?id=nyp.33433082513684")</f>
        <v>http://babel.hathitrust.org/cgi/pt?id=nyp.33433082513684</v>
      </c>
      <c r="H2412" t="str">
        <f>HYPERLINK("http://catalog.hathitrust.org/Record/001899615")</f>
        <v>http://catalog.hathitrust.org/Record/001899615</v>
      </c>
      <c r="J2412" s="1">
        <v>1900</v>
      </c>
      <c r="K2412" t="s">
        <v>15302</v>
      </c>
      <c r="L2412" t="s">
        <v>16984</v>
      </c>
    </row>
    <row r="2413" spans="1:12">
      <c r="A2413" t="s">
        <v>15304</v>
      </c>
      <c r="B2413" s="1" t="s">
        <v>15305</v>
      </c>
      <c r="F2413">
        <v>1</v>
      </c>
      <c r="G2413" t="str">
        <f>HYPERLINK("http://babel.hathitrust.org/cgi/pt?id=mdp.39015010832874")</f>
        <v>http://babel.hathitrust.org/cgi/pt?id=mdp.39015010832874</v>
      </c>
      <c r="H2413" t="str">
        <f>HYPERLINK("http://catalog.hathitrust.org/Record/001899620")</f>
        <v>http://catalog.hathitrust.org/Record/001899620</v>
      </c>
      <c r="J2413" s="1">
        <v>1928</v>
      </c>
      <c r="K2413" t="s">
        <v>15306</v>
      </c>
      <c r="L2413" t="s">
        <v>15307</v>
      </c>
    </row>
    <row r="2414" spans="1:12">
      <c r="A2414" t="s">
        <v>15308</v>
      </c>
      <c r="B2414" s="1" t="s">
        <v>15309</v>
      </c>
      <c r="F2414">
        <v>1</v>
      </c>
      <c r="G2414" t="str">
        <f>HYPERLINK("http://babel.hathitrust.org/cgi/pt?id=hvd.hw234q")</f>
        <v>http://babel.hathitrust.org/cgi/pt?id=hvd.hw234q</v>
      </c>
      <c r="H2414" t="str">
        <f>HYPERLINK("http://catalog.hathitrust.org/Record/001899654")</f>
        <v>http://catalog.hathitrust.org/Record/001899654</v>
      </c>
      <c r="J2414" s="1">
        <v>1852</v>
      </c>
      <c r="K2414" t="s">
        <v>15310</v>
      </c>
      <c r="L2414" t="s">
        <v>16039</v>
      </c>
    </row>
    <row r="2415" spans="1:12">
      <c r="A2415" t="s">
        <v>15311</v>
      </c>
      <c r="B2415" s="1" t="s">
        <v>15312</v>
      </c>
      <c r="F2415">
        <v>1</v>
      </c>
      <c r="G2415" t="str">
        <f>HYPERLINK("http://babel.hathitrust.org/cgi/pt?id=mdp.39015019107203")</f>
        <v>http://babel.hathitrust.org/cgi/pt?id=mdp.39015019107203</v>
      </c>
      <c r="H2415" t="str">
        <f>HYPERLINK("http://catalog.hathitrust.org/Record/001899655")</f>
        <v>http://catalog.hathitrust.org/Record/001899655</v>
      </c>
      <c r="J2415" s="1">
        <v>1863</v>
      </c>
      <c r="K2415" t="s">
        <v>15195</v>
      </c>
      <c r="L2415" t="s">
        <v>16039</v>
      </c>
    </row>
    <row r="2416" spans="1:12">
      <c r="A2416" t="s">
        <v>15196</v>
      </c>
      <c r="B2416" s="1" t="s">
        <v>15312</v>
      </c>
      <c r="F2416">
        <v>1</v>
      </c>
      <c r="G2416" t="str">
        <f>HYPERLINK("http://babel.hathitrust.org/cgi/pt?id=nyp.33433082512421")</f>
        <v>http://babel.hathitrust.org/cgi/pt?id=nyp.33433082512421</v>
      </c>
      <c r="H2416" t="str">
        <f>HYPERLINK("http://catalog.hathitrust.org/Record/001899655")</f>
        <v>http://catalog.hathitrust.org/Record/001899655</v>
      </c>
      <c r="J2416" s="1">
        <v>1863</v>
      </c>
      <c r="K2416" t="s">
        <v>15195</v>
      </c>
      <c r="L2416" t="s">
        <v>16039</v>
      </c>
    </row>
    <row r="2417" spans="1:12">
      <c r="A2417" t="s">
        <v>15197</v>
      </c>
      <c r="B2417" s="1" t="s">
        <v>15198</v>
      </c>
      <c r="D2417">
        <v>1</v>
      </c>
      <c r="G2417" t="str">
        <f>HYPERLINK("http://babel.hathitrust.org/cgi/pt?id=mdp.39015010210709")</f>
        <v>http://babel.hathitrust.org/cgi/pt?id=mdp.39015010210709</v>
      </c>
      <c r="H2417" t="str">
        <f>HYPERLINK("http://catalog.hathitrust.org/Record/001899668")</f>
        <v>http://catalog.hathitrust.org/Record/001899668</v>
      </c>
      <c r="J2417" s="1">
        <v>1927</v>
      </c>
      <c r="K2417" t="s">
        <v>16043</v>
      </c>
      <c r="L2417" t="s">
        <v>19727</v>
      </c>
    </row>
    <row r="2418" spans="1:12">
      <c r="A2418" t="s">
        <v>15199</v>
      </c>
      <c r="B2418" s="1" t="s">
        <v>15200</v>
      </c>
      <c r="D2418">
        <v>1</v>
      </c>
      <c r="G2418" t="str">
        <f>HYPERLINK("http://babel.hathitrust.org/cgi/pt?id=mdp.39015005264505")</f>
        <v>http://babel.hathitrust.org/cgi/pt?id=mdp.39015005264505</v>
      </c>
      <c r="H2418" t="str">
        <f>HYPERLINK("http://catalog.hathitrust.org/Record/001899733")</f>
        <v>http://catalog.hathitrust.org/Record/001899733</v>
      </c>
      <c r="J2418" s="1">
        <v>1914</v>
      </c>
      <c r="K2418" t="s">
        <v>15201</v>
      </c>
      <c r="L2418" t="s">
        <v>15202</v>
      </c>
    </row>
    <row r="2419" spans="1:12">
      <c r="A2419" t="s">
        <v>15203</v>
      </c>
      <c r="B2419" s="1" t="s">
        <v>15200</v>
      </c>
      <c r="F2419">
        <v>1</v>
      </c>
      <c r="G2419" t="str">
        <f>HYPERLINK("http://babel.hathitrust.org/cgi/pt?id=uc1.b258610")</f>
        <v>http://babel.hathitrust.org/cgi/pt?id=uc1.b258610</v>
      </c>
      <c r="H2419" t="str">
        <f>HYPERLINK("http://catalog.hathitrust.org/Record/001899733")</f>
        <v>http://catalog.hathitrust.org/Record/001899733</v>
      </c>
      <c r="J2419" s="1">
        <v>1914</v>
      </c>
      <c r="K2419" t="s">
        <v>15201</v>
      </c>
      <c r="L2419" t="s">
        <v>15202</v>
      </c>
    </row>
    <row r="2420" spans="1:12">
      <c r="A2420" t="s">
        <v>15204</v>
      </c>
      <c r="B2420" s="1" t="s">
        <v>15200</v>
      </c>
      <c r="F2420">
        <v>1</v>
      </c>
      <c r="G2420" t="str">
        <f>HYPERLINK("http://babel.hathitrust.org/cgi/pt?id=uc2.ark:/13960/t5h99282q")</f>
        <v>http://babel.hathitrust.org/cgi/pt?id=uc2.ark:/13960/t5h99282q</v>
      </c>
      <c r="H2420" t="str">
        <f>HYPERLINK("http://catalog.hathitrust.org/Record/001899733")</f>
        <v>http://catalog.hathitrust.org/Record/001899733</v>
      </c>
      <c r="J2420" s="1">
        <v>1914</v>
      </c>
      <c r="K2420" t="s">
        <v>15201</v>
      </c>
      <c r="L2420" t="s">
        <v>15202</v>
      </c>
    </row>
    <row r="2421" spans="1:12">
      <c r="A2421" t="s">
        <v>15205</v>
      </c>
      <c r="B2421" s="1" t="s">
        <v>15206</v>
      </c>
      <c r="D2421">
        <v>1</v>
      </c>
      <c r="G2421" t="str">
        <f>HYPERLINK("http://babel.hathitrust.org/cgi/pt?id=mdp.39015031040416")</f>
        <v>http://babel.hathitrust.org/cgi/pt?id=mdp.39015031040416</v>
      </c>
      <c r="H2421" t="str">
        <f>HYPERLINK("http://catalog.hathitrust.org/Record/001899739")</f>
        <v>http://catalog.hathitrust.org/Record/001899739</v>
      </c>
      <c r="J2421" s="1">
        <v>1852</v>
      </c>
      <c r="K2421" t="s">
        <v>15207</v>
      </c>
      <c r="L2421" t="s">
        <v>15208</v>
      </c>
    </row>
    <row r="2422" spans="1:12">
      <c r="A2422" t="s">
        <v>15209</v>
      </c>
      <c r="B2422" s="1" t="s">
        <v>15210</v>
      </c>
      <c r="E2422">
        <v>1</v>
      </c>
      <c r="F2422">
        <v>1</v>
      </c>
      <c r="G2422" t="str">
        <f>HYPERLINK("http://babel.hathitrust.org/cgi/pt?id=mdp.39015013411387")</f>
        <v>http://babel.hathitrust.org/cgi/pt?id=mdp.39015013411387</v>
      </c>
      <c r="H2422" t="str">
        <f>HYPERLINK("http://catalog.hathitrust.org/Record/001899789")</f>
        <v>http://catalog.hathitrust.org/Record/001899789</v>
      </c>
      <c r="J2422" s="1">
        <v>1913</v>
      </c>
      <c r="K2422" t="s">
        <v>19620</v>
      </c>
      <c r="L2422" t="s">
        <v>20416</v>
      </c>
    </row>
    <row r="2423" spans="1:12">
      <c r="A2423" t="s">
        <v>15211</v>
      </c>
      <c r="B2423" s="1" t="s">
        <v>15210</v>
      </c>
      <c r="F2423">
        <v>1</v>
      </c>
      <c r="G2423" t="str">
        <f>HYPERLINK("http://babel.hathitrust.org/cgi/pt?id=nyp.33433082521323")</f>
        <v>http://babel.hathitrust.org/cgi/pt?id=nyp.33433082521323</v>
      </c>
      <c r="H2423" t="str">
        <f>HYPERLINK("http://catalog.hathitrust.org/Record/001899789")</f>
        <v>http://catalog.hathitrust.org/Record/001899789</v>
      </c>
      <c r="J2423" s="1">
        <v>1913</v>
      </c>
      <c r="K2423" t="s">
        <v>19620</v>
      </c>
      <c r="L2423" t="s">
        <v>20416</v>
      </c>
    </row>
    <row r="2424" spans="1:12">
      <c r="A2424" t="s">
        <v>15212</v>
      </c>
      <c r="B2424" s="1" t="s">
        <v>15210</v>
      </c>
      <c r="F2424">
        <v>1</v>
      </c>
      <c r="G2424" t="str">
        <f>HYPERLINK("http://babel.hathitrust.org/cgi/pt?id=uc1.b3514835")</f>
        <v>http://babel.hathitrust.org/cgi/pt?id=uc1.b3514835</v>
      </c>
      <c r="H2424" t="str">
        <f>HYPERLINK("http://catalog.hathitrust.org/Record/001899789")</f>
        <v>http://catalog.hathitrust.org/Record/001899789</v>
      </c>
      <c r="J2424" s="1">
        <v>1913</v>
      </c>
      <c r="K2424" t="s">
        <v>19620</v>
      </c>
      <c r="L2424" t="s">
        <v>20416</v>
      </c>
    </row>
    <row r="2425" spans="1:12">
      <c r="A2425" t="s">
        <v>15213</v>
      </c>
      <c r="B2425" s="1" t="s">
        <v>15214</v>
      </c>
      <c r="E2425">
        <v>1</v>
      </c>
      <c r="G2425" t="str">
        <f>HYPERLINK("http://babel.hathitrust.org/cgi/pt?id=mdp.39015050922981")</f>
        <v>http://babel.hathitrust.org/cgi/pt?id=mdp.39015050922981</v>
      </c>
      <c r="H2425" t="str">
        <f>HYPERLINK("http://catalog.hathitrust.org/Record/001899823")</f>
        <v>http://catalog.hathitrust.org/Record/001899823</v>
      </c>
      <c r="J2425" s="1">
        <v>1916</v>
      </c>
      <c r="K2425" t="s">
        <v>15215</v>
      </c>
      <c r="L2425" t="s">
        <v>16800</v>
      </c>
    </row>
    <row r="2426" spans="1:12">
      <c r="A2426" t="s">
        <v>15216</v>
      </c>
      <c r="B2426" s="1" t="s">
        <v>15217</v>
      </c>
      <c r="F2426">
        <v>1</v>
      </c>
      <c r="G2426" t="str">
        <f>HYPERLINK("http://babel.hathitrust.org/cgi/pt?id=mdp.39015012875780")</f>
        <v>http://babel.hathitrust.org/cgi/pt?id=mdp.39015012875780</v>
      </c>
      <c r="H2426" t="str">
        <f>HYPERLINK("http://catalog.hathitrust.org/Record/001899833")</f>
        <v>http://catalog.hathitrust.org/Record/001899833</v>
      </c>
      <c r="J2426" s="1">
        <v>1935</v>
      </c>
      <c r="K2426" t="s">
        <v>15218</v>
      </c>
      <c r="L2426" t="s">
        <v>15219</v>
      </c>
    </row>
    <row r="2427" spans="1:12">
      <c r="A2427" t="s">
        <v>15220</v>
      </c>
      <c r="B2427" s="1" t="s">
        <v>15221</v>
      </c>
      <c r="F2427">
        <v>1</v>
      </c>
      <c r="G2427" t="str">
        <f>HYPERLINK("http://babel.hathitrust.org/cgi/pt?id=mdp.39015009195036")</f>
        <v>http://babel.hathitrust.org/cgi/pt?id=mdp.39015009195036</v>
      </c>
      <c r="H2427" t="str">
        <f>HYPERLINK("http://catalog.hathitrust.org/Record/001899900")</f>
        <v>http://catalog.hathitrust.org/Record/001899900</v>
      </c>
      <c r="J2427" s="1">
        <v>1926</v>
      </c>
      <c r="K2427" t="s">
        <v>15222</v>
      </c>
      <c r="L2427" t="s">
        <v>19960</v>
      </c>
    </row>
    <row r="2428" spans="1:12">
      <c r="A2428" t="s">
        <v>15223</v>
      </c>
      <c r="B2428" s="1" t="s">
        <v>15224</v>
      </c>
      <c r="E2428">
        <v>1</v>
      </c>
      <c r="G2428" t="str">
        <f>HYPERLINK("http://babel.hathitrust.org/cgi/pt?id=mdp.39015009384507")</f>
        <v>http://babel.hathitrust.org/cgi/pt?id=mdp.39015009384507</v>
      </c>
      <c r="H2428" t="str">
        <f>HYPERLINK("http://catalog.hathitrust.org/Record/001899938")</f>
        <v>http://catalog.hathitrust.org/Record/001899938</v>
      </c>
      <c r="J2428" s="1">
        <v>1892</v>
      </c>
      <c r="K2428" t="s">
        <v>15225</v>
      </c>
      <c r="L2428" t="s">
        <v>15226</v>
      </c>
    </row>
    <row r="2429" spans="1:12">
      <c r="A2429" t="s">
        <v>15227</v>
      </c>
      <c r="B2429" s="1" t="s">
        <v>15228</v>
      </c>
      <c r="F2429">
        <v>1</v>
      </c>
      <c r="G2429" t="str">
        <f>HYPERLINK("http://babel.hathitrust.org/cgi/pt?id=mdp.39015030869021")</f>
        <v>http://babel.hathitrust.org/cgi/pt?id=mdp.39015030869021</v>
      </c>
      <c r="H2429" t="str">
        <f>HYPERLINK("http://catalog.hathitrust.org/Record/001899968")</f>
        <v>http://catalog.hathitrust.org/Record/001899968</v>
      </c>
      <c r="J2429" s="1">
        <v>1916</v>
      </c>
      <c r="K2429" t="s">
        <v>15229</v>
      </c>
      <c r="L2429" t="s">
        <v>15615</v>
      </c>
    </row>
    <row r="2430" spans="1:12">
      <c r="A2430" t="s">
        <v>15230</v>
      </c>
      <c r="B2430" s="1" t="s">
        <v>15228</v>
      </c>
      <c r="F2430">
        <v>1</v>
      </c>
      <c r="G2430" t="str">
        <f>HYPERLINK("http://babel.hathitrust.org/cgi/pt?id=nyp.33433082518758")</f>
        <v>http://babel.hathitrust.org/cgi/pt?id=nyp.33433082518758</v>
      </c>
      <c r="H2430" t="str">
        <f>HYPERLINK("http://catalog.hathitrust.org/Record/001899968")</f>
        <v>http://catalog.hathitrust.org/Record/001899968</v>
      </c>
      <c r="J2430" s="1">
        <v>1916</v>
      </c>
      <c r="K2430" t="s">
        <v>15229</v>
      </c>
      <c r="L2430" t="s">
        <v>15615</v>
      </c>
    </row>
    <row r="2431" spans="1:12">
      <c r="A2431" t="s">
        <v>15231</v>
      </c>
      <c r="B2431" s="1" t="s">
        <v>15228</v>
      </c>
      <c r="F2431">
        <v>1</v>
      </c>
      <c r="G2431" t="str">
        <f>HYPERLINK("http://babel.hathitrust.org/cgi/pt?id=uc1.b252797")</f>
        <v>http://babel.hathitrust.org/cgi/pt?id=uc1.b252797</v>
      </c>
      <c r="H2431" t="str">
        <f>HYPERLINK("http://catalog.hathitrust.org/Record/001899968")</f>
        <v>http://catalog.hathitrust.org/Record/001899968</v>
      </c>
      <c r="J2431" s="1">
        <v>1916</v>
      </c>
      <c r="K2431" t="s">
        <v>15229</v>
      </c>
      <c r="L2431" t="s">
        <v>15615</v>
      </c>
    </row>
    <row r="2432" spans="1:12">
      <c r="A2432" t="s">
        <v>15232</v>
      </c>
      <c r="B2432" s="1" t="s">
        <v>15228</v>
      </c>
      <c r="F2432">
        <v>1</v>
      </c>
      <c r="G2432" t="str">
        <f>HYPERLINK("http://babel.hathitrust.org/cgi/pt?id=uc2.ark:/13960/t78s4nr2b")</f>
        <v>http://babel.hathitrust.org/cgi/pt?id=uc2.ark:/13960/t78s4nr2b</v>
      </c>
      <c r="H2432" t="str">
        <f>HYPERLINK("http://catalog.hathitrust.org/Record/001899968")</f>
        <v>http://catalog.hathitrust.org/Record/001899968</v>
      </c>
      <c r="J2432" s="1">
        <v>1916</v>
      </c>
      <c r="K2432" t="s">
        <v>15229</v>
      </c>
      <c r="L2432" t="s">
        <v>15615</v>
      </c>
    </row>
    <row r="2433" spans="1:12">
      <c r="A2433" t="s">
        <v>15233</v>
      </c>
      <c r="B2433" s="1" t="s">
        <v>15234</v>
      </c>
      <c r="D2433">
        <v>1</v>
      </c>
      <c r="G2433" t="str">
        <f>HYPERLINK("http://babel.hathitrust.org/cgi/pt?id=mdp.39015030869070")</f>
        <v>http://babel.hathitrust.org/cgi/pt?id=mdp.39015030869070</v>
      </c>
      <c r="H2433" t="str">
        <f>HYPERLINK("http://catalog.hathitrust.org/Record/001899977")</f>
        <v>http://catalog.hathitrust.org/Record/001899977</v>
      </c>
      <c r="J2433" s="1">
        <v>1922</v>
      </c>
      <c r="K2433" t="s">
        <v>15235</v>
      </c>
      <c r="L2433" t="s">
        <v>15236</v>
      </c>
    </row>
    <row r="2434" spans="1:12">
      <c r="A2434" t="s">
        <v>15237</v>
      </c>
      <c r="B2434" s="1" t="s">
        <v>15234</v>
      </c>
      <c r="F2434">
        <v>1</v>
      </c>
      <c r="G2434" t="str">
        <f>HYPERLINK("http://babel.hathitrust.org/cgi/pt?id=uc1.b276169")</f>
        <v>http://babel.hathitrust.org/cgi/pt?id=uc1.b276169</v>
      </c>
      <c r="H2434" t="str">
        <f>HYPERLINK("http://catalog.hathitrust.org/Record/001899977")</f>
        <v>http://catalog.hathitrust.org/Record/001899977</v>
      </c>
      <c r="J2434" s="1">
        <v>1922</v>
      </c>
      <c r="K2434" t="s">
        <v>15235</v>
      </c>
      <c r="L2434" t="s">
        <v>15236</v>
      </c>
    </row>
    <row r="2435" spans="1:12">
      <c r="A2435" t="s">
        <v>15238</v>
      </c>
      <c r="B2435" s="1" t="s">
        <v>15234</v>
      </c>
      <c r="F2435">
        <v>1</v>
      </c>
      <c r="G2435" t="str">
        <f>HYPERLINK("http://babel.hathitrust.org/cgi/pt?id=uc2.ark:/13960/t6b27sx7w")</f>
        <v>http://babel.hathitrust.org/cgi/pt?id=uc2.ark:/13960/t6b27sx7w</v>
      </c>
      <c r="H2435" t="str">
        <f>HYPERLINK("http://catalog.hathitrust.org/Record/001899977")</f>
        <v>http://catalog.hathitrust.org/Record/001899977</v>
      </c>
      <c r="J2435" s="1">
        <v>1922</v>
      </c>
      <c r="K2435" t="s">
        <v>15235</v>
      </c>
      <c r="L2435" t="s">
        <v>15236</v>
      </c>
    </row>
    <row r="2436" spans="1:12">
      <c r="A2436" t="s">
        <v>15239</v>
      </c>
      <c r="B2436" s="1" t="s">
        <v>15240</v>
      </c>
      <c r="D2436">
        <v>1</v>
      </c>
      <c r="G2436" t="str">
        <f>HYPERLINK("http://babel.hathitrust.org/cgi/pt?id=mdp.39015053249754")</f>
        <v>http://babel.hathitrust.org/cgi/pt?id=mdp.39015053249754</v>
      </c>
      <c r="H2436" t="str">
        <f>HYPERLINK("http://catalog.hathitrust.org/Record/001900719")</f>
        <v>http://catalog.hathitrust.org/Record/001900719</v>
      </c>
      <c r="J2436" s="1">
        <v>1920</v>
      </c>
      <c r="K2436" t="s">
        <v>15241</v>
      </c>
      <c r="L2436" t="s">
        <v>15242</v>
      </c>
    </row>
    <row r="2437" spans="1:12">
      <c r="A2437" t="s">
        <v>15243</v>
      </c>
      <c r="B2437" s="1" t="s">
        <v>15244</v>
      </c>
      <c r="F2437">
        <v>1</v>
      </c>
      <c r="G2437" t="str">
        <f>HYPERLINK("http://babel.hathitrust.org/cgi/pt?id=mdp.39015055032786")</f>
        <v>http://babel.hathitrust.org/cgi/pt?id=mdp.39015055032786</v>
      </c>
      <c r="H2437" t="str">
        <f>HYPERLINK("http://catalog.hathitrust.org/Record/001900832")</f>
        <v>http://catalog.hathitrust.org/Record/001900832</v>
      </c>
      <c r="J2437" s="1">
        <v>1880</v>
      </c>
      <c r="K2437" t="s">
        <v>15245</v>
      </c>
      <c r="L2437" t="s">
        <v>15246</v>
      </c>
    </row>
    <row r="2438" spans="1:12">
      <c r="A2438" t="s">
        <v>15247</v>
      </c>
      <c r="B2438" s="1" t="s">
        <v>15248</v>
      </c>
      <c r="F2438">
        <v>1</v>
      </c>
      <c r="G2438" t="str">
        <f>HYPERLINK("http://babel.hathitrust.org/cgi/pt?id=mdp.39015003937607")</f>
        <v>http://babel.hathitrust.org/cgi/pt?id=mdp.39015003937607</v>
      </c>
      <c r="H2438" t="str">
        <f>HYPERLINK("http://catalog.hathitrust.org/Record/001900833")</f>
        <v>http://catalog.hathitrust.org/Record/001900833</v>
      </c>
      <c r="J2438" s="1">
        <v>1930</v>
      </c>
      <c r="K2438" t="s">
        <v>15249</v>
      </c>
      <c r="L2438" t="s">
        <v>15250</v>
      </c>
    </row>
    <row r="2439" spans="1:12">
      <c r="A2439" t="s">
        <v>15251</v>
      </c>
      <c r="B2439" s="1" t="s">
        <v>15252</v>
      </c>
      <c r="E2439">
        <v>1</v>
      </c>
      <c r="F2439">
        <v>1</v>
      </c>
      <c r="G2439" t="str">
        <f>HYPERLINK("http://babel.hathitrust.org/cgi/pt?id=mdp.39015003936955")</f>
        <v>http://babel.hathitrust.org/cgi/pt?id=mdp.39015003936955</v>
      </c>
      <c r="H2439" t="str">
        <f>HYPERLINK("http://catalog.hathitrust.org/Record/001900836")</f>
        <v>http://catalog.hathitrust.org/Record/001900836</v>
      </c>
      <c r="J2439" s="1">
        <v>1878</v>
      </c>
      <c r="K2439" t="s">
        <v>15253</v>
      </c>
      <c r="L2439" t="s">
        <v>20629</v>
      </c>
    </row>
    <row r="2440" spans="1:12">
      <c r="A2440" t="s">
        <v>15254</v>
      </c>
      <c r="B2440" s="1" t="s">
        <v>15255</v>
      </c>
      <c r="F2440">
        <v>1</v>
      </c>
      <c r="G2440" t="str">
        <f>HYPERLINK("http://babel.hathitrust.org/cgi/pt?id=mdp.39015059899008")</f>
        <v>http://babel.hathitrust.org/cgi/pt?id=mdp.39015059899008</v>
      </c>
      <c r="H2440" t="str">
        <f>HYPERLINK("http://catalog.hathitrust.org/Record/001900844")</f>
        <v>http://catalog.hathitrust.org/Record/001900844</v>
      </c>
      <c r="J2440" s="1">
        <v>1907</v>
      </c>
      <c r="K2440" t="s">
        <v>15256</v>
      </c>
      <c r="L2440" t="s">
        <v>15257</v>
      </c>
    </row>
    <row r="2441" spans="1:12">
      <c r="A2441" t="s">
        <v>15258</v>
      </c>
      <c r="B2441" s="1" t="s">
        <v>15255</v>
      </c>
      <c r="F2441">
        <v>1</v>
      </c>
      <c r="G2441" t="str">
        <f>HYPERLINK("http://babel.hathitrust.org/cgi/pt?id=nyp.33433082275078")</f>
        <v>http://babel.hathitrust.org/cgi/pt?id=nyp.33433082275078</v>
      </c>
      <c r="H2441" t="str">
        <f>HYPERLINK("http://catalog.hathitrust.org/Record/001900844")</f>
        <v>http://catalog.hathitrust.org/Record/001900844</v>
      </c>
      <c r="J2441" s="1">
        <v>1907</v>
      </c>
      <c r="K2441" t="s">
        <v>15256</v>
      </c>
      <c r="L2441" t="s">
        <v>15257</v>
      </c>
    </row>
    <row r="2442" spans="1:12">
      <c r="A2442" t="s">
        <v>15259</v>
      </c>
      <c r="B2442" s="1" t="s">
        <v>15260</v>
      </c>
      <c r="F2442">
        <v>1</v>
      </c>
      <c r="G2442" t="str">
        <f>HYPERLINK("http://babel.hathitrust.org/cgi/pt?id=mdp.39015003936658")</f>
        <v>http://babel.hathitrust.org/cgi/pt?id=mdp.39015003936658</v>
      </c>
      <c r="H2442" t="str">
        <f>HYPERLINK("http://catalog.hathitrust.org/Record/001900847")</f>
        <v>http://catalog.hathitrust.org/Record/001900847</v>
      </c>
      <c r="J2442" s="1">
        <v>1845</v>
      </c>
      <c r="K2442" t="s">
        <v>15151</v>
      </c>
      <c r="L2442" t="s">
        <v>15152</v>
      </c>
    </row>
    <row r="2443" spans="1:12">
      <c r="A2443" t="s">
        <v>15153</v>
      </c>
      <c r="B2443" s="1" t="s">
        <v>15260</v>
      </c>
      <c r="F2443">
        <v>1</v>
      </c>
      <c r="G2443" t="str">
        <f>HYPERLINK("http://babel.hathitrust.org/cgi/pt?id=uc2.ark:/13960/t44q8259t")</f>
        <v>http://babel.hathitrust.org/cgi/pt?id=uc2.ark:/13960/t44q8259t</v>
      </c>
      <c r="H2443" t="str">
        <f>HYPERLINK("http://catalog.hathitrust.org/Record/001900847")</f>
        <v>http://catalog.hathitrust.org/Record/001900847</v>
      </c>
      <c r="J2443" s="1">
        <v>1845</v>
      </c>
      <c r="K2443" t="s">
        <v>15151</v>
      </c>
      <c r="L2443" t="s">
        <v>15152</v>
      </c>
    </row>
    <row r="2444" spans="1:12">
      <c r="A2444" t="s">
        <v>15154</v>
      </c>
      <c r="B2444" s="1" t="s">
        <v>15155</v>
      </c>
      <c r="F2444">
        <v>1</v>
      </c>
      <c r="G2444" t="str">
        <f>HYPERLINK("http://babel.hathitrust.org/cgi/pt?id=mdp.39015003936419")</f>
        <v>http://babel.hathitrust.org/cgi/pt?id=mdp.39015003936419</v>
      </c>
      <c r="H2444" t="str">
        <f>HYPERLINK("http://catalog.hathitrust.org/Record/001900848")</f>
        <v>http://catalog.hathitrust.org/Record/001900848</v>
      </c>
      <c r="J2444" s="1">
        <v>1912</v>
      </c>
      <c r="K2444" t="s">
        <v>15156</v>
      </c>
      <c r="L2444" t="s">
        <v>15157</v>
      </c>
    </row>
    <row r="2445" spans="1:12">
      <c r="A2445" t="s">
        <v>15158</v>
      </c>
      <c r="B2445" s="1" t="s">
        <v>15159</v>
      </c>
      <c r="F2445">
        <v>1</v>
      </c>
      <c r="G2445" t="str">
        <f>HYPERLINK("http://babel.hathitrust.org/cgi/pt?id=mdp.39015003935098")</f>
        <v>http://babel.hathitrust.org/cgi/pt?id=mdp.39015003935098</v>
      </c>
      <c r="H2445" t="str">
        <f>HYPERLINK("http://catalog.hathitrust.org/Record/001900871")</f>
        <v>http://catalog.hathitrust.org/Record/001900871</v>
      </c>
      <c r="J2445" s="1">
        <v>1925</v>
      </c>
      <c r="K2445" t="s">
        <v>15160</v>
      </c>
      <c r="L2445" t="s">
        <v>15161</v>
      </c>
    </row>
    <row r="2446" spans="1:12">
      <c r="A2446" t="s">
        <v>15162</v>
      </c>
      <c r="B2446" s="1" t="s">
        <v>15163</v>
      </c>
      <c r="F2446">
        <v>1</v>
      </c>
      <c r="G2446" t="str">
        <f>HYPERLINK("http://babel.hathitrust.org/cgi/pt?id=mdp.39015003937458")</f>
        <v>http://babel.hathitrust.org/cgi/pt?id=mdp.39015003937458</v>
      </c>
      <c r="H2446" t="str">
        <f>HYPERLINK("http://catalog.hathitrust.org/Record/001900878")</f>
        <v>http://catalog.hathitrust.org/Record/001900878</v>
      </c>
      <c r="J2446" s="1">
        <v>1904</v>
      </c>
      <c r="K2446" t="s">
        <v>15164</v>
      </c>
      <c r="L2446" t="s">
        <v>15165</v>
      </c>
    </row>
    <row r="2447" spans="1:12">
      <c r="A2447" t="s">
        <v>15166</v>
      </c>
      <c r="B2447" s="1" t="s">
        <v>15167</v>
      </c>
      <c r="F2447">
        <v>1</v>
      </c>
      <c r="G2447" t="str">
        <f>HYPERLINK("http://babel.hathitrust.org/cgi/pt?id=miun.ajd1097.0001.001")</f>
        <v>http://babel.hathitrust.org/cgi/pt?id=miun.ajd1097.0001.001</v>
      </c>
      <c r="H2447" t="str">
        <f>HYPERLINK("http://catalog.hathitrust.org/Record/001900880")</f>
        <v>http://catalog.hathitrust.org/Record/001900880</v>
      </c>
      <c r="J2447" s="1">
        <v>1868</v>
      </c>
      <c r="K2447" t="s">
        <v>15168</v>
      </c>
      <c r="L2447" t="s">
        <v>15169</v>
      </c>
    </row>
    <row r="2448" spans="1:12">
      <c r="A2448" t="s">
        <v>15170</v>
      </c>
      <c r="B2448" s="1" t="s">
        <v>15171</v>
      </c>
      <c r="F2448">
        <v>1</v>
      </c>
      <c r="G2448" t="str">
        <f>HYPERLINK("http://babel.hathitrust.org/cgi/pt?id=mdp.39015003937086")</f>
        <v>http://babel.hathitrust.org/cgi/pt?id=mdp.39015003937086</v>
      </c>
      <c r="H2448" t="str">
        <f>HYPERLINK("http://catalog.hathitrust.org/Record/001900887")</f>
        <v>http://catalog.hathitrust.org/Record/001900887</v>
      </c>
      <c r="J2448" s="1">
        <v>1886</v>
      </c>
      <c r="K2448" t="s">
        <v>15172</v>
      </c>
      <c r="L2448" t="s">
        <v>15173</v>
      </c>
    </row>
    <row r="2449" spans="1:12">
      <c r="A2449" t="s">
        <v>15174</v>
      </c>
      <c r="B2449" s="1" t="s">
        <v>15171</v>
      </c>
      <c r="F2449">
        <v>1</v>
      </c>
      <c r="G2449" t="str">
        <f>HYPERLINK("http://babel.hathitrust.org/cgi/pt?id=uva.x030804014")</f>
        <v>http://babel.hathitrust.org/cgi/pt?id=uva.x030804014</v>
      </c>
      <c r="H2449" t="str">
        <f>HYPERLINK("http://catalog.hathitrust.org/Record/001900887")</f>
        <v>http://catalog.hathitrust.org/Record/001900887</v>
      </c>
      <c r="J2449" s="1">
        <v>1886</v>
      </c>
      <c r="K2449" t="s">
        <v>15172</v>
      </c>
      <c r="L2449" t="s">
        <v>15173</v>
      </c>
    </row>
    <row r="2450" spans="1:12">
      <c r="A2450" t="s">
        <v>15175</v>
      </c>
      <c r="B2450" s="1" t="s">
        <v>15176</v>
      </c>
      <c r="F2450">
        <v>1</v>
      </c>
      <c r="G2450" t="str">
        <f>HYPERLINK("http://babel.hathitrust.org/cgi/pt?id=mdp.39015027523169")</f>
        <v>http://babel.hathitrust.org/cgi/pt?id=mdp.39015027523169</v>
      </c>
      <c r="H2450" t="str">
        <f>HYPERLINK("http://catalog.hathitrust.org/Record/001900893")</f>
        <v>http://catalog.hathitrust.org/Record/001900893</v>
      </c>
      <c r="J2450" s="1">
        <v>1750</v>
      </c>
      <c r="K2450" t="s">
        <v>15177</v>
      </c>
      <c r="L2450" t="s">
        <v>15178</v>
      </c>
    </row>
    <row r="2451" spans="1:12">
      <c r="A2451" t="s">
        <v>15179</v>
      </c>
      <c r="B2451" s="1" t="s">
        <v>15180</v>
      </c>
      <c r="F2451">
        <v>1</v>
      </c>
      <c r="G2451" t="str">
        <f>HYPERLINK("http://babel.hathitrust.org/cgi/pt?id=mdp.39015059374788")</f>
        <v>http://babel.hathitrust.org/cgi/pt?id=mdp.39015059374788</v>
      </c>
      <c r="H2451" t="str">
        <f>HYPERLINK("http://catalog.hathitrust.org/Record/001900899")</f>
        <v>http://catalog.hathitrust.org/Record/001900899</v>
      </c>
      <c r="J2451" s="1">
        <v>1874</v>
      </c>
      <c r="K2451" t="s">
        <v>15181</v>
      </c>
      <c r="L2451" t="s">
        <v>15182</v>
      </c>
    </row>
    <row r="2452" spans="1:12">
      <c r="A2452" t="s">
        <v>15183</v>
      </c>
      <c r="B2452" s="1" t="s">
        <v>15184</v>
      </c>
      <c r="F2452">
        <v>1</v>
      </c>
      <c r="G2452" t="str">
        <f>HYPERLINK("http://babel.hathitrust.org/cgi/pt?id=miun.ajd1131.0001.001")</f>
        <v>http://babel.hathitrust.org/cgi/pt?id=miun.ajd1131.0001.001</v>
      </c>
      <c r="H2452" t="str">
        <f>HYPERLINK("http://catalog.hathitrust.org/Record/001900912")</f>
        <v>http://catalog.hathitrust.org/Record/001900912</v>
      </c>
      <c r="J2452" s="1">
        <v>1876</v>
      </c>
      <c r="K2452" t="s">
        <v>15185</v>
      </c>
      <c r="L2452" t="s">
        <v>15186</v>
      </c>
    </row>
    <row r="2453" spans="1:12">
      <c r="A2453" t="s">
        <v>15187</v>
      </c>
      <c r="B2453" s="1" t="s">
        <v>15188</v>
      </c>
      <c r="F2453">
        <v>1</v>
      </c>
      <c r="G2453" t="str">
        <f>HYPERLINK("http://babel.hathitrust.org/cgi/pt?id=mdp.39015003956433")</f>
        <v>http://babel.hathitrust.org/cgi/pt?id=mdp.39015003956433</v>
      </c>
      <c r="H2453" t="str">
        <f>HYPERLINK("http://catalog.hathitrust.org/Record/001900923")</f>
        <v>http://catalog.hathitrust.org/Record/001900923</v>
      </c>
      <c r="J2453" s="1">
        <v>1927</v>
      </c>
      <c r="K2453" t="s">
        <v>15189</v>
      </c>
      <c r="L2453" t="s">
        <v>15190</v>
      </c>
    </row>
    <row r="2454" spans="1:12">
      <c r="A2454" t="s">
        <v>15191</v>
      </c>
      <c r="B2454" s="1" t="s">
        <v>15192</v>
      </c>
      <c r="F2454">
        <v>1</v>
      </c>
      <c r="G2454" t="str">
        <f>HYPERLINK("http://babel.hathitrust.org/cgi/pt?id=mdp.39015002169756")</f>
        <v>http://babel.hathitrust.org/cgi/pt?id=mdp.39015002169756</v>
      </c>
      <c r="H2454" t="str">
        <f>HYPERLINK("http://catalog.hathitrust.org/Record/001900940")</f>
        <v>http://catalog.hathitrust.org/Record/001900940</v>
      </c>
      <c r="J2454" s="1">
        <v>1853</v>
      </c>
      <c r="K2454" t="s">
        <v>15193</v>
      </c>
      <c r="L2454" t="s">
        <v>19514</v>
      </c>
    </row>
    <row r="2455" spans="1:12">
      <c r="A2455" t="s">
        <v>15194</v>
      </c>
      <c r="B2455" s="1" t="s">
        <v>15099</v>
      </c>
      <c r="F2455">
        <v>1</v>
      </c>
      <c r="G2455" t="str">
        <f>HYPERLINK("http://babel.hathitrust.org/cgi/pt?id=mdp.39015003959718")</f>
        <v>http://babel.hathitrust.org/cgi/pt?id=mdp.39015003959718</v>
      </c>
      <c r="H2455" t="str">
        <f>HYPERLINK("http://catalog.hathitrust.org/Record/001900950")</f>
        <v>http://catalog.hathitrust.org/Record/001900950</v>
      </c>
      <c r="J2455" s="1">
        <v>1914</v>
      </c>
      <c r="K2455" t="s">
        <v>15100</v>
      </c>
      <c r="L2455" t="s">
        <v>15101</v>
      </c>
    </row>
    <row r="2456" spans="1:12">
      <c r="A2456" t="s">
        <v>15102</v>
      </c>
      <c r="B2456" s="1" t="s">
        <v>15099</v>
      </c>
      <c r="F2456">
        <v>1</v>
      </c>
      <c r="G2456" t="str">
        <f>HYPERLINK("http://babel.hathitrust.org/cgi/pt?id=uc2.ark:/13960/t18k7br3h")</f>
        <v>http://babel.hathitrust.org/cgi/pt?id=uc2.ark:/13960/t18k7br3h</v>
      </c>
      <c r="H2456" t="str">
        <f>HYPERLINK("http://catalog.hathitrust.org/Record/001900950")</f>
        <v>http://catalog.hathitrust.org/Record/001900950</v>
      </c>
      <c r="J2456" s="1">
        <v>1914</v>
      </c>
      <c r="K2456" t="s">
        <v>15100</v>
      </c>
      <c r="L2456" t="s">
        <v>15101</v>
      </c>
    </row>
    <row r="2457" spans="1:12">
      <c r="A2457" t="s">
        <v>15103</v>
      </c>
      <c r="B2457" s="1" t="s">
        <v>15104</v>
      </c>
      <c r="E2457">
        <v>1</v>
      </c>
      <c r="F2457">
        <v>1</v>
      </c>
      <c r="G2457" t="str">
        <f>HYPERLINK("http://babel.hathitrust.org/cgi/pt?id=mdp.39015019090821")</f>
        <v>http://babel.hathitrust.org/cgi/pt?id=mdp.39015019090821</v>
      </c>
      <c r="H2457" t="str">
        <f>HYPERLINK("http://catalog.hathitrust.org/Record/001900958")</f>
        <v>http://catalog.hathitrust.org/Record/001900958</v>
      </c>
      <c r="J2457" s="1">
        <v>1892</v>
      </c>
      <c r="K2457" t="s">
        <v>15105</v>
      </c>
    </row>
    <row r="2458" spans="1:12">
      <c r="A2458" t="s">
        <v>15106</v>
      </c>
      <c r="B2458" s="1" t="s">
        <v>15107</v>
      </c>
      <c r="F2458">
        <v>1</v>
      </c>
      <c r="G2458" t="str">
        <f>HYPERLINK("http://babel.hathitrust.org/cgi/pt?id=mdp.39015059897721")</f>
        <v>http://babel.hathitrust.org/cgi/pt?id=mdp.39015059897721</v>
      </c>
      <c r="H2458" t="str">
        <f>HYPERLINK("http://catalog.hathitrust.org/Record/001900979")</f>
        <v>http://catalog.hathitrust.org/Record/001900979</v>
      </c>
      <c r="J2458" s="1">
        <v>1932</v>
      </c>
      <c r="K2458" t="s">
        <v>15108</v>
      </c>
      <c r="L2458" t="s">
        <v>16616</v>
      </c>
    </row>
    <row r="2459" spans="1:12">
      <c r="A2459" t="s">
        <v>15109</v>
      </c>
      <c r="B2459" s="1" t="s">
        <v>15107</v>
      </c>
      <c r="F2459">
        <v>1</v>
      </c>
      <c r="G2459" t="str">
        <f>HYPERLINK("http://babel.hathitrust.org/cgi/pt?id=uc1.b14782")</f>
        <v>http://babel.hathitrust.org/cgi/pt?id=uc1.b14782</v>
      </c>
      <c r="H2459" t="str">
        <f>HYPERLINK("http://catalog.hathitrust.org/Record/001900979")</f>
        <v>http://catalog.hathitrust.org/Record/001900979</v>
      </c>
      <c r="J2459" s="1">
        <v>1932</v>
      </c>
      <c r="K2459" t="s">
        <v>15108</v>
      </c>
      <c r="L2459" t="s">
        <v>16616</v>
      </c>
    </row>
    <row r="2460" spans="1:12">
      <c r="A2460" t="s">
        <v>15110</v>
      </c>
      <c r="B2460" s="1" t="s">
        <v>15111</v>
      </c>
      <c r="F2460">
        <v>1</v>
      </c>
      <c r="G2460" t="str">
        <f>HYPERLINK("http://babel.hathitrust.org/cgi/pt?id=mdp.39015031039459")</f>
        <v>http://babel.hathitrust.org/cgi/pt?id=mdp.39015031039459</v>
      </c>
      <c r="H2460" t="str">
        <f>HYPERLINK("http://catalog.hathitrust.org/Record/001900991")</f>
        <v>http://catalog.hathitrust.org/Record/001900991</v>
      </c>
      <c r="J2460" s="1">
        <v>1906</v>
      </c>
      <c r="K2460" t="s">
        <v>15112</v>
      </c>
      <c r="L2460" t="s">
        <v>15113</v>
      </c>
    </row>
    <row r="2461" spans="1:12">
      <c r="A2461" t="s">
        <v>15114</v>
      </c>
      <c r="B2461" s="1" t="s">
        <v>15115</v>
      </c>
      <c r="F2461">
        <v>1</v>
      </c>
      <c r="G2461" t="str">
        <f>HYPERLINK("http://babel.hathitrust.org/cgi/pt?id=mdp.39015031039335")</f>
        <v>http://babel.hathitrust.org/cgi/pt?id=mdp.39015031039335</v>
      </c>
      <c r="H2461" t="str">
        <f>HYPERLINK("http://catalog.hathitrust.org/Record/001901000")</f>
        <v>http://catalog.hathitrust.org/Record/001901000</v>
      </c>
      <c r="J2461" s="1">
        <v>1893</v>
      </c>
      <c r="K2461" t="s">
        <v>15116</v>
      </c>
      <c r="L2461" t="s">
        <v>15117</v>
      </c>
    </row>
    <row r="2462" spans="1:12">
      <c r="A2462" t="s">
        <v>15118</v>
      </c>
      <c r="B2462" s="1" t="s">
        <v>15119</v>
      </c>
      <c r="F2462">
        <v>1</v>
      </c>
      <c r="G2462" t="str">
        <f>HYPERLINK("http://babel.hathitrust.org/cgi/pt?id=mdp.39015001611923")</f>
        <v>http://babel.hathitrust.org/cgi/pt?id=mdp.39015001611923</v>
      </c>
      <c r="H2462" t="str">
        <f>HYPERLINK("http://catalog.hathitrust.org/Record/001901005")</f>
        <v>http://catalog.hathitrust.org/Record/001901005</v>
      </c>
      <c r="J2462" s="1">
        <v>1924</v>
      </c>
      <c r="K2462" t="s">
        <v>15120</v>
      </c>
      <c r="L2462" t="s">
        <v>15121</v>
      </c>
    </row>
    <row r="2463" spans="1:12">
      <c r="A2463" t="s">
        <v>15122</v>
      </c>
      <c r="B2463" s="1" t="s">
        <v>15123</v>
      </c>
      <c r="F2463">
        <v>1</v>
      </c>
      <c r="G2463" t="str">
        <f>HYPERLINK("http://babel.hathitrust.org/cgi/pt?id=mdp.39015031039251")</f>
        <v>http://babel.hathitrust.org/cgi/pt?id=mdp.39015031039251</v>
      </c>
      <c r="H2463" t="str">
        <f>HYPERLINK("http://catalog.hathitrust.org/Record/001901007")</f>
        <v>http://catalog.hathitrust.org/Record/001901007</v>
      </c>
      <c r="J2463" s="1">
        <v>1911</v>
      </c>
      <c r="K2463" t="s">
        <v>15124</v>
      </c>
      <c r="L2463" t="s">
        <v>15125</v>
      </c>
    </row>
    <row r="2464" spans="1:12">
      <c r="A2464" t="s">
        <v>15126</v>
      </c>
      <c r="B2464" s="1" t="s">
        <v>15123</v>
      </c>
      <c r="F2464">
        <v>1</v>
      </c>
      <c r="G2464" t="str">
        <f>HYPERLINK("http://babel.hathitrust.org/cgi/pt?id=nyp.33433082522644")</f>
        <v>http://babel.hathitrust.org/cgi/pt?id=nyp.33433082522644</v>
      </c>
      <c r="H2464" t="str">
        <f>HYPERLINK("http://catalog.hathitrust.org/Record/001901007")</f>
        <v>http://catalog.hathitrust.org/Record/001901007</v>
      </c>
      <c r="J2464" s="1">
        <v>1911</v>
      </c>
      <c r="K2464" t="s">
        <v>15124</v>
      </c>
      <c r="L2464" t="s">
        <v>15125</v>
      </c>
    </row>
    <row r="2465" spans="1:12">
      <c r="A2465" t="s">
        <v>15127</v>
      </c>
      <c r="B2465" s="1" t="s">
        <v>15128</v>
      </c>
      <c r="F2465">
        <v>1</v>
      </c>
      <c r="G2465" t="str">
        <f>HYPERLINK("http://babel.hathitrust.org/cgi/pt?id=mdp.39015070199388")</f>
        <v>http://babel.hathitrust.org/cgi/pt?id=mdp.39015070199388</v>
      </c>
      <c r="H2465" t="str">
        <f>HYPERLINK("http://catalog.hathitrust.org/Record/001901015")</f>
        <v>http://catalog.hathitrust.org/Record/001901015</v>
      </c>
      <c r="J2465" s="1">
        <v>1904</v>
      </c>
      <c r="K2465" t="s">
        <v>15129</v>
      </c>
      <c r="L2465" t="s">
        <v>15130</v>
      </c>
    </row>
    <row r="2466" spans="1:12">
      <c r="A2466" t="s">
        <v>15131</v>
      </c>
      <c r="B2466" s="1" t="s">
        <v>15132</v>
      </c>
      <c r="F2466">
        <v>1</v>
      </c>
      <c r="G2466" t="str">
        <f>HYPERLINK("http://babel.hathitrust.org/cgi/pt?id=mdp.39015031039194")</f>
        <v>http://babel.hathitrust.org/cgi/pt?id=mdp.39015031039194</v>
      </c>
      <c r="H2466" t="str">
        <f>HYPERLINK("http://catalog.hathitrust.org/Record/001901016")</f>
        <v>http://catalog.hathitrust.org/Record/001901016</v>
      </c>
      <c r="J2466" s="1">
        <v>1930</v>
      </c>
      <c r="K2466" t="s">
        <v>15133</v>
      </c>
      <c r="L2466" t="s">
        <v>15134</v>
      </c>
    </row>
    <row r="2467" spans="1:12">
      <c r="A2467" t="s">
        <v>15135</v>
      </c>
      <c r="B2467" s="1" t="s">
        <v>15136</v>
      </c>
      <c r="F2467">
        <v>1</v>
      </c>
      <c r="G2467" t="str">
        <f>HYPERLINK("http://babel.hathitrust.org/cgi/pt?id=mdp.39015019979676")</f>
        <v>http://babel.hathitrust.org/cgi/pt?id=mdp.39015019979676</v>
      </c>
      <c r="H2467" t="str">
        <f>HYPERLINK("http://catalog.hathitrust.org/Record/001901019")</f>
        <v>http://catalog.hathitrust.org/Record/001901019</v>
      </c>
      <c r="J2467" s="1">
        <v>1910</v>
      </c>
      <c r="K2467" t="s">
        <v>15137</v>
      </c>
      <c r="L2467" t="s">
        <v>15138</v>
      </c>
    </row>
    <row r="2468" spans="1:12">
      <c r="A2468" t="s">
        <v>15139</v>
      </c>
      <c r="B2468" s="1" t="s">
        <v>15140</v>
      </c>
      <c r="F2468">
        <v>1</v>
      </c>
      <c r="G2468" t="str">
        <f>HYPERLINK("http://babel.hathitrust.org/cgi/pt?id=mdp.39015028685124")</f>
        <v>http://babel.hathitrust.org/cgi/pt?id=mdp.39015028685124</v>
      </c>
      <c r="H2468" t="str">
        <f>HYPERLINK("http://catalog.hathitrust.org/Record/001901023")</f>
        <v>http://catalog.hathitrust.org/Record/001901023</v>
      </c>
      <c r="J2468" s="1">
        <v>1946</v>
      </c>
      <c r="K2468" t="s">
        <v>15141</v>
      </c>
      <c r="L2468" t="s">
        <v>15142</v>
      </c>
    </row>
    <row r="2469" spans="1:12">
      <c r="A2469" t="s">
        <v>15143</v>
      </c>
      <c r="B2469" s="1" t="s">
        <v>15144</v>
      </c>
      <c r="E2469">
        <v>1</v>
      </c>
      <c r="G2469" t="str">
        <f>HYPERLINK("http://babel.hathitrust.org/cgi/pt?id=mdp.39015015344263")</f>
        <v>http://babel.hathitrust.org/cgi/pt?id=mdp.39015015344263</v>
      </c>
      <c r="H2469" t="str">
        <f>HYPERLINK("http://catalog.hathitrust.org/Record/001901025")</f>
        <v>http://catalog.hathitrust.org/Record/001901025</v>
      </c>
      <c r="J2469" s="1">
        <v>1881</v>
      </c>
      <c r="K2469" t="s">
        <v>15145</v>
      </c>
      <c r="L2469" t="s">
        <v>15146</v>
      </c>
    </row>
    <row r="2470" spans="1:12">
      <c r="A2470" t="s">
        <v>15147</v>
      </c>
      <c r="B2470" s="1" t="s">
        <v>15148</v>
      </c>
      <c r="E2470">
        <v>1</v>
      </c>
      <c r="F2470">
        <v>1</v>
      </c>
      <c r="G2470" t="str">
        <f>HYPERLINK("http://babel.hathitrust.org/cgi/pt?id=miun.ajd1254.0001.001")</f>
        <v>http://babel.hathitrust.org/cgi/pt?id=miun.ajd1254.0001.001</v>
      </c>
      <c r="H2470" t="str">
        <f>HYPERLINK("http://catalog.hathitrust.org/Record/001901033")</f>
        <v>http://catalog.hathitrust.org/Record/001901033</v>
      </c>
      <c r="J2470" s="1">
        <v>1868</v>
      </c>
      <c r="K2470" t="s">
        <v>15149</v>
      </c>
      <c r="L2470" t="s">
        <v>19514</v>
      </c>
    </row>
    <row r="2471" spans="1:12">
      <c r="A2471" t="s">
        <v>15150</v>
      </c>
      <c r="B2471" s="1" t="s">
        <v>15040</v>
      </c>
      <c r="F2471">
        <v>1</v>
      </c>
      <c r="G2471" t="str">
        <f>HYPERLINK("http://babel.hathitrust.org/cgi/pt?id=mdp.39015055030483")</f>
        <v>http://babel.hathitrust.org/cgi/pt?id=mdp.39015055030483</v>
      </c>
      <c r="H2471" t="str">
        <f>HYPERLINK("http://catalog.hathitrust.org/Record/001901046")</f>
        <v>http://catalog.hathitrust.org/Record/001901046</v>
      </c>
      <c r="J2471" s="1">
        <v>1878</v>
      </c>
      <c r="K2471" t="s">
        <v>15041</v>
      </c>
      <c r="L2471" t="s">
        <v>15042</v>
      </c>
    </row>
    <row r="2472" spans="1:12">
      <c r="A2472" t="s">
        <v>15043</v>
      </c>
      <c r="B2472" s="1" t="s">
        <v>15044</v>
      </c>
      <c r="F2472">
        <v>1</v>
      </c>
      <c r="G2472" t="str">
        <f>HYPERLINK("http://babel.hathitrust.org/cgi/pt?id=miun.ajd1323.0001.001")</f>
        <v>http://babel.hathitrust.org/cgi/pt?id=miun.ajd1323.0001.001</v>
      </c>
      <c r="H2472" t="str">
        <f>HYPERLINK("http://catalog.hathitrust.org/Record/001901101")</f>
        <v>http://catalog.hathitrust.org/Record/001901101</v>
      </c>
      <c r="J2472" s="1">
        <v>1856</v>
      </c>
      <c r="K2472" t="s">
        <v>15045</v>
      </c>
      <c r="L2472" t="s">
        <v>15046</v>
      </c>
    </row>
    <row r="2473" spans="1:12">
      <c r="A2473" t="s">
        <v>15047</v>
      </c>
      <c r="B2473" s="1" t="s">
        <v>15048</v>
      </c>
      <c r="E2473">
        <v>1</v>
      </c>
      <c r="G2473" t="str">
        <f>HYPERLINK("http://babel.hathitrust.org/cgi/pt?id=mdp.39015028691627")</f>
        <v>http://babel.hathitrust.org/cgi/pt?id=mdp.39015028691627</v>
      </c>
      <c r="H2473" t="str">
        <f>HYPERLINK("http://catalog.hathitrust.org/Record/001901940")</f>
        <v>http://catalog.hathitrust.org/Record/001901940</v>
      </c>
      <c r="I2473" s="1" t="s">
        <v>20920</v>
      </c>
      <c r="J2473" s="1">
        <v>1843</v>
      </c>
      <c r="K2473" t="s">
        <v>15049</v>
      </c>
      <c r="L2473" t="s">
        <v>15050</v>
      </c>
    </row>
    <row r="2474" spans="1:12">
      <c r="A2474" t="s">
        <v>15051</v>
      </c>
      <c r="B2474" s="1" t="s">
        <v>15048</v>
      </c>
      <c r="E2474">
        <v>1</v>
      </c>
      <c r="G2474" t="str">
        <f>HYPERLINK("http://babel.hathitrust.org/cgi/pt?id=mdp.39015028691643")</f>
        <v>http://babel.hathitrust.org/cgi/pt?id=mdp.39015028691643</v>
      </c>
      <c r="H2474" t="str">
        <f>HYPERLINK("http://catalog.hathitrust.org/Record/001901940")</f>
        <v>http://catalog.hathitrust.org/Record/001901940</v>
      </c>
      <c r="I2474" s="1" t="s">
        <v>20916</v>
      </c>
      <c r="J2474" s="1">
        <v>1843</v>
      </c>
      <c r="K2474" t="s">
        <v>15049</v>
      </c>
      <c r="L2474" t="s">
        <v>15050</v>
      </c>
    </row>
    <row r="2475" spans="1:12">
      <c r="A2475" t="s">
        <v>15052</v>
      </c>
      <c r="B2475" s="1" t="s">
        <v>15048</v>
      </c>
      <c r="E2475">
        <v>1</v>
      </c>
      <c r="G2475" t="str">
        <f>HYPERLINK("http://babel.hathitrust.org/cgi/pt?id=mdp.39015028691650")</f>
        <v>http://babel.hathitrust.org/cgi/pt?id=mdp.39015028691650</v>
      </c>
      <c r="H2475" t="str">
        <f>HYPERLINK("http://catalog.hathitrust.org/Record/001901940")</f>
        <v>http://catalog.hathitrust.org/Record/001901940</v>
      </c>
      <c r="I2475" s="1" t="s">
        <v>20755</v>
      </c>
      <c r="J2475" s="1">
        <v>1843</v>
      </c>
      <c r="K2475" t="s">
        <v>15049</v>
      </c>
      <c r="L2475" t="s">
        <v>15050</v>
      </c>
    </row>
    <row r="2476" spans="1:12">
      <c r="A2476" t="s">
        <v>15053</v>
      </c>
      <c r="B2476" s="1" t="s">
        <v>15054</v>
      </c>
      <c r="E2476">
        <v>1</v>
      </c>
      <c r="G2476" t="str">
        <f>HYPERLINK("http://babel.hathitrust.org/cgi/pt?id=mdp.39015030905320")</f>
        <v>http://babel.hathitrust.org/cgi/pt?id=mdp.39015030905320</v>
      </c>
      <c r="H2476" t="str">
        <f>HYPERLINK("http://catalog.hathitrust.org/Record/001901941")</f>
        <v>http://catalog.hathitrust.org/Record/001901941</v>
      </c>
      <c r="I2476" s="1" t="s">
        <v>20755</v>
      </c>
      <c r="J2476" s="1">
        <v>1847</v>
      </c>
      <c r="K2476" t="s">
        <v>15055</v>
      </c>
      <c r="L2476" t="s">
        <v>15050</v>
      </c>
    </row>
    <row r="2477" spans="1:12">
      <c r="A2477" t="s">
        <v>15056</v>
      </c>
      <c r="B2477" s="1" t="s">
        <v>15054</v>
      </c>
      <c r="E2477">
        <v>1</v>
      </c>
      <c r="G2477" t="str">
        <f>HYPERLINK("http://babel.hathitrust.org/cgi/pt?id=mdp.39015030905338")</f>
        <v>http://babel.hathitrust.org/cgi/pt?id=mdp.39015030905338</v>
      </c>
      <c r="H2477" t="str">
        <f>HYPERLINK("http://catalog.hathitrust.org/Record/001901941")</f>
        <v>http://catalog.hathitrust.org/Record/001901941</v>
      </c>
      <c r="I2477" s="1" t="s">
        <v>20916</v>
      </c>
      <c r="J2477" s="1">
        <v>1847</v>
      </c>
      <c r="K2477" t="s">
        <v>15055</v>
      </c>
      <c r="L2477" t="s">
        <v>15050</v>
      </c>
    </row>
    <row r="2478" spans="1:12">
      <c r="A2478" t="s">
        <v>15057</v>
      </c>
      <c r="B2478" s="1" t="s">
        <v>15058</v>
      </c>
      <c r="E2478">
        <v>1</v>
      </c>
      <c r="G2478" t="str">
        <f>HYPERLINK("http://babel.hathitrust.org/cgi/pt?id=mdp.39015030905288")</f>
        <v>http://babel.hathitrust.org/cgi/pt?id=mdp.39015030905288</v>
      </c>
      <c r="H2478" t="str">
        <f>HYPERLINK("http://catalog.hathitrust.org/Record/001901942")</f>
        <v>http://catalog.hathitrust.org/Record/001901942</v>
      </c>
      <c r="I2478" s="1" t="s">
        <v>20679</v>
      </c>
      <c r="J2478" s="1">
        <v>1880</v>
      </c>
      <c r="K2478" t="s">
        <v>15055</v>
      </c>
      <c r="L2478" t="s">
        <v>15050</v>
      </c>
    </row>
    <row r="2479" spans="1:12">
      <c r="A2479" t="s">
        <v>15059</v>
      </c>
      <c r="B2479" s="1" t="s">
        <v>15058</v>
      </c>
      <c r="E2479">
        <v>1</v>
      </c>
      <c r="G2479" t="str">
        <f>HYPERLINK("http://babel.hathitrust.org/cgi/pt?id=mdp.39015030905296")</f>
        <v>http://babel.hathitrust.org/cgi/pt?id=mdp.39015030905296</v>
      </c>
      <c r="H2479" t="str">
        <f>HYPERLINK("http://catalog.hathitrust.org/Record/001901942")</f>
        <v>http://catalog.hathitrust.org/Record/001901942</v>
      </c>
      <c r="I2479" s="1" t="s">
        <v>20920</v>
      </c>
      <c r="J2479" s="1">
        <v>1880</v>
      </c>
      <c r="K2479" t="s">
        <v>15055</v>
      </c>
      <c r="L2479" t="s">
        <v>15050</v>
      </c>
    </row>
    <row r="2480" spans="1:12">
      <c r="A2480" t="s">
        <v>15060</v>
      </c>
      <c r="B2480" s="1" t="s">
        <v>15058</v>
      </c>
      <c r="E2480">
        <v>1</v>
      </c>
      <c r="G2480" t="str">
        <f>HYPERLINK("http://babel.hathitrust.org/cgi/pt?id=mdp.39015030905304")</f>
        <v>http://babel.hathitrust.org/cgi/pt?id=mdp.39015030905304</v>
      </c>
      <c r="H2480" t="str">
        <f>HYPERLINK("http://catalog.hathitrust.org/Record/001901942")</f>
        <v>http://catalog.hathitrust.org/Record/001901942</v>
      </c>
      <c r="I2480" s="1" t="s">
        <v>20755</v>
      </c>
      <c r="J2480" s="1">
        <v>1880</v>
      </c>
      <c r="K2480" t="s">
        <v>15055</v>
      </c>
      <c r="L2480" t="s">
        <v>15050</v>
      </c>
    </row>
    <row r="2481" spans="1:12">
      <c r="A2481" t="s">
        <v>15061</v>
      </c>
      <c r="B2481" s="1" t="s">
        <v>15058</v>
      </c>
      <c r="E2481">
        <v>1</v>
      </c>
      <c r="G2481" t="str">
        <f>HYPERLINK("http://babel.hathitrust.org/cgi/pt?id=mdp.39015030905312")</f>
        <v>http://babel.hathitrust.org/cgi/pt?id=mdp.39015030905312</v>
      </c>
      <c r="H2481" t="str">
        <f>HYPERLINK("http://catalog.hathitrust.org/Record/001901942")</f>
        <v>http://catalog.hathitrust.org/Record/001901942</v>
      </c>
      <c r="I2481" s="1" t="s">
        <v>20916</v>
      </c>
      <c r="J2481" s="1">
        <v>1880</v>
      </c>
      <c r="K2481" t="s">
        <v>15055</v>
      </c>
      <c r="L2481" t="s">
        <v>15050</v>
      </c>
    </row>
    <row r="2482" spans="1:12">
      <c r="A2482" t="s">
        <v>15062</v>
      </c>
      <c r="B2482" s="1" t="s">
        <v>15063</v>
      </c>
      <c r="E2482">
        <v>1</v>
      </c>
      <c r="G2482" t="str">
        <f>HYPERLINK("http://babel.hathitrust.org/cgi/pt?id=mdp.39015005162758")</f>
        <v>http://babel.hathitrust.org/cgi/pt?id=mdp.39015005162758</v>
      </c>
      <c r="H2482" t="str">
        <f t="shared" ref="H2482:H2493" si="38">HYPERLINK("http://catalog.hathitrust.org/Record/001902199")</f>
        <v>http://catalog.hathitrust.org/Record/001902199</v>
      </c>
      <c r="I2482" s="1" t="s">
        <v>20916</v>
      </c>
      <c r="J2482" s="1">
        <v>1897</v>
      </c>
      <c r="K2482" t="s">
        <v>15064</v>
      </c>
    </row>
    <row r="2483" spans="1:12">
      <c r="A2483" t="s">
        <v>15065</v>
      </c>
      <c r="B2483" s="1" t="s">
        <v>15063</v>
      </c>
      <c r="E2483">
        <v>1</v>
      </c>
      <c r="G2483" t="str">
        <f>HYPERLINK("http://babel.hathitrust.org/cgi/pt?id=mdp.39015005470664")</f>
        <v>http://babel.hathitrust.org/cgi/pt?id=mdp.39015005470664</v>
      </c>
      <c r="H2483" t="str">
        <f t="shared" si="38"/>
        <v>http://catalog.hathitrust.org/Record/001902199</v>
      </c>
      <c r="I2483" s="1" t="s">
        <v>15066</v>
      </c>
      <c r="J2483" s="1">
        <v>1897</v>
      </c>
      <c r="K2483" t="s">
        <v>15064</v>
      </c>
    </row>
    <row r="2484" spans="1:12">
      <c r="A2484" t="s">
        <v>15067</v>
      </c>
      <c r="B2484" s="1" t="s">
        <v>15063</v>
      </c>
      <c r="E2484">
        <v>1</v>
      </c>
      <c r="G2484" t="str">
        <f>HYPERLINK("http://babel.hathitrust.org/cgi/pt?id=mdp.39015005470672")</f>
        <v>http://babel.hathitrust.org/cgi/pt?id=mdp.39015005470672</v>
      </c>
      <c r="H2484" t="str">
        <f t="shared" si="38"/>
        <v>http://catalog.hathitrust.org/Record/001902199</v>
      </c>
      <c r="I2484" s="1" t="s">
        <v>16574</v>
      </c>
      <c r="J2484" s="1">
        <v>1897</v>
      </c>
      <c r="K2484" t="s">
        <v>15064</v>
      </c>
    </row>
    <row r="2485" spans="1:12">
      <c r="A2485" t="s">
        <v>15068</v>
      </c>
      <c r="B2485" s="1" t="s">
        <v>15063</v>
      </c>
      <c r="E2485">
        <v>1</v>
      </c>
      <c r="G2485" t="str">
        <f>HYPERLINK("http://babel.hathitrust.org/cgi/pt?id=mdp.39015005682706")</f>
        <v>http://babel.hathitrust.org/cgi/pt?id=mdp.39015005682706</v>
      </c>
      <c r="H2485" t="str">
        <f t="shared" si="38"/>
        <v>http://catalog.hathitrust.org/Record/001902199</v>
      </c>
      <c r="I2485" s="1" t="s">
        <v>20755</v>
      </c>
      <c r="J2485" s="1">
        <v>1897</v>
      </c>
      <c r="K2485" t="s">
        <v>15064</v>
      </c>
    </row>
    <row r="2486" spans="1:12">
      <c r="A2486" t="s">
        <v>15069</v>
      </c>
      <c r="B2486" s="1" t="s">
        <v>15063</v>
      </c>
      <c r="E2486">
        <v>1</v>
      </c>
      <c r="G2486" t="str">
        <f>HYPERLINK("http://babel.hathitrust.org/cgi/pt?id=mdp.39015030924404")</f>
        <v>http://babel.hathitrust.org/cgi/pt?id=mdp.39015030924404</v>
      </c>
      <c r="H2486" t="str">
        <f t="shared" si="38"/>
        <v>http://catalog.hathitrust.org/Record/001902199</v>
      </c>
      <c r="I2486" s="1" t="s">
        <v>16577</v>
      </c>
      <c r="J2486" s="1">
        <v>1897</v>
      </c>
      <c r="K2486" t="s">
        <v>15064</v>
      </c>
    </row>
    <row r="2487" spans="1:12">
      <c r="A2487" t="s">
        <v>15070</v>
      </c>
      <c r="B2487" s="1" t="s">
        <v>15063</v>
      </c>
      <c r="E2487">
        <v>1</v>
      </c>
      <c r="G2487" t="str">
        <f>HYPERLINK("http://babel.hathitrust.org/cgi/pt?id=mdp.39015053251891")</f>
        <v>http://babel.hathitrust.org/cgi/pt?id=mdp.39015053251891</v>
      </c>
      <c r="H2487" t="str">
        <f t="shared" si="38"/>
        <v>http://catalog.hathitrust.org/Record/001902199</v>
      </c>
      <c r="I2487" s="1" t="s">
        <v>16582</v>
      </c>
      <c r="J2487" s="1">
        <v>1897</v>
      </c>
      <c r="K2487" t="s">
        <v>15064</v>
      </c>
    </row>
    <row r="2488" spans="1:12">
      <c r="A2488" t="s">
        <v>15071</v>
      </c>
      <c r="B2488" s="1" t="s">
        <v>15063</v>
      </c>
      <c r="E2488">
        <v>1</v>
      </c>
      <c r="G2488" t="str">
        <f>HYPERLINK("http://babel.hathitrust.org/cgi/pt?id=mdp.39015053251917")</f>
        <v>http://babel.hathitrust.org/cgi/pt?id=mdp.39015053251917</v>
      </c>
      <c r="H2488" t="str">
        <f t="shared" si="38"/>
        <v>http://catalog.hathitrust.org/Record/001902199</v>
      </c>
      <c r="I2488" s="1" t="s">
        <v>15072</v>
      </c>
      <c r="J2488" s="1">
        <v>1897</v>
      </c>
      <c r="K2488" t="s">
        <v>15064</v>
      </c>
    </row>
    <row r="2489" spans="1:12">
      <c r="A2489" t="s">
        <v>15073</v>
      </c>
      <c r="B2489" s="1" t="s">
        <v>15063</v>
      </c>
      <c r="E2489">
        <v>1</v>
      </c>
      <c r="G2489" t="str">
        <f>HYPERLINK("http://babel.hathitrust.org/cgi/pt?id=mdp.39015053251966")</f>
        <v>http://babel.hathitrust.org/cgi/pt?id=mdp.39015053251966</v>
      </c>
      <c r="H2489" t="str">
        <f t="shared" si="38"/>
        <v>http://catalog.hathitrust.org/Record/001902199</v>
      </c>
      <c r="I2489" s="1" t="s">
        <v>20681</v>
      </c>
      <c r="J2489" s="1">
        <v>1897</v>
      </c>
      <c r="K2489" t="s">
        <v>15064</v>
      </c>
    </row>
    <row r="2490" spans="1:12">
      <c r="A2490" t="s">
        <v>15074</v>
      </c>
      <c r="B2490" s="1" t="s">
        <v>15063</v>
      </c>
      <c r="E2490">
        <v>1</v>
      </c>
      <c r="G2490" t="str">
        <f>HYPERLINK("http://babel.hathitrust.org/cgi/pt?id=mdp.39015053251982")</f>
        <v>http://babel.hathitrust.org/cgi/pt?id=mdp.39015053251982</v>
      </c>
      <c r="H2490" t="str">
        <f t="shared" si="38"/>
        <v>http://catalog.hathitrust.org/Record/001902199</v>
      </c>
      <c r="I2490" s="1" t="s">
        <v>20679</v>
      </c>
      <c r="J2490" s="1">
        <v>1897</v>
      </c>
      <c r="K2490" t="s">
        <v>15064</v>
      </c>
    </row>
    <row r="2491" spans="1:12">
      <c r="A2491" t="s">
        <v>15075</v>
      </c>
      <c r="B2491" s="1" t="s">
        <v>15063</v>
      </c>
      <c r="E2491">
        <v>1</v>
      </c>
      <c r="G2491" t="str">
        <f>HYPERLINK("http://babel.hathitrust.org/cgi/pt?id=mdp.39015053251990")</f>
        <v>http://babel.hathitrust.org/cgi/pt?id=mdp.39015053251990</v>
      </c>
      <c r="H2491" t="str">
        <f t="shared" si="38"/>
        <v>http://catalog.hathitrust.org/Record/001902199</v>
      </c>
      <c r="I2491" s="1" t="s">
        <v>20920</v>
      </c>
      <c r="J2491" s="1">
        <v>1897</v>
      </c>
      <c r="K2491" t="s">
        <v>15064</v>
      </c>
    </row>
    <row r="2492" spans="1:12">
      <c r="A2492" t="s">
        <v>15076</v>
      </c>
      <c r="B2492" s="1" t="s">
        <v>15063</v>
      </c>
      <c r="E2492">
        <v>1</v>
      </c>
      <c r="G2492" t="str">
        <f>HYPERLINK("http://babel.hathitrust.org/cgi/pt?id=mdp.39015053252030")</f>
        <v>http://babel.hathitrust.org/cgi/pt?id=mdp.39015053252030</v>
      </c>
      <c r="H2492" t="str">
        <f t="shared" si="38"/>
        <v>http://catalog.hathitrust.org/Record/001902199</v>
      </c>
      <c r="I2492" s="1" t="s">
        <v>21018</v>
      </c>
      <c r="J2492" s="1">
        <v>1897</v>
      </c>
      <c r="K2492" t="s">
        <v>15064</v>
      </c>
    </row>
    <row r="2493" spans="1:12">
      <c r="A2493" t="s">
        <v>15077</v>
      </c>
      <c r="B2493" s="1" t="s">
        <v>15063</v>
      </c>
      <c r="E2493">
        <v>1</v>
      </c>
      <c r="G2493" t="str">
        <f>HYPERLINK("http://babel.hathitrust.org/cgi/pt?id=mdp.39015053252048")</f>
        <v>http://babel.hathitrust.org/cgi/pt?id=mdp.39015053252048</v>
      </c>
      <c r="H2493" t="str">
        <f t="shared" si="38"/>
        <v>http://catalog.hathitrust.org/Record/001902199</v>
      </c>
      <c r="I2493" s="1" t="s">
        <v>21021</v>
      </c>
      <c r="J2493" s="1">
        <v>1897</v>
      </c>
      <c r="K2493" t="s">
        <v>15064</v>
      </c>
    </row>
    <row r="2494" spans="1:12">
      <c r="A2494" t="s">
        <v>15078</v>
      </c>
      <c r="B2494" s="1" t="s">
        <v>15079</v>
      </c>
      <c r="F2494">
        <v>1</v>
      </c>
      <c r="G2494" t="str">
        <f>HYPERLINK("http://babel.hathitrust.org/cgi/pt?id=hvd.hxcp6h")</f>
        <v>http://babel.hathitrust.org/cgi/pt?id=hvd.hxcp6h</v>
      </c>
      <c r="H2494" t="str">
        <f>HYPERLINK("http://catalog.hathitrust.org/Record/001902223")</f>
        <v>http://catalog.hathitrust.org/Record/001902223</v>
      </c>
      <c r="J2494" s="1">
        <v>1841</v>
      </c>
      <c r="K2494" t="s">
        <v>15080</v>
      </c>
      <c r="L2494" t="s">
        <v>15081</v>
      </c>
    </row>
    <row r="2495" spans="1:12">
      <c r="A2495" t="s">
        <v>15082</v>
      </c>
      <c r="B2495" s="1" t="s">
        <v>15079</v>
      </c>
      <c r="F2495">
        <v>1</v>
      </c>
      <c r="G2495" t="str">
        <f>HYPERLINK("http://babel.hathitrust.org/cgi/pt?id=inu.39000005847418")</f>
        <v>http://babel.hathitrust.org/cgi/pt?id=inu.39000005847418</v>
      </c>
      <c r="H2495" t="str">
        <f>HYPERLINK("http://catalog.hathitrust.org/Record/001902223")</f>
        <v>http://catalog.hathitrust.org/Record/001902223</v>
      </c>
      <c r="J2495" s="1">
        <v>1841</v>
      </c>
      <c r="K2495" t="s">
        <v>15080</v>
      </c>
      <c r="L2495" t="s">
        <v>15081</v>
      </c>
    </row>
    <row r="2496" spans="1:12">
      <c r="A2496" t="s">
        <v>15083</v>
      </c>
      <c r="B2496" s="1" t="s">
        <v>15079</v>
      </c>
      <c r="F2496">
        <v>1</v>
      </c>
      <c r="G2496" t="str">
        <f>HYPERLINK("http://babel.hathitrust.org/cgi/pt?id=mdp.39015010868431")</f>
        <v>http://babel.hathitrust.org/cgi/pt?id=mdp.39015010868431</v>
      </c>
      <c r="H2496" t="str">
        <f>HYPERLINK("http://catalog.hathitrust.org/Record/001902223")</f>
        <v>http://catalog.hathitrust.org/Record/001902223</v>
      </c>
      <c r="J2496" s="1">
        <v>1841</v>
      </c>
      <c r="K2496" t="s">
        <v>15080</v>
      </c>
      <c r="L2496" t="s">
        <v>15081</v>
      </c>
    </row>
    <row r="2497" spans="1:12">
      <c r="A2497" t="s">
        <v>15084</v>
      </c>
      <c r="B2497" s="1" t="s">
        <v>15079</v>
      </c>
      <c r="F2497">
        <v>1</v>
      </c>
      <c r="G2497" t="str">
        <f>HYPERLINK("http://babel.hathitrust.org/cgi/pt?id=uc2.ark:/13960/t2s46s934")</f>
        <v>http://babel.hathitrust.org/cgi/pt?id=uc2.ark:/13960/t2s46s934</v>
      </c>
      <c r="H2497" t="str">
        <f>HYPERLINK("http://catalog.hathitrust.org/Record/001902223")</f>
        <v>http://catalog.hathitrust.org/Record/001902223</v>
      </c>
      <c r="J2497" s="1">
        <v>1841</v>
      </c>
      <c r="K2497" t="s">
        <v>15080</v>
      </c>
      <c r="L2497" t="s">
        <v>15081</v>
      </c>
    </row>
    <row r="2498" spans="1:12">
      <c r="A2498" t="s">
        <v>15085</v>
      </c>
      <c r="B2498" s="1" t="s">
        <v>15086</v>
      </c>
      <c r="F2498">
        <v>1</v>
      </c>
      <c r="G2498" t="str">
        <f>HYPERLINK("http://babel.hathitrust.org/cgi/pt?id=mdp.39015005684991")</f>
        <v>http://babel.hathitrust.org/cgi/pt?id=mdp.39015005684991</v>
      </c>
      <c r="H2498" t="str">
        <f>HYPERLINK("http://catalog.hathitrust.org/Record/001902449")</f>
        <v>http://catalog.hathitrust.org/Record/001902449</v>
      </c>
      <c r="J2498" s="1">
        <v>1893</v>
      </c>
      <c r="K2498" t="s">
        <v>15087</v>
      </c>
      <c r="L2498" t="s">
        <v>15226</v>
      </c>
    </row>
    <row r="2499" spans="1:12">
      <c r="A2499" t="s">
        <v>15088</v>
      </c>
      <c r="B2499" s="1" t="s">
        <v>15089</v>
      </c>
      <c r="F2499">
        <v>1</v>
      </c>
      <c r="G2499" t="str">
        <f>HYPERLINK("http://babel.hathitrust.org/cgi/pt?id=nyp.33433076020605")</f>
        <v>http://babel.hathitrust.org/cgi/pt?id=nyp.33433076020605</v>
      </c>
      <c r="H2499" t="str">
        <f>HYPERLINK("http://catalog.hathitrust.org/Record/001902450")</f>
        <v>http://catalog.hathitrust.org/Record/001902450</v>
      </c>
      <c r="J2499" s="1">
        <v>1894</v>
      </c>
      <c r="K2499" t="s">
        <v>15087</v>
      </c>
      <c r="L2499" t="s">
        <v>15226</v>
      </c>
    </row>
    <row r="2500" spans="1:12">
      <c r="A2500" t="s">
        <v>15090</v>
      </c>
      <c r="B2500" s="1" t="s">
        <v>15091</v>
      </c>
      <c r="F2500">
        <v>1</v>
      </c>
      <c r="G2500" t="str">
        <f>HYPERLINK("http://babel.hathitrust.org/cgi/pt?id=mdp.39015004169291")</f>
        <v>http://babel.hathitrust.org/cgi/pt?id=mdp.39015004169291</v>
      </c>
      <c r="H2500" t="str">
        <f>HYPERLINK("http://catalog.hathitrust.org/Record/001902517")</f>
        <v>http://catalog.hathitrust.org/Record/001902517</v>
      </c>
      <c r="J2500" s="1">
        <v>1930</v>
      </c>
      <c r="K2500" t="s">
        <v>15092</v>
      </c>
      <c r="L2500" t="s">
        <v>16541</v>
      </c>
    </row>
    <row r="2501" spans="1:12">
      <c r="A2501" t="s">
        <v>15093</v>
      </c>
      <c r="B2501" s="1" t="s">
        <v>15091</v>
      </c>
      <c r="F2501">
        <v>1</v>
      </c>
      <c r="G2501" t="str">
        <f>HYPERLINK("http://babel.hathitrust.org/cgi/pt?id=uc1.b4088378")</f>
        <v>http://babel.hathitrust.org/cgi/pt?id=uc1.b4088378</v>
      </c>
      <c r="H2501" t="str">
        <f>HYPERLINK("http://catalog.hathitrust.org/Record/001902517")</f>
        <v>http://catalog.hathitrust.org/Record/001902517</v>
      </c>
      <c r="J2501" s="1">
        <v>1930</v>
      </c>
      <c r="K2501" t="s">
        <v>15092</v>
      </c>
      <c r="L2501" t="s">
        <v>16541</v>
      </c>
    </row>
    <row r="2502" spans="1:12">
      <c r="A2502" t="s">
        <v>15094</v>
      </c>
      <c r="B2502" s="1" t="s">
        <v>15095</v>
      </c>
      <c r="F2502">
        <v>1</v>
      </c>
      <c r="G2502" t="str">
        <f>HYPERLINK("http://babel.hathitrust.org/cgi/pt?id=mdp.39015008376843")</f>
        <v>http://babel.hathitrust.org/cgi/pt?id=mdp.39015008376843</v>
      </c>
      <c r="H2502" t="str">
        <f>HYPERLINK("http://catalog.hathitrust.org/Record/001902548")</f>
        <v>http://catalog.hathitrust.org/Record/001902548</v>
      </c>
      <c r="J2502" s="1">
        <v>1909</v>
      </c>
      <c r="K2502" t="s">
        <v>15096</v>
      </c>
      <c r="L2502" t="s">
        <v>18550</v>
      </c>
    </row>
    <row r="2503" spans="1:12">
      <c r="A2503" t="s">
        <v>15097</v>
      </c>
      <c r="B2503" s="1" t="s">
        <v>15098</v>
      </c>
      <c r="F2503">
        <v>1</v>
      </c>
      <c r="G2503" t="str">
        <f>HYPERLINK("http://babel.hathitrust.org/cgi/pt?id=mdp.39015031031134")</f>
        <v>http://babel.hathitrust.org/cgi/pt?id=mdp.39015031031134</v>
      </c>
      <c r="H2503" t="str">
        <f>HYPERLINK("http://catalog.hathitrust.org/Record/001902559")</f>
        <v>http://catalog.hathitrust.org/Record/001902559</v>
      </c>
      <c r="J2503" s="1">
        <v>1893</v>
      </c>
      <c r="K2503" t="s">
        <v>15001</v>
      </c>
      <c r="L2503" t="s">
        <v>19601</v>
      </c>
    </row>
    <row r="2504" spans="1:12">
      <c r="A2504" t="s">
        <v>15002</v>
      </c>
      <c r="B2504" s="1" t="s">
        <v>15003</v>
      </c>
      <c r="F2504">
        <v>1</v>
      </c>
      <c r="G2504" t="str">
        <f>HYPERLINK("http://babel.hathitrust.org/cgi/pt?id=miun.ajd2869.0001.001")</f>
        <v>http://babel.hathitrust.org/cgi/pt?id=miun.ajd2869.0001.001</v>
      </c>
      <c r="H2504" t="str">
        <f>HYPERLINK("http://catalog.hathitrust.org/Record/001902619")</f>
        <v>http://catalog.hathitrust.org/Record/001902619</v>
      </c>
      <c r="J2504" s="1">
        <v>1855</v>
      </c>
      <c r="K2504" t="s">
        <v>15004</v>
      </c>
    </row>
    <row r="2505" spans="1:12">
      <c r="A2505" t="s">
        <v>15005</v>
      </c>
      <c r="B2505" s="1" t="s">
        <v>15006</v>
      </c>
      <c r="E2505">
        <v>1</v>
      </c>
      <c r="F2505">
        <v>1</v>
      </c>
      <c r="G2505" t="str">
        <f>HYPERLINK("http://babel.hathitrust.org/cgi/pt?id=hvd.hwp9a7")</f>
        <v>http://babel.hathitrust.org/cgi/pt?id=hvd.hwp9a7</v>
      </c>
      <c r="H2505" t="str">
        <f>HYPERLINK("http://catalog.hathitrust.org/Record/001902625")</f>
        <v>http://catalog.hathitrust.org/Record/001902625</v>
      </c>
      <c r="I2505" s="1">
        <v>8.4027777777777771E-2</v>
      </c>
      <c r="J2505" s="1">
        <v>1837</v>
      </c>
      <c r="K2505" t="s">
        <v>15007</v>
      </c>
      <c r="L2505" t="s">
        <v>15008</v>
      </c>
    </row>
    <row r="2506" spans="1:12">
      <c r="A2506" t="s">
        <v>15009</v>
      </c>
      <c r="B2506" s="1" t="s">
        <v>15006</v>
      </c>
      <c r="E2506">
        <v>1</v>
      </c>
      <c r="F2506">
        <v>1</v>
      </c>
      <c r="G2506" t="str">
        <f>HYPERLINK("http://babel.hathitrust.org/cgi/pt?id=mdp.39015030915436")</f>
        <v>http://babel.hathitrust.org/cgi/pt?id=mdp.39015030915436</v>
      </c>
      <c r="H2506" t="str">
        <f>HYPERLINK("http://catalog.hathitrust.org/Record/001902625")</f>
        <v>http://catalog.hathitrust.org/Record/001902625</v>
      </c>
      <c r="I2506" s="1" t="s">
        <v>20916</v>
      </c>
      <c r="J2506" s="1">
        <v>1837</v>
      </c>
      <c r="K2506" t="s">
        <v>15007</v>
      </c>
      <c r="L2506" t="s">
        <v>15008</v>
      </c>
    </row>
    <row r="2507" spans="1:12">
      <c r="A2507" t="s">
        <v>15010</v>
      </c>
      <c r="B2507" s="1" t="s">
        <v>15006</v>
      </c>
      <c r="E2507">
        <v>1</v>
      </c>
      <c r="F2507">
        <v>1</v>
      </c>
      <c r="G2507" t="str">
        <f>HYPERLINK("http://babel.hathitrust.org/cgi/pt?id=mdp.39015062935450")</f>
        <v>http://babel.hathitrust.org/cgi/pt?id=mdp.39015062935450</v>
      </c>
      <c r="H2507" t="str">
        <f>HYPERLINK("http://catalog.hathitrust.org/Record/001902625")</f>
        <v>http://catalog.hathitrust.org/Record/001902625</v>
      </c>
      <c r="I2507" s="1" t="s">
        <v>20755</v>
      </c>
      <c r="J2507" s="1">
        <v>1837</v>
      </c>
      <c r="K2507" t="s">
        <v>15007</v>
      </c>
      <c r="L2507" t="s">
        <v>15008</v>
      </c>
    </row>
    <row r="2508" spans="1:12">
      <c r="A2508" t="s">
        <v>15011</v>
      </c>
      <c r="B2508" s="1" t="s">
        <v>15006</v>
      </c>
      <c r="E2508">
        <v>1</v>
      </c>
      <c r="F2508">
        <v>1</v>
      </c>
      <c r="G2508" t="str">
        <f>HYPERLINK("http://babel.hathitrust.org/cgi/pt?id=mdp.39015063005147")</f>
        <v>http://babel.hathitrust.org/cgi/pt?id=mdp.39015063005147</v>
      </c>
      <c r="H2508" t="str">
        <f>HYPERLINK("http://catalog.hathitrust.org/Record/001902625")</f>
        <v>http://catalog.hathitrust.org/Record/001902625</v>
      </c>
      <c r="I2508" s="1" t="s">
        <v>15012</v>
      </c>
      <c r="J2508" s="1">
        <v>1837</v>
      </c>
      <c r="K2508" t="s">
        <v>15007</v>
      </c>
      <c r="L2508" t="s">
        <v>15008</v>
      </c>
    </row>
    <row r="2509" spans="1:12">
      <c r="A2509" t="s">
        <v>15013</v>
      </c>
      <c r="B2509" s="1" t="s">
        <v>15006</v>
      </c>
      <c r="E2509">
        <v>1</v>
      </c>
      <c r="F2509">
        <v>1</v>
      </c>
      <c r="G2509" t="str">
        <f>HYPERLINK("http://babel.hathitrust.org/cgi/pt?id=nyp.33433006028157")</f>
        <v>http://babel.hathitrust.org/cgi/pt?id=nyp.33433006028157</v>
      </c>
      <c r="H2509" t="str">
        <f>HYPERLINK("http://catalog.hathitrust.org/Record/001902625")</f>
        <v>http://catalog.hathitrust.org/Record/001902625</v>
      </c>
      <c r="I2509" s="1" t="s">
        <v>20796</v>
      </c>
      <c r="J2509" s="1">
        <v>1837</v>
      </c>
      <c r="K2509" t="s">
        <v>15007</v>
      </c>
      <c r="L2509" t="s">
        <v>15008</v>
      </c>
    </row>
    <row r="2510" spans="1:12">
      <c r="A2510" t="s">
        <v>15014</v>
      </c>
      <c r="B2510" s="1" t="s">
        <v>15015</v>
      </c>
      <c r="F2510">
        <v>1</v>
      </c>
      <c r="G2510" t="str">
        <f>HYPERLINK("http://babel.hathitrust.org/cgi/pt?id=mdp.39015010426966")</f>
        <v>http://babel.hathitrust.org/cgi/pt?id=mdp.39015010426966</v>
      </c>
      <c r="H2510" t="str">
        <f>HYPERLINK("http://catalog.hathitrust.org/Record/001902731")</f>
        <v>http://catalog.hathitrust.org/Record/001902731</v>
      </c>
      <c r="J2510" s="1">
        <v>1909</v>
      </c>
      <c r="K2510" t="s">
        <v>15016</v>
      </c>
      <c r="L2510" t="s">
        <v>15017</v>
      </c>
    </row>
    <row r="2511" spans="1:12">
      <c r="A2511" t="s">
        <v>15018</v>
      </c>
      <c r="B2511" s="1" t="s">
        <v>15019</v>
      </c>
      <c r="F2511">
        <v>1</v>
      </c>
      <c r="G2511" t="str">
        <f>HYPERLINK("http://babel.hathitrust.org/cgi/pt?id=mdp.39015030924750")</f>
        <v>http://babel.hathitrust.org/cgi/pt?id=mdp.39015030924750</v>
      </c>
      <c r="H2511" t="str">
        <f>HYPERLINK("http://catalog.hathitrust.org/Record/001902782")</f>
        <v>http://catalog.hathitrust.org/Record/001902782</v>
      </c>
      <c r="J2511" s="1">
        <v>1884</v>
      </c>
      <c r="K2511" t="s">
        <v>15020</v>
      </c>
      <c r="L2511" t="s">
        <v>15021</v>
      </c>
    </row>
    <row r="2512" spans="1:12">
      <c r="A2512" t="s">
        <v>15022</v>
      </c>
      <c r="B2512" s="1" t="s">
        <v>15023</v>
      </c>
      <c r="E2512">
        <v>1</v>
      </c>
      <c r="F2512">
        <v>1</v>
      </c>
      <c r="G2512" t="str">
        <f>HYPERLINK("http://babel.hathitrust.org/cgi/pt?id=mdp.39015005761021")</f>
        <v>http://babel.hathitrust.org/cgi/pt?id=mdp.39015005761021</v>
      </c>
      <c r="H2512" t="str">
        <f>HYPERLINK("http://catalog.hathitrust.org/Record/001902783")</f>
        <v>http://catalog.hathitrust.org/Record/001902783</v>
      </c>
      <c r="J2512" s="1">
        <v>1887</v>
      </c>
      <c r="K2512" t="s">
        <v>15024</v>
      </c>
      <c r="L2512" t="s">
        <v>20629</v>
      </c>
    </row>
    <row r="2513" spans="1:12">
      <c r="A2513" t="s">
        <v>15025</v>
      </c>
      <c r="B2513" s="1" t="s">
        <v>15026</v>
      </c>
      <c r="E2513">
        <v>1</v>
      </c>
      <c r="F2513">
        <v>1</v>
      </c>
      <c r="G2513" t="str">
        <f>HYPERLINK("http://babel.hathitrust.org/cgi/pt?id=mdp.39015005734630")</f>
        <v>http://babel.hathitrust.org/cgi/pt?id=mdp.39015005734630</v>
      </c>
      <c r="H2513" t="str">
        <f>HYPERLINK("http://catalog.hathitrust.org/Record/001902803")</f>
        <v>http://catalog.hathitrust.org/Record/001902803</v>
      </c>
      <c r="J2513" s="1">
        <v>1845</v>
      </c>
      <c r="K2513" t="s">
        <v>15027</v>
      </c>
      <c r="L2513" t="s">
        <v>15028</v>
      </c>
    </row>
    <row r="2514" spans="1:12">
      <c r="A2514" t="s">
        <v>15029</v>
      </c>
      <c r="B2514" s="1" t="s">
        <v>15030</v>
      </c>
      <c r="F2514">
        <v>1</v>
      </c>
      <c r="G2514" t="str">
        <f>HYPERLINK("http://babel.hathitrust.org/cgi/pt?id=mdp.39015016735394")</f>
        <v>http://babel.hathitrust.org/cgi/pt?id=mdp.39015016735394</v>
      </c>
      <c r="H2514" t="str">
        <f>HYPERLINK("http://catalog.hathitrust.org/Record/001902807")</f>
        <v>http://catalog.hathitrust.org/Record/001902807</v>
      </c>
      <c r="J2514" s="1">
        <v>1837</v>
      </c>
      <c r="K2514" t="s">
        <v>15031</v>
      </c>
      <c r="L2514" t="s">
        <v>15032</v>
      </c>
    </row>
    <row r="2515" spans="1:12">
      <c r="A2515" t="s">
        <v>15033</v>
      </c>
      <c r="B2515" s="1" t="s">
        <v>15034</v>
      </c>
      <c r="E2515">
        <v>1</v>
      </c>
      <c r="G2515" t="str">
        <f>HYPERLINK("http://babel.hathitrust.org/cgi/pt?id=mdp.39015004808856")</f>
        <v>http://babel.hathitrust.org/cgi/pt?id=mdp.39015004808856</v>
      </c>
      <c r="H2515" t="str">
        <f>HYPERLINK("http://catalog.hathitrust.org/Record/001902808")</f>
        <v>http://catalog.hathitrust.org/Record/001902808</v>
      </c>
      <c r="J2515" s="1">
        <v>1902</v>
      </c>
      <c r="K2515" t="s">
        <v>15035</v>
      </c>
      <c r="L2515" t="s">
        <v>18982</v>
      </c>
    </row>
    <row r="2516" spans="1:12">
      <c r="A2516" t="s">
        <v>15036</v>
      </c>
      <c r="B2516" s="1" t="s">
        <v>15037</v>
      </c>
      <c r="F2516">
        <v>1</v>
      </c>
      <c r="G2516" t="str">
        <f>HYPERLINK("http://babel.hathitrust.org/cgi/pt?id=mdp.39015005734440")</f>
        <v>http://babel.hathitrust.org/cgi/pt?id=mdp.39015005734440</v>
      </c>
      <c r="H2516" t="str">
        <f>HYPERLINK("http://catalog.hathitrust.org/Record/001902814")</f>
        <v>http://catalog.hathitrust.org/Record/001902814</v>
      </c>
      <c r="J2516" s="1">
        <v>1835</v>
      </c>
      <c r="K2516" t="s">
        <v>15674</v>
      </c>
      <c r="L2516" t="s">
        <v>15675</v>
      </c>
    </row>
    <row r="2517" spans="1:12">
      <c r="A2517" t="s">
        <v>15038</v>
      </c>
      <c r="B2517" s="1" t="s">
        <v>15039</v>
      </c>
      <c r="F2517">
        <v>1</v>
      </c>
      <c r="G2517" t="str">
        <f>HYPERLINK("http://babel.hathitrust.org/cgi/pt?id=mdp.39015008420690")</f>
        <v>http://babel.hathitrust.org/cgi/pt?id=mdp.39015008420690</v>
      </c>
      <c r="H2517" t="str">
        <f>HYPERLINK("http://catalog.hathitrust.org/Record/001902815")</f>
        <v>http://catalog.hathitrust.org/Record/001902815</v>
      </c>
      <c r="J2517" s="1">
        <v>1911</v>
      </c>
      <c r="K2517" t="s">
        <v>14953</v>
      </c>
      <c r="L2517" t="s">
        <v>15675</v>
      </c>
    </row>
    <row r="2518" spans="1:12">
      <c r="A2518" t="s">
        <v>14954</v>
      </c>
      <c r="B2518" s="1" t="s">
        <v>14955</v>
      </c>
      <c r="F2518">
        <v>1</v>
      </c>
      <c r="G2518" t="str">
        <f>HYPERLINK("http://babel.hathitrust.org/cgi/pt?id=mdp.39015030925229")</f>
        <v>http://babel.hathitrust.org/cgi/pt?id=mdp.39015030925229</v>
      </c>
      <c r="H2518" t="str">
        <f>HYPERLINK("http://catalog.hathitrust.org/Record/001902816")</f>
        <v>http://catalog.hathitrust.org/Record/001902816</v>
      </c>
      <c r="J2518" s="1">
        <v>1889</v>
      </c>
      <c r="K2518" t="s">
        <v>14956</v>
      </c>
      <c r="L2518" t="s">
        <v>14957</v>
      </c>
    </row>
    <row r="2519" spans="1:12">
      <c r="A2519" t="s">
        <v>14958</v>
      </c>
      <c r="B2519" s="1" t="s">
        <v>14959</v>
      </c>
      <c r="F2519">
        <v>1</v>
      </c>
      <c r="G2519" t="str">
        <f>HYPERLINK("http://babel.hathitrust.org/cgi/pt?id=umn.31951002319452q")</f>
        <v>http://babel.hathitrust.org/cgi/pt?id=umn.31951002319452q</v>
      </c>
      <c r="H2519" t="str">
        <f>HYPERLINK("http://catalog.hathitrust.org/Record/001902818")</f>
        <v>http://catalog.hathitrust.org/Record/001902818</v>
      </c>
      <c r="J2519" s="1">
        <v>1922</v>
      </c>
      <c r="K2519" t="s">
        <v>14960</v>
      </c>
      <c r="L2519" t="s">
        <v>16427</v>
      </c>
    </row>
    <row r="2520" spans="1:12">
      <c r="A2520" t="s">
        <v>14961</v>
      </c>
      <c r="B2520" s="1" t="s">
        <v>14962</v>
      </c>
      <c r="F2520">
        <v>1</v>
      </c>
      <c r="G2520" t="str">
        <f>HYPERLINK("http://babel.hathitrust.org/cgi/pt?id=mdp.39015065928775")</f>
        <v>http://babel.hathitrust.org/cgi/pt?id=mdp.39015065928775</v>
      </c>
      <c r="H2520" t="str">
        <f>HYPERLINK("http://catalog.hathitrust.org/Record/001902837")</f>
        <v>http://catalog.hathitrust.org/Record/001902837</v>
      </c>
      <c r="J2520" s="1">
        <v>1754</v>
      </c>
      <c r="K2520" t="s">
        <v>14963</v>
      </c>
      <c r="L2520" t="s">
        <v>14964</v>
      </c>
    </row>
    <row r="2521" spans="1:12">
      <c r="A2521" t="s">
        <v>14965</v>
      </c>
      <c r="B2521" s="1" t="s">
        <v>14966</v>
      </c>
      <c r="F2521">
        <v>1</v>
      </c>
      <c r="G2521" t="str">
        <f>HYPERLINK("http://babel.hathitrust.org/cgi/pt?id=mdp.39015016734504")</f>
        <v>http://babel.hathitrust.org/cgi/pt?id=mdp.39015016734504</v>
      </c>
      <c r="H2521" t="str">
        <f>HYPERLINK("http://catalog.hathitrust.org/Record/001902851")</f>
        <v>http://catalog.hathitrust.org/Record/001902851</v>
      </c>
      <c r="J2521" s="1">
        <v>1917</v>
      </c>
      <c r="K2521" t="s">
        <v>14967</v>
      </c>
      <c r="L2521" t="s">
        <v>14968</v>
      </c>
    </row>
    <row r="2522" spans="1:12">
      <c r="A2522" t="s">
        <v>14969</v>
      </c>
      <c r="B2522" s="1" t="s">
        <v>14970</v>
      </c>
      <c r="D2522">
        <v>1</v>
      </c>
      <c r="G2522" t="str">
        <f>HYPERLINK("http://babel.hathitrust.org/cgi/pt?id=mdp.39015030924255")</f>
        <v>http://babel.hathitrust.org/cgi/pt?id=mdp.39015030924255</v>
      </c>
      <c r="H2522" t="str">
        <f>HYPERLINK("http://catalog.hathitrust.org/Record/001902852")</f>
        <v>http://catalog.hathitrust.org/Record/001902852</v>
      </c>
      <c r="J2522" s="1">
        <v>1909</v>
      </c>
      <c r="K2522" t="s">
        <v>14971</v>
      </c>
      <c r="L2522" t="s">
        <v>14968</v>
      </c>
    </row>
    <row r="2523" spans="1:12">
      <c r="A2523" t="s">
        <v>14972</v>
      </c>
      <c r="B2523" s="1" t="s">
        <v>14973</v>
      </c>
      <c r="F2523">
        <v>1</v>
      </c>
      <c r="G2523" t="str">
        <f>HYPERLINK("http://babel.hathitrust.org/cgi/pt?id=mdp.39015030924271")</f>
        <v>http://babel.hathitrust.org/cgi/pt?id=mdp.39015030924271</v>
      </c>
      <c r="H2523" t="str">
        <f>HYPERLINK("http://catalog.hathitrust.org/Record/001902853")</f>
        <v>http://catalog.hathitrust.org/Record/001902853</v>
      </c>
      <c r="J2523" s="1">
        <v>1909</v>
      </c>
      <c r="K2523" t="s">
        <v>14974</v>
      </c>
      <c r="L2523" t="s">
        <v>14975</v>
      </c>
    </row>
    <row r="2524" spans="1:12">
      <c r="A2524" t="s">
        <v>14976</v>
      </c>
      <c r="B2524" s="1" t="s">
        <v>14977</v>
      </c>
      <c r="F2524">
        <v>1</v>
      </c>
      <c r="G2524" t="str">
        <f>HYPERLINK("http://babel.hathitrust.org/cgi/pt?id=mdp.39015001570533")</f>
        <v>http://babel.hathitrust.org/cgi/pt?id=mdp.39015001570533</v>
      </c>
      <c r="H2524" t="str">
        <f>HYPERLINK("http://catalog.hathitrust.org/Record/001902857")</f>
        <v>http://catalog.hathitrust.org/Record/001902857</v>
      </c>
      <c r="J2524" s="1">
        <v>1913</v>
      </c>
      <c r="K2524" t="s">
        <v>14978</v>
      </c>
      <c r="L2524" t="s">
        <v>14979</v>
      </c>
    </row>
    <row r="2525" spans="1:12">
      <c r="A2525" t="s">
        <v>14980</v>
      </c>
      <c r="B2525" s="1" t="s">
        <v>14977</v>
      </c>
      <c r="F2525">
        <v>1</v>
      </c>
      <c r="G2525" t="str">
        <f>HYPERLINK("http://babel.hathitrust.org/cgi/pt?id=uc1.b625584")</f>
        <v>http://babel.hathitrust.org/cgi/pt?id=uc1.b625584</v>
      </c>
      <c r="H2525" t="str">
        <f>HYPERLINK("http://catalog.hathitrust.org/Record/001902857")</f>
        <v>http://catalog.hathitrust.org/Record/001902857</v>
      </c>
      <c r="J2525" s="1">
        <v>1913</v>
      </c>
      <c r="K2525" t="s">
        <v>14978</v>
      </c>
      <c r="L2525" t="s">
        <v>14979</v>
      </c>
    </row>
    <row r="2526" spans="1:12">
      <c r="A2526" t="s">
        <v>14981</v>
      </c>
      <c r="B2526" s="1" t="s">
        <v>14977</v>
      </c>
      <c r="F2526">
        <v>1</v>
      </c>
      <c r="G2526" t="str">
        <f>HYPERLINK("http://babel.hathitrust.org/cgi/pt?id=uc2.ark:/13960/t6b27w31g")</f>
        <v>http://babel.hathitrust.org/cgi/pt?id=uc2.ark:/13960/t6b27w31g</v>
      </c>
      <c r="H2526" t="str">
        <f>HYPERLINK("http://catalog.hathitrust.org/Record/001902857")</f>
        <v>http://catalog.hathitrust.org/Record/001902857</v>
      </c>
      <c r="J2526" s="1">
        <v>1913</v>
      </c>
      <c r="K2526" t="s">
        <v>14978</v>
      </c>
      <c r="L2526" t="s">
        <v>14979</v>
      </c>
    </row>
    <row r="2527" spans="1:12">
      <c r="A2527" t="s">
        <v>14982</v>
      </c>
      <c r="B2527" s="1" t="s">
        <v>14983</v>
      </c>
      <c r="E2527">
        <v>1</v>
      </c>
      <c r="G2527" t="str">
        <f>HYPERLINK("http://babel.hathitrust.org/cgi/pt?id=mdp.39015001570541")</f>
        <v>http://babel.hathitrust.org/cgi/pt?id=mdp.39015001570541</v>
      </c>
      <c r="H2527" t="str">
        <f>HYPERLINK("http://catalog.hathitrust.org/Record/001902860")</f>
        <v>http://catalog.hathitrust.org/Record/001902860</v>
      </c>
      <c r="J2527" s="1">
        <v>1899</v>
      </c>
      <c r="K2527" t="s">
        <v>14984</v>
      </c>
      <c r="L2527" t="s">
        <v>14985</v>
      </c>
    </row>
    <row r="2528" spans="1:12">
      <c r="A2528" t="s">
        <v>14986</v>
      </c>
      <c r="B2528" s="1" t="s">
        <v>14987</v>
      </c>
      <c r="F2528">
        <v>1</v>
      </c>
      <c r="G2528" t="str">
        <f>HYPERLINK("http://babel.hathitrust.org/cgi/pt?id=mdp.39015001570772")</f>
        <v>http://babel.hathitrust.org/cgi/pt?id=mdp.39015001570772</v>
      </c>
      <c r="H2528" t="str">
        <f>HYPERLINK("http://catalog.hathitrust.org/Record/001902869")</f>
        <v>http://catalog.hathitrust.org/Record/001902869</v>
      </c>
      <c r="J2528" s="1">
        <v>1949</v>
      </c>
      <c r="K2528" t="s">
        <v>14988</v>
      </c>
      <c r="L2528" t="s">
        <v>14989</v>
      </c>
    </row>
    <row r="2529" spans="1:12">
      <c r="A2529" t="s">
        <v>14990</v>
      </c>
      <c r="B2529" s="1" t="s">
        <v>14991</v>
      </c>
      <c r="F2529">
        <v>1</v>
      </c>
      <c r="G2529" t="str">
        <f>HYPERLINK("http://babel.hathitrust.org/cgi/pt?id=mdp.39015011051912")</f>
        <v>http://babel.hathitrust.org/cgi/pt?id=mdp.39015011051912</v>
      </c>
      <c r="H2529" t="str">
        <f>HYPERLINK("http://catalog.hathitrust.org/Record/001902871")</f>
        <v>http://catalog.hathitrust.org/Record/001902871</v>
      </c>
      <c r="J2529" s="1">
        <v>1907</v>
      </c>
      <c r="K2529" t="s">
        <v>14992</v>
      </c>
      <c r="L2529" t="s">
        <v>14993</v>
      </c>
    </row>
    <row r="2530" spans="1:12">
      <c r="A2530" t="s">
        <v>14994</v>
      </c>
      <c r="B2530" s="1" t="s">
        <v>14995</v>
      </c>
      <c r="F2530">
        <v>1</v>
      </c>
      <c r="G2530" t="str">
        <f>HYPERLINK("http://babel.hathitrust.org/cgi/pt?id=mdp.39015001569261")</f>
        <v>http://babel.hathitrust.org/cgi/pt?id=mdp.39015001569261</v>
      </c>
      <c r="H2530" t="str">
        <f>HYPERLINK("http://catalog.hathitrust.org/Record/001902875")</f>
        <v>http://catalog.hathitrust.org/Record/001902875</v>
      </c>
      <c r="J2530" s="1">
        <v>1934</v>
      </c>
      <c r="K2530" t="s">
        <v>14996</v>
      </c>
      <c r="L2530" t="s">
        <v>14997</v>
      </c>
    </row>
    <row r="2531" spans="1:12">
      <c r="A2531" t="s">
        <v>14998</v>
      </c>
      <c r="B2531" s="1" t="s">
        <v>14995</v>
      </c>
      <c r="F2531">
        <v>1</v>
      </c>
      <c r="G2531" t="str">
        <f>HYPERLINK("http://babel.hathitrust.org/cgi/pt?id=mdp.39015002271040")</f>
        <v>http://babel.hathitrust.org/cgi/pt?id=mdp.39015002271040</v>
      </c>
      <c r="H2531" t="str">
        <f>HYPERLINK("http://catalog.hathitrust.org/Record/001902875")</f>
        <v>http://catalog.hathitrust.org/Record/001902875</v>
      </c>
      <c r="J2531" s="1">
        <v>1934</v>
      </c>
      <c r="K2531" t="s">
        <v>14996</v>
      </c>
      <c r="L2531" t="s">
        <v>14997</v>
      </c>
    </row>
    <row r="2532" spans="1:12">
      <c r="A2532" t="s">
        <v>14999</v>
      </c>
      <c r="B2532" s="1" t="s">
        <v>15000</v>
      </c>
      <c r="F2532">
        <v>1</v>
      </c>
      <c r="G2532" t="str">
        <f>HYPERLINK("http://babel.hathitrust.org/cgi/pt?id=mdp.39015030997160")</f>
        <v>http://babel.hathitrust.org/cgi/pt?id=mdp.39015030997160</v>
      </c>
      <c r="H2532" t="str">
        <f>HYPERLINK("http://catalog.hathitrust.org/Record/001902884")</f>
        <v>http://catalog.hathitrust.org/Record/001902884</v>
      </c>
      <c r="J2532" s="1">
        <v>1904</v>
      </c>
      <c r="K2532" t="s">
        <v>14922</v>
      </c>
    </row>
    <row r="2533" spans="1:12">
      <c r="A2533" t="s">
        <v>14923</v>
      </c>
      <c r="B2533" s="1" t="s">
        <v>15000</v>
      </c>
      <c r="F2533">
        <v>1</v>
      </c>
      <c r="G2533" t="str">
        <f>HYPERLINK("http://babel.hathitrust.org/cgi/pt?id=mdp.39015032019997")</f>
        <v>http://babel.hathitrust.org/cgi/pt?id=mdp.39015032019997</v>
      </c>
      <c r="H2533" t="str">
        <f>HYPERLINK("http://catalog.hathitrust.org/Record/001902884")</f>
        <v>http://catalog.hathitrust.org/Record/001902884</v>
      </c>
      <c r="J2533" s="1">
        <v>1904</v>
      </c>
      <c r="K2533" t="s">
        <v>14922</v>
      </c>
    </row>
    <row r="2534" spans="1:12">
      <c r="A2534" t="s">
        <v>14924</v>
      </c>
      <c r="B2534" s="1" t="s">
        <v>14925</v>
      </c>
      <c r="F2534">
        <v>1</v>
      </c>
      <c r="G2534" t="str">
        <f>HYPERLINK("http://babel.hathitrust.org/cgi/pt?id=mdp.39015030997020")</f>
        <v>http://babel.hathitrust.org/cgi/pt?id=mdp.39015030997020</v>
      </c>
      <c r="H2534" t="str">
        <f>HYPERLINK("http://catalog.hathitrust.org/Record/001902885")</f>
        <v>http://catalog.hathitrust.org/Record/001902885</v>
      </c>
      <c r="J2534" s="1">
        <v>1917</v>
      </c>
      <c r="K2534" t="s">
        <v>14926</v>
      </c>
      <c r="L2534" t="s">
        <v>17190</v>
      </c>
    </row>
    <row r="2535" spans="1:12">
      <c r="A2535" t="s">
        <v>14927</v>
      </c>
      <c r="B2535" s="1" t="s">
        <v>14928</v>
      </c>
      <c r="F2535">
        <v>1</v>
      </c>
      <c r="G2535" t="str">
        <f>HYPERLINK("http://babel.hathitrust.org/cgi/pt?id=mdp.39015066082317")</f>
        <v>http://babel.hathitrust.org/cgi/pt?id=mdp.39015066082317</v>
      </c>
      <c r="H2535" t="str">
        <f>HYPERLINK("http://catalog.hathitrust.org/Record/001902887")</f>
        <v>http://catalog.hathitrust.org/Record/001902887</v>
      </c>
      <c r="J2535" s="1">
        <v>1922</v>
      </c>
      <c r="K2535" t="s">
        <v>14929</v>
      </c>
      <c r="L2535" t="s">
        <v>17190</v>
      </c>
    </row>
    <row r="2536" spans="1:12">
      <c r="A2536" t="s">
        <v>14930</v>
      </c>
      <c r="B2536" s="1" t="s">
        <v>14931</v>
      </c>
      <c r="F2536">
        <v>1</v>
      </c>
      <c r="G2536" t="str">
        <f>HYPERLINK("http://babel.hathitrust.org/cgi/pt?id=mdp.39015004290139")</f>
        <v>http://babel.hathitrust.org/cgi/pt?id=mdp.39015004290139</v>
      </c>
      <c r="H2536" t="str">
        <f>HYPERLINK("http://catalog.hathitrust.org/Record/001902900")</f>
        <v>http://catalog.hathitrust.org/Record/001902900</v>
      </c>
      <c r="J2536" s="1">
        <v>1833</v>
      </c>
      <c r="K2536" t="s">
        <v>14932</v>
      </c>
      <c r="L2536" t="s">
        <v>16785</v>
      </c>
    </row>
    <row r="2537" spans="1:12">
      <c r="A2537" t="s">
        <v>14933</v>
      </c>
      <c r="B2537" s="1" t="s">
        <v>14934</v>
      </c>
      <c r="F2537">
        <v>1</v>
      </c>
      <c r="G2537" t="str">
        <f>HYPERLINK("http://babel.hathitrust.org/cgi/pt?id=mdp.39015016734561")</f>
        <v>http://babel.hathitrust.org/cgi/pt?id=mdp.39015016734561</v>
      </c>
      <c r="H2537" t="str">
        <f>HYPERLINK("http://catalog.hathitrust.org/Record/001902901")</f>
        <v>http://catalog.hathitrust.org/Record/001902901</v>
      </c>
      <c r="J2537" s="1">
        <v>1834</v>
      </c>
      <c r="K2537" t="s">
        <v>14935</v>
      </c>
      <c r="L2537" t="s">
        <v>16785</v>
      </c>
    </row>
    <row r="2538" spans="1:12">
      <c r="A2538" t="s">
        <v>14936</v>
      </c>
      <c r="B2538" s="1" t="s">
        <v>14937</v>
      </c>
      <c r="F2538">
        <v>1</v>
      </c>
      <c r="G2538" t="str">
        <f>HYPERLINK("http://babel.hathitrust.org/cgi/pt?id=mdp.39015016731609")</f>
        <v>http://babel.hathitrust.org/cgi/pt?id=mdp.39015016731609</v>
      </c>
      <c r="H2538" t="str">
        <f>HYPERLINK("http://catalog.hathitrust.org/Record/001902902")</f>
        <v>http://catalog.hathitrust.org/Record/001902902</v>
      </c>
      <c r="J2538" s="1">
        <v>1840</v>
      </c>
      <c r="K2538" t="s">
        <v>14932</v>
      </c>
      <c r="L2538" t="s">
        <v>16785</v>
      </c>
    </row>
    <row r="2539" spans="1:12">
      <c r="A2539" t="s">
        <v>14938</v>
      </c>
      <c r="B2539" s="1" t="s">
        <v>14939</v>
      </c>
      <c r="F2539">
        <v>1</v>
      </c>
      <c r="G2539" t="str">
        <f>HYPERLINK("http://babel.hathitrust.org/cgi/pt?id=mdp.39015030999885")</f>
        <v>http://babel.hathitrust.org/cgi/pt?id=mdp.39015030999885</v>
      </c>
      <c r="H2539" t="str">
        <f>HYPERLINK("http://catalog.hathitrust.org/Record/001902935")</f>
        <v>http://catalog.hathitrust.org/Record/001902935</v>
      </c>
      <c r="J2539" s="1">
        <v>1847</v>
      </c>
      <c r="K2539" t="s">
        <v>14940</v>
      </c>
      <c r="L2539" t="s">
        <v>14941</v>
      </c>
    </row>
    <row r="2540" spans="1:12">
      <c r="A2540" t="s">
        <v>14942</v>
      </c>
      <c r="B2540" s="1" t="s">
        <v>14943</v>
      </c>
      <c r="E2540">
        <v>1</v>
      </c>
      <c r="G2540" t="str">
        <f>HYPERLINK("http://babel.hathitrust.org/cgi/pt?id=nyp.33433082310941")</f>
        <v>http://babel.hathitrust.org/cgi/pt?id=nyp.33433082310941</v>
      </c>
      <c r="H2540" t="str">
        <f>HYPERLINK("http://catalog.hathitrust.org/Record/001902940")</f>
        <v>http://catalog.hathitrust.org/Record/001902940</v>
      </c>
      <c r="I2540" s="1" t="s">
        <v>20799</v>
      </c>
      <c r="J2540" s="1">
        <v>1874</v>
      </c>
      <c r="K2540" t="s">
        <v>14944</v>
      </c>
      <c r="L2540" t="s">
        <v>14945</v>
      </c>
    </row>
    <row r="2541" spans="1:12">
      <c r="A2541" t="s">
        <v>14946</v>
      </c>
      <c r="B2541" s="1" t="s">
        <v>14943</v>
      </c>
      <c r="E2541">
        <v>1</v>
      </c>
      <c r="G2541" t="str">
        <f>HYPERLINK("http://babel.hathitrust.org/cgi/pt?id=nyp.33433082310958")</f>
        <v>http://babel.hathitrust.org/cgi/pt?id=nyp.33433082310958</v>
      </c>
      <c r="H2541" t="str">
        <f>HYPERLINK("http://catalog.hathitrust.org/Record/001902940")</f>
        <v>http://catalog.hathitrust.org/Record/001902940</v>
      </c>
      <c r="I2541" s="1" t="s">
        <v>20796</v>
      </c>
      <c r="J2541" s="1">
        <v>1874</v>
      </c>
      <c r="K2541" t="s">
        <v>14944</v>
      </c>
      <c r="L2541" t="s">
        <v>14945</v>
      </c>
    </row>
    <row r="2542" spans="1:12">
      <c r="A2542" t="s">
        <v>14947</v>
      </c>
      <c r="B2542" s="1" t="s">
        <v>14943</v>
      </c>
      <c r="E2542">
        <v>1</v>
      </c>
      <c r="G2542" t="str">
        <f>HYPERLINK("http://babel.hathitrust.org/cgi/pt?id=nyp.33433082310966")</f>
        <v>http://babel.hathitrust.org/cgi/pt?id=nyp.33433082310966</v>
      </c>
      <c r="H2542" t="str">
        <f>HYPERLINK("http://catalog.hathitrust.org/Record/001902940")</f>
        <v>http://catalog.hathitrust.org/Record/001902940</v>
      </c>
      <c r="I2542" s="1" t="s">
        <v>20801</v>
      </c>
      <c r="J2542" s="1">
        <v>1874</v>
      </c>
      <c r="K2542" t="s">
        <v>14944</v>
      </c>
      <c r="L2542" t="s">
        <v>14945</v>
      </c>
    </row>
    <row r="2543" spans="1:12">
      <c r="A2543" t="s">
        <v>14948</v>
      </c>
      <c r="B2543" s="1" t="s">
        <v>14949</v>
      </c>
      <c r="F2543">
        <v>1</v>
      </c>
      <c r="G2543" t="str">
        <f>HYPERLINK("http://babel.hathitrust.org/cgi/pt?id=mdp.39015019961039")</f>
        <v>http://babel.hathitrust.org/cgi/pt?id=mdp.39015019961039</v>
      </c>
      <c r="H2543" t="str">
        <f>HYPERLINK("http://catalog.hathitrust.org/Record/001902943")</f>
        <v>http://catalog.hathitrust.org/Record/001902943</v>
      </c>
      <c r="J2543" s="1">
        <v>1954</v>
      </c>
      <c r="K2543" t="s">
        <v>14950</v>
      </c>
    </row>
    <row r="2544" spans="1:12">
      <c r="A2544" t="s">
        <v>14951</v>
      </c>
      <c r="B2544" s="1" t="s">
        <v>14952</v>
      </c>
      <c r="F2544">
        <v>1</v>
      </c>
      <c r="G2544" t="str">
        <f>HYPERLINK("http://babel.hathitrust.org/cgi/pt?id=mdp.39015009062848")</f>
        <v>http://babel.hathitrust.org/cgi/pt?id=mdp.39015009062848</v>
      </c>
      <c r="H2544" t="str">
        <f>HYPERLINK("http://catalog.hathitrust.org/Record/001902947")</f>
        <v>http://catalog.hathitrust.org/Record/001902947</v>
      </c>
      <c r="J2544" s="1">
        <v>1910</v>
      </c>
      <c r="K2544" t="s">
        <v>14871</v>
      </c>
      <c r="L2544" t="s">
        <v>14872</v>
      </c>
    </row>
    <row r="2545" spans="1:12">
      <c r="A2545" t="s">
        <v>14873</v>
      </c>
      <c r="B2545" s="1" t="s">
        <v>14952</v>
      </c>
      <c r="F2545">
        <v>1</v>
      </c>
      <c r="G2545" t="str">
        <f>HYPERLINK("http://babel.hathitrust.org/cgi/pt?id=uc2.ark:/13960/t4qj7f24s")</f>
        <v>http://babel.hathitrust.org/cgi/pt?id=uc2.ark:/13960/t4qj7f24s</v>
      </c>
      <c r="H2545" t="str">
        <f>HYPERLINK("http://catalog.hathitrust.org/Record/001902947")</f>
        <v>http://catalog.hathitrust.org/Record/001902947</v>
      </c>
      <c r="J2545" s="1">
        <v>1910</v>
      </c>
      <c r="K2545" t="s">
        <v>14871</v>
      </c>
      <c r="L2545" t="s">
        <v>14872</v>
      </c>
    </row>
    <row r="2546" spans="1:12">
      <c r="A2546" t="s">
        <v>14874</v>
      </c>
      <c r="B2546" s="1" t="s">
        <v>14875</v>
      </c>
      <c r="D2546">
        <v>1</v>
      </c>
      <c r="G2546" t="str">
        <f>HYPERLINK("http://babel.hathitrust.org/cgi/pt?id=mdp.39015009382097")</f>
        <v>http://babel.hathitrust.org/cgi/pt?id=mdp.39015009382097</v>
      </c>
      <c r="H2546" t="str">
        <f>HYPERLINK("http://catalog.hathitrust.org/Record/001902950")</f>
        <v>http://catalog.hathitrust.org/Record/001902950</v>
      </c>
      <c r="J2546" s="1">
        <v>1925</v>
      </c>
      <c r="K2546" t="s">
        <v>14876</v>
      </c>
      <c r="L2546" t="s">
        <v>18468</v>
      </c>
    </row>
    <row r="2547" spans="1:12">
      <c r="A2547" t="s">
        <v>14877</v>
      </c>
      <c r="B2547" s="1" t="s">
        <v>14875</v>
      </c>
      <c r="F2547">
        <v>1</v>
      </c>
      <c r="G2547" t="str">
        <f>HYPERLINK("http://babel.hathitrust.org/cgi/pt?id=mdp.39015028783515")</f>
        <v>http://babel.hathitrust.org/cgi/pt?id=mdp.39015028783515</v>
      </c>
      <c r="H2547" t="str">
        <f>HYPERLINK("http://catalog.hathitrust.org/Record/001902950")</f>
        <v>http://catalog.hathitrust.org/Record/001902950</v>
      </c>
      <c r="J2547" s="1">
        <v>1925</v>
      </c>
      <c r="K2547" t="s">
        <v>14876</v>
      </c>
      <c r="L2547" t="s">
        <v>18468</v>
      </c>
    </row>
    <row r="2548" spans="1:12">
      <c r="A2548" t="s">
        <v>14878</v>
      </c>
      <c r="B2548" s="1" t="s">
        <v>14875</v>
      </c>
      <c r="F2548">
        <v>1</v>
      </c>
      <c r="G2548" t="str">
        <f>HYPERLINK("http://babel.hathitrust.org/cgi/pt?id=mdp.39015030996956")</f>
        <v>http://babel.hathitrust.org/cgi/pt?id=mdp.39015030996956</v>
      </c>
      <c r="H2548" t="str">
        <f>HYPERLINK("http://catalog.hathitrust.org/Record/001902950")</f>
        <v>http://catalog.hathitrust.org/Record/001902950</v>
      </c>
      <c r="J2548" s="1">
        <v>1925</v>
      </c>
      <c r="K2548" t="s">
        <v>14876</v>
      </c>
      <c r="L2548" t="s">
        <v>18468</v>
      </c>
    </row>
    <row r="2549" spans="1:12">
      <c r="A2549" t="s">
        <v>14879</v>
      </c>
      <c r="B2549" s="1" t="s">
        <v>14880</v>
      </c>
      <c r="D2549">
        <v>1</v>
      </c>
      <c r="G2549" t="str">
        <f>HYPERLINK("http://babel.hathitrust.org/cgi/pt?id=mdp.39015016731880")</f>
        <v>http://babel.hathitrust.org/cgi/pt?id=mdp.39015016731880</v>
      </c>
      <c r="H2549" t="str">
        <f>HYPERLINK("http://catalog.hathitrust.org/Record/001902959")</f>
        <v>http://catalog.hathitrust.org/Record/001902959</v>
      </c>
      <c r="J2549" s="1">
        <v>1832</v>
      </c>
      <c r="K2549" t="s">
        <v>20042</v>
      </c>
      <c r="L2549" t="s">
        <v>20043</v>
      </c>
    </row>
    <row r="2550" spans="1:12">
      <c r="A2550" t="s">
        <v>14881</v>
      </c>
      <c r="B2550" s="1" t="s">
        <v>14882</v>
      </c>
      <c r="F2550">
        <v>1</v>
      </c>
      <c r="G2550" t="str">
        <f>HYPERLINK("http://babel.hathitrust.org/cgi/pt?id=mdp.39015066083844")</f>
        <v>http://babel.hathitrust.org/cgi/pt?id=mdp.39015066083844</v>
      </c>
      <c r="H2550" t="str">
        <f>HYPERLINK("http://catalog.hathitrust.org/Record/001902961")</f>
        <v>http://catalog.hathitrust.org/Record/001902961</v>
      </c>
      <c r="J2550" s="1">
        <v>1952</v>
      </c>
      <c r="K2550" t="s">
        <v>14883</v>
      </c>
      <c r="L2550" t="s">
        <v>14884</v>
      </c>
    </row>
    <row r="2551" spans="1:12">
      <c r="A2551" t="s">
        <v>14885</v>
      </c>
      <c r="B2551" s="1" t="s">
        <v>14882</v>
      </c>
      <c r="F2551">
        <v>1</v>
      </c>
      <c r="G2551" t="str">
        <f>HYPERLINK("http://babel.hathitrust.org/cgi/pt?id=uc1.b604921")</f>
        <v>http://babel.hathitrust.org/cgi/pt?id=uc1.b604921</v>
      </c>
      <c r="H2551" t="str">
        <f>HYPERLINK("http://catalog.hathitrust.org/Record/001902961")</f>
        <v>http://catalog.hathitrust.org/Record/001902961</v>
      </c>
      <c r="J2551" s="1">
        <v>1952</v>
      </c>
      <c r="K2551" t="s">
        <v>14883</v>
      </c>
      <c r="L2551" t="s">
        <v>14884</v>
      </c>
    </row>
    <row r="2552" spans="1:12">
      <c r="A2552" t="s">
        <v>14886</v>
      </c>
      <c r="B2552" s="1" t="s">
        <v>14887</v>
      </c>
      <c r="F2552">
        <v>1</v>
      </c>
      <c r="G2552" t="str">
        <f>HYPERLINK("http://babel.hathitrust.org/cgi/pt?id=mdp.39015009309363")</f>
        <v>http://babel.hathitrust.org/cgi/pt?id=mdp.39015009309363</v>
      </c>
      <c r="H2552" t="str">
        <f>HYPERLINK("http://catalog.hathitrust.org/Record/001902988")</f>
        <v>http://catalog.hathitrust.org/Record/001902988</v>
      </c>
      <c r="J2552" s="1">
        <v>1963</v>
      </c>
      <c r="K2552" t="s">
        <v>14888</v>
      </c>
      <c r="L2552" t="s">
        <v>14889</v>
      </c>
    </row>
    <row r="2553" spans="1:12">
      <c r="A2553" t="s">
        <v>14890</v>
      </c>
      <c r="B2553" s="1" t="s">
        <v>14891</v>
      </c>
      <c r="F2553">
        <v>1</v>
      </c>
      <c r="G2553" t="str">
        <f>HYPERLINK("http://babel.hathitrust.org/cgi/pt?id=mdp.39015019354110")</f>
        <v>http://babel.hathitrust.org/cgi/pt?id=mdp.39015019354110</v>
      </c>
      <c r="H2553" t="str">
        <f>HYPERLINK("http://catalog.hathitrust.org/Record/001903002")</f>
        <v>http://catalog.hathitrust.org/Record/001903002</v>
      </c>
      <c r="I2553" s="1" t="s">
        <v>20755</v>
      </c>
      <c r="J2553" s="1">
        <v>1912</v>
      </c>
      <c r="K2553" t="s">
        <v>16403</v>
      </c>
      <c r="L2553" t="s">
        <v>16984</v>
      </c>
    </row>
    <row r="2554" spans="1:12">
      <c r="A2554" t="s">
        <v>14892</v>
      </c>
      <c r="B2554" s="1" t="s">
        <v>14893</v>
      </c>
      <c r="E2554">
        <v>1</v>
      </c>
      <c r="F2554">
        <v>1</v>
      </c>
      <c r="G2554" t="str">
        <f>HYPERLINK("http://babel.hathitrust.org/cgi/pt?id=mdp.39015030925997")</f>
        <v>http://babel.hathitrust.org/cgi/pt?id=mdp.39015030925997</v>
      </c>
      <c r="H2554" t="str">
        <f>HYPERLINK("http://catalog.hathitrust.org/Record/001903025")</f>
        <v>http://catalog.hathitrust.org/Record/001903025</v>
      </c>
      <c r="J2554" s="1">
        <v>1890</v>
      </c>
      <c r="K2554" t="s">
        <v>14894</v>
      </c>
      <c r="L2554" t="s">
        <v>18477</v>
      </c>
    </row>
    <row r="2555" spans="1:12">
      <c r="A2555" t="s">
        <v>14895</v>
      </c>
      <c r="B2555" s="1" t="s">
        <v>14893</v>
      </c>
      <c r="F2555">
        <v>1</v>
      </c>
      <c r="G2555" t="str">
        <f>HYPERLINK("http://babel.hathitrust.org/cgi/pt?id=nyp.33433069242570")</f>
        <v>http://babel.hathitrust.org/cgi/pt?id=nyp.33433069242570</v>
      </c>
      <c r="H2555" t="str">
        <f>HYPERLINK("http://catalog.hathitrust.org/Record/001903025")</f>
        <v>http://catalog.hathitrust.org/Record/001903025</v>
      </c>
      <c r="J2555" s="1">
        <v>1890</v>
      </c>
      <c r="K2555" t="s">
        <v>14894</v>
      </c>
      <c r="L2555" t="s">
        <v>18477</v>
      </c>
    </row>
    <row r="2556" spans="1:12">
      <c r="A2556" t="s">
        <v>14896</v>
      </c>
      <c r="B2556" s="1" t="s">
        <v>14893</v>
      </c>
      <c r="F2556">
        <v>1</v>
      </c>
      <c r="G2556" t="str">
        <f>HYPERLINK("http://babel.hathitrust.org/cgi/pt?id=uc1.$b624846")</f>
        <v>http://babel.hathitrust.org/cgi/pt?id=uc1.$b624846</v>
      </c>
      <c r="H2556" t="str">
        <f>HYPERLINK("http://catalog.hathitrust.org/Record/001903025")</f>
        <v>http://catalog.hathitrust.org/Record/001903025</v>
      </c>
      <c r="J2556" s="1">
        <v>1890</v>
      </c>
      <c r="K2556" t="s">
        <v>14894</v>
      </c>
      <c r="L2556" t="s">
        <v>18477</v>
      </c>
    </row>
    <row r="2557" spans="1:12">
      <c r="A2557" t="s">
        <v>14897</v>
      </c>
      <c r="B2557" s="1" t="s">
        <v>14898</v>
      </c>
      <c r="F2557">
        <v>1</v>
      </c>
      <c r="G2557" t="str">
        <f>HYPERLINK("http://babel.hathitrust.org/cgi/pt?id=mdp.39015011951434")</f>
        <v>http://babel.hathitrust.org/cgi/pt?id=mdp.39015011951434</v>
      </c>
      <c r="H2557" t="str">
        <f>HYPERLINK("http://catalog.hathitrust.org/Record/001903030")</f>
        <v>http://catalog.hathitrust.org/Record/001903030</v>
      </c>
      <c r="J2557" s="1">
        <v>1904</v>
      </c>
      <c r="K2557" t="s">
        <v>14899</v>
      </c>
      <c r="L2557" t="s">
        <v>20884</v>
      </c>
    </row>
    <row r="2558" spans="1:12">
      <c r="A2558" t="s">
        <v>14900</v>
      </c>
      <c r="B2558" s="1" t="s">
        <v>14901</v>
      </c>
      <c r="E2558">
        <v>1</v>
      </c>
      <c r="G2558" t="str">
        <f>HYPERLINK("http://babel.hathitrust.org/cgi/pt?id=nnc1.1002374684")</f>
        <v>http://babel.hathitrust.org/cgi/pt?id=nnc1.1002374684</v>
      </c>
      <c r="H2558" t="str">
        <f>HYPERLINK("http://catalog.hathitrust.org/Record/001903040")</f>
        <v>http://catalog.hathitrust.org/Record/001903040</v>
      </c>
      <c r="J2558" s="1">
        <v>1758</v>
      </c>
      <c r="K2558" t="s">
        <v>14902</v>
      </c>
      <c r="L2558" t="s">
        <v>14903</v>
      </c>
    </row>
    <row r="2559" spans="1:12">
      <c r="A2559" t="s">
        <v>14904</v>
      </c>
      <c r="B2559" s="1" t="s">
        <v>14905</v>
      </c>
      <c r="F2559">
        <v>1</v>
      </c>
      <c r="G2559" t="str">
        <f>HYPERLINK("http://babel.hathitrust.org/cgi/pt?id=mdp.39015005734614")</f>
        <v>http://babel.hathitrust.org/cgi/pt?id=mdp.39015005734614</v>
      </c>
      <c r="H2559" t="str">
        <f>HYPERLINK("http://catalog.hathitrust.org/Record/001903047")</f>
        <v>http://catalog.hathitrust.org/Record/001903047</v>
      </c>
      <c r="J2559" s="1">
        <v>1852</v>
      </c>
      <c r="K2559" t="s">
        <v>14906</v>
      </c>
      <c r="L2559" t="s">
        <v>14907</v>
      </c>
    </row>
    <row r="2560" spans="1:12">
      <c r="A2560" t="s">
        <v>14908</v>
      </c>
      <c r="B2560" s="1" t="s">
        <v>14909</v>
      </c>
      <c r="E2560">
        <v>1</v>
      </c>
      <c r="F2560">
        <v>1</v>
      </c>
      <c r="G2560" t="str">
        <f>HYPERLINK("http://babel.hathitrust.org/cgi/pt?id=mdp.39015030933587")</f>
        <v>http://babel.hathitrust.org/cgi/pt?id=mdp.39015030933587</v>
      </c>
      <c r="H2560" t="str">
        <f>HYPERLINK("http://catalog.hathitrust.org/Record/001903053")</f>
        <v>http://catalog.hathitrust.org/Record/001903053</v>
      </c>
      <c r="J2560" s="1">
        <v>1894</v>
      </c>
      <c r="K2560" t="s">
        <v>14910</v>
      </c>
      <c r="L2560" t="s">
        <v>14911</v>
      </c>
    </row>
    <row r="2561" spans="1:12">
      <c r="A2561" t="s">
        <v>14912</v>
      </c>
      <c r="B2561" s="1" t="s">
        <v>14913</v>
      </c>
      <c r="F2561">
        <v>1</v>
      </c>
      <c r="G2561" t="str">
        <f>HYPERLINK("http://babel.hathitrust.org/cgi/pt?id=mdp.39015030933538")</f>
        <v>http://babel.hathitrust.org/cgi/pt?id=mdp.39015030933538</v>
      </c>
      <c r="H2561" t="str">
        <f>HYPERLINK("http://catalog.hathitrust.org/Record/001903055")</f>
        <v>http://catalog.hathitrust.org/Record/001903055</v>
      </c>
      <c r="J2561" s="1">
        <v>1909</v>
      </c>
      <c r="K2561" t="s">
        <v>14914</v>
      </c>
      <c r="L2561" t="s">
        <v>14915</v>
      </c>
    </row>
    <row r="2562" spans="1:12">
      <c r="A2562" t="s">
        <v>14916</v>
      </c>
      <c r="B2562" s="1" t="s">
        <v>14917</v>
      </c>
      <c r="F2562">
        <v>1</v>
      </c>
      <c r="G2562" t="str">
        <f>HYPERLINK("http://babel.hathitrust.org/cgi/pt?id=mdp.39015030835436")</f>
        <v>http://babel.hathitrust.org/cgi/pt?id=mdp.39015030835436</v>
      </c>
      <c r="H2562" t="str">
        <f>HYPERLINK("http://catalog.hathitrust.org/Record/001903059")</f>
        <v>http://catalog.hathitrust.org/Record/001903059</v>
      </c>
      <c r="J2562" s="1">
        <v>1909</v>
      </c>
      <c r="K2562" t="s">
        <v>14918</v>
      </c>
      <c r="L2562" t="s">
        <v>19718</v>
      </c>
    </row>
    <row r="2563" spans="1:12">
      <c r="A2563" t="s">
        <v>14919</v>
      </c>
      <c r="B2563" s="1" t="s">
        <v>14920</v>
      </c>
      <c r="F2563">
        <v>1</v>
      </c>
      <c r="G2563" t="str">
        <f>HYPERLINK("http://babel.hathitrust.org/cgi/pt?id=mdp.39015030934932")</f>
        <v>http://babel.hathitrust.org/cgi/pt?id=mdp.39015030934932</v>
      </c>
      <c r="H2563" t="str">
        <f>HYPERLINK("http://catalog.hathitrust.org/Record/001903069")</f>
        <v>http://catalog.hathitrust.org/Record/001903069</v>
      </c>
      <c r="J2563" s="1">
        <v>1909</v>
      </c>
      <c r="K2563" t="s">
        <v>14921</v>
      </c>
      <c r="L2563" t="s">
        <v>14821</v>
      </c>
    </row>
    <row r="2564" spans="1:12">
      <c r="A2564" t="s">
        <v>14822</v>
      </c>
      <c r="B2564" s="1" t="s">
        <v>14920</v>
      </c>
      <c r="F2564">
        <v>1</v>
      </c>
      <c r="G2564" t="str">
        <f>HYPERLINK("http://babel.hathitrust.org/cgi/pt?id=nyp.33433082513296")</f>
        <v>http://babel.hathitrust.org/cgi/pt?id=nyp.33433082513296</v>
      </c>
      <c r="H2564" t="str">
        <f>HYPERLINK("http://catalog.hathitrust.org/Record/001903069")</f>
        <v>http://catalog.hathitrust.org/Record/001903069</v>
      </c>
      <c r="J2564" s="1">
        <v>1909</v>
      </c>
      <c r="K2564" t="s">
        <v>14921</v>
      </c>
      <c r="L2564" t="s">
        <v>14821</v>
      </c>
    </row>
    <row r="2565" spans="1:12">
      <c r="A2565" t="s">
        <v>14823</v>
      </c>
      <c r="B2565" s="1" t="s">
        <v>14824</v>
      </c>
      <c r="E2565">
        <v>1</v>
      </c>
      <c r="F2565">
        <v>1</v>
      </c>
      <c r="G2565" t="str">
        <f>HYPERLINK("http://babel.hathitrust.org/cgi/pt?id=mdp.39015030934916")</f>
        <v>http://babel.hathitrust.org/cgi/pt?id=mdp.39015030934916</v>
      </c>
      <c r="H2565" t="str">
        <f>HYPERLINK("http://catalog.hathitrust.org/Record/001903072")</f>
        <v>http://catalog.hathitrust.org/Record/001903072</v>
      </c>
      <c r="J2565" s="1">
        <v>1913</v>
      </c>
      <c r="K2565" t="s">
        <v>14825</v>
      </c>
      <c r="L2565" t="s">
        <v>14826</v>
      </c>
    </row>
    <row r="2566" spans="1:12">
      <c r="A2566" t="s">
        <v>14827</v>
      </c>
      <c r="B2566" s="1" t="s">
        <v>14828</v>
      </c>
      <c r="E2566">
        <v>1</v>
      </c>
      <c r="F2566">
        <v>1</v>
      </c>
      <c r="G2566" t="str">
        <f>HYPERLINK("http://babel.hathitrust.org/cgi/pt?id=mdp.39015028547969")</f>
        <v>http://babel.hathitrust.org/cgi/pt?id=mdp.39015028547969</v>
      </c>
      <c r="H2566" t="str">
        <f>HYPERLINK("http://catalog.hathitrust.org/Record/001903073")</f>
        <v>http://catalog.hathitrust.org/Record/001903073</v>
      </c>
      <c r="J2566" s="1">
        <v>1919</v>
      </c>
      <c r="K2566" t="s">
        <v>14825</v>
      </c>
      <c r="L2566" t="s">
        <v>14826</v>
      </c>
    </row>
    <row r="2567" spans="1:12">
      <c r="A2567" t="s">
        <v>14829</v>
      </c>
      <c r="B2567" s="1" t="s">
        <v>14830</v>
      </c>
      <c r="E2567">
        <v>1</v>
      </c>
      <c r="F2567">
        <v>1</v>
      </c>
      <c r="G2567" t="str">
        <f>HYPERLINK("http://babel.hathitrust.org/cgi/pt?id=mdp.39015008298518")</f>
        <v>http://babel.hathitrust.org/cgi/pt?id=mdp.39015008298518</v>
      </c>
      <c r="H2567" t="str">
        <f>HYPERLINK("http://catalog.hathitrust.org/Record/001903074")</f>
        <v>http://catalog.hathitrust.org/Record/001903074</v>
      </c>
      <c r="J2567" s="1">
        <v>1919</v>
      </c>
      <c r="K2567" t="s">
        <v>14831</v>
      </c>
      <c r="L2567" t="s">
        <v>14826</v>
      </c>
    </row>
    <row r="2568" spans="1:12">
      <c r="A2568" t="s">
        <v>14832</v>
      </c>
      <c r="B2568" s="1" t="s">
        <v>14833</v>
      </c>
      <c r="F2568">
        <v>1</v>
      </c>
      <c r="G2568" t="str">
        <f>HYPERLINK("http://babel.hathitrust.org/cgi/pt?id=mdp.39015066625602")</f>
        <v>http://babel.hathitrust.org/cgi/pt?id=mdp.39015066625602</v>
      </c>
      <c r="H2568" t="str">
        <f>HYPERLINK("http://catalog.hathitrust.org/Record/001903081")</f>
        <v>http://catalog.hathitrust.org/Record/001903081</v>
      </c>
      <c r="J2568" s="1">
        <v>1706</v>
      </c>
      <c r="K2568" t="s">
        <v>14834</v>
      </c>
      <c r="L2568" t="s">
        <v>14835</v>
      </c>
    </row>
    <row r="2569" spans="1:12">
      <c r="A2569" t="s">
        <v>14836</v>
      </c>
      <c r="B2569" s="1" t="s">
        <v>14837</v>
      </c>
      <c r="D2569">
        <v>1</v>
      </c>
      <c r="G2569" t="str">
        <f>HYPERLINK("http://babel.hathitrust.org/cgi/pt?id=mdp.39015004720937")</f>
        <v>http://babel.hathitrust.org/cgi/pt?id=mdp.39015004720937</v>
      </c>
      <c r="H2569" t="str">
        <f>HYPERLINK("http://catalog.hathitrust.org/Record/001903088")</f>
        <v>http://catalog.hathitrust.org/Record/001903088</v>
      </c>
      <c r="J2569" s="1">
        <v>1929</v>
      </c>
      <c r="K2569" t="s">
        <v>14838</v>
      </c>
      <c r="L2569" t="s">
        <v>19727</v>
      </c>
    </row>
    <row r="2570" spans="1:12">
      <c r="A2570" t="s">
        <v>14839</v>
      </c>
      <c r="B2570" s="1" t="s">
        <v>14840</v>
      </c>
      <c r="D2570">
        <v>1</v>
      </c>
      <c r="G2570" t="str">
        <f>HYPERLINK("http://babel.hathitrust.org/cgi/pt?id=mdp.39015004044239")</f>
        <v>http://babel.hathitrust.org/cgi/pt?id=mdp.39015004044239</v>
      </c>
      <c r="H2570" t="str">
        <f>HYPERLINK("http://catalog.hathitrust.org/Record/001903089")</f>
        <v>http://catalog.hathitrust.org/Record/001903089</v>
      </c>
      <c r="J2570" s="1">
        <v>1934</v>
      </c>
      <c r="K2570" t="s">
        <v>14841</v>
      </c>
      <c r="L2570" t="s">
        <v>19727</v>
      </c>
    </row>
    <row r="2571" spans="1:12">
      <c r="A2571" t="s">
        <v>14842</v>
      </c>
      <c r="B2571" s="1" t="s">
        <v>14843</v>
      </c>
      <c r="D2571">
        <v>1</v>
      </c>
      <c r="G2571" t="str">
        <f>HYPERLINK("http://babel.hathitrust.org/cgi/pt?id=uc1.b276174")</f>
        <v>http://babel.hathitrust.org/cgi/pt?id=uc1.b276174</v>
      </c>
      <c r="H2571" t="str">
        <f>HYPERLINK("http://catalog.hathitrust.org/Record/001903091")</f>
        <v>http://catalog.hathitrust.org/Record/001903091</v>
      </c>
      <c r="J2571" s="1">
        <v>1934</v>
      </c>
      <c r="K2571" t="s">
        <v>16310</v>
      </c>
      <c r="L2571" t="s">
        <v>16311</v>
      </c>
    </row>
    <row r="2572" spans="1:12">
      <c r="A2572" t="s">
        <v>14844</v>
      </c>
      <c r="B2572" s="1" t="s">
        <v>14845</v>
      </c>
      <c r="D2572">
        <v>1</v>
      </c>
      <c r="G2572" t="str">
        <f>HYPERLINK("http://babel.hathitrust.org/cgi/pt?id=mdp.39015008891379")</f>
        <v>http://babel.hathitrust.org/cgi/pt?id=mdp.39015008891379</v>
      </c>
      <c r="H2572" t="str">
        <f>HYPERLINK("http://catalog.hathitrust.org/Record/001903092")</f>
        <v>http://catalog.hathitrust.org/Record/001903092</v>
      </c>
      <c r="J2572" s="1">
        <v>1929</v>
      </c>
      <c r="K2572" t="s">
        <v>14846</v>
      </c>
      <c r="L2572" t="s">
        <v>20010</v>
      </c>
    </row>
    <row r="2573" spans="1:12">
      <c r="A2573" t="s">
        <v>14847</v>
      </c>
      <c r="B2573" s="1" t="s">
        <v>14845</v>
      </c>
      <c r="F2573">
        <v>1</v>
      </c>
      <c r="G2573" t="str">
        <f>HYPERLINK("http://babel.hathitrust.org/cgi/pt?id=mdp.39015010303330")</f>
        <v>http://babel.hathitrust.org/cgi/pt?id=mdp.39015010303330</v>
      </c>
      <c r="H2573" t="str">
        <f>HYPERLINK("http://catalog.hathitrust.org/Record/001903092")</f>
        <v>http://catalog.hathitrust.org/Record/001903092</v>
      </c>
      <c r="J2573" s="1">
        <v>1929</v>
      </c>
      <c r="K2573" t="s">
        <v>14846</v>
      </c>
      <c r="L2573" t="s">
        <v>20010</v>
      </c>
    </row>
    <row r="2574" spans="1:12">
      <c r="A2574" t="s">
        <v>14848</v>
      </c>
      <c r="B2574" s="1" t="s">
        <v>14849</v>
      </c>
      <c r="E2574">
        <v>1</v>
      </c>
      <c r="F2574">
        <v>1</v>
      </c>
      <c r="G2574" t="str">
        <f>HYPERLINK("http://babel.hathitrust.org/cgi/pt?id=mdp.39015030934866")</f>
        <v>http://babel.hathitrust.org/cgi/pt?id=mdp.39015030934866</v>
      </c>
      <c r="H2574" t="str">
        <f>HYPERLINK("http://catalog.hathitrust.org/Record/001903094")</f>
        <v>http://catalog.hathitrust.org/Record/001903094</v>
      </c>
      <c r="J2574" s="1">
        <v>1917</v>
      </c>
      <c r="K2574" t="s">
        <v>14850</v>
      </c>
      <c r="L2574" t="s">
        <v>14851</v>
      </c>
    </row>
    <row r="2575" spans="1:12">
      <c r="A2575" t="s">
        <v>14852</v>
      </c>
      <c r="B2575" s="1" t="s">
        <v>14849</v>
      </c>
      <c r="F2575">
        <v>1</v>
      </c>
      <c r="G2575" t="str">
        <f>HYPERLINK("http://babel.hathitrust.org/cgi/pt?id=uc1.b276188")</f>
        <v>http://babel.hathitrust.org/cgi/pt?id=uc1.b276188</v>
      </c>
      <c r="H2575" t="str">
        <f>HYPERLINK("http://catalog.hathitrust.org/Record/001903094")</f>
        <v>http://catalog.hathitrust.org/Record/001903094</v>
      </c>
      <c r="J2575" s="1">
        <v>1917</v>
      </c>
      <c r="K2575" t="s">
        <v>14850</v>
      </c>
      <c r="L2575" t="s">
        <v>14851</v>
      </c>
    </row>
    <row r="2576" spans="1:12">
      <c r="A2576" t="s">
        <v>14853</v>
      </c>
      <c r="B2576" s="1" t="s">
        <v>14849</v>
      </c>
      <c r="F2576">
        <v>1</v>
      </c>
      <c r="G2576" t="str">
        <f>HYPERLINK("http://babel.hathitrust.org/cgi/pt?id=uc2.ark:/13960/t11n81h3j")</f>
        <v>http://babel.hathitrust.org/cgi/pt?id=uc2.ark:/13960/t11n81h3j</v>
      </c>
      <c r="H2576" t="str">
        <f>HYPERLINK("http://catalog.hathitrust.org/Record/001903094")</f>
        <v>http://catalog.hathitrust.org/Record/001903094</v>
      </c>
      <c r="J2576" s="1">
        <v>1917</v>
      </c>
      <c r="K2576" t="s">
        <v>14850</v>
      </c>
      <c r="L2576" t="s">
        <v>14851</v>
      </c>
    </row>
    <row r="2577" spans="1:12">
      <c r="A2577" t="s">
        <v>14854</v>
      </c>
      <c r="B2577" s="1" t="s">
        <v>14855</v>
      </c>
      <c r="F2577">
        <v>1</v>
      </c>
      <c r="G2577" t="str">
        <f>HYPERLINK("http://babel.hathitrust.org/cgi/pt?id=mdp.39015019975757")</f>
        <v>http://babel.hathitrust.org/cgi/pt?id=mdp.39015019975757</v>
      </c>
      <c r="H2577" t="str">
        <f>HYPERLINK("http://catalog.hathitrust.org/Record/001903097")</f>
        <v>http://catalog.hathitrust.org/Record/001903097</v>
      </c>
      <c r="J2577" s="1">
        <v>1919</v>
      </c>
      <c r="K2577" t="s">
        <v>14856</v>
      </c>
      <c r="L2577" t="s">
        <v>14857</v>
      </c>
    </row>
    <row r="2578" spans="1:12">
      <c r="A2578" t="s">
        <v>14858</v>
      </c>
      <c r="B2578" s="1" t="s">
        <v>14859</v>
      </c>
      <c r="C2578">
        <v>1</v>
      </c>
      <c r="D2578">
        <v>1</v>
      </c>
      <c r="G2578" t="str">
        <f>HYPERLINK("http://babel.hathitrust.org/cgi/pt?id=uc1.b31635")</f>
        <v>http://babel.hathitrust.org/cgi/pt?id=uc1.b31635</v>
      </c>
      <c r="H2578" t="str">
        <f>HYPERLINK("http://catalog.hathitrust.org/Record/001903099")</f>
        <v>http://catalog.hathitrust.org/Record/001903099</v>
      </c>
      <c r="J2578" s="1">
        <v>1882</v>
      </c>
      <c r="K2578" t="s">
        <v>20691</v>
      </c>
      <c r="L2578" t="s">
        <v>20692</v>
      </c>
    </row>
    <row r="2579" spans="1:12">
      <c r="A2579" t="s">
        <v>14860</v>
      </c>
      <c r="B2579" s="1" t="s">
        <v>14859</v>
      </c>
      <c r="F2579">
        <v>1</v>
      </c>
      <c r="G2579" t="str">
        <f>HYPERLINK("http://babel.hathitrust.org/cgi/pt?id=uc2.ark:/13960/t5t72b365")</f>
        <v>http://babel.hathitrust.org/cgi/pt?id=uc2.ark:/13960/t5t72b365</v>
      </c>
      <c r="H2579" t="str">
        <f>HYPERLINK("http://catalog.hathitrust.org/Record/001903099")</f>
        <v>http://catalog.hathitrust.org/Record/001903099</v>
      </c>
      <c r="J2579" s="1">
        <v>1882</v>
      </c>
      <c r="K2579" t="s">
        <v>20691</v>
      </c>
      <c r="L2579" t="s">
        <v>20692</v>
      </c>
    </row>
    <row r="2580" spans="1:12">
      <c r="A2580" t="s">
        <v>14861</v>
      </c>
      <c r="B2580" s="1" t="s">
        <v>14862</v>
      </c>
      <c r="D2580">
        <v>1</v>
      </c>
      <c r="G2580" t="str">
        <f>HYPERLINK("http://babel.hathitrust.org/cgi/pt?id=mdp.39015030934841")</f>
        <v>http://babel.hathitrust.org/cgi/pt?id=mdp.39015030934841</v>
      </c>
      <c r="H2580" t="str">
        <f>HYPERLINK("http://catalog.hathitrust.org/Record/001903100")</f>
        <v>http://catalog.hathitrust.org/Record/001903100</v>
      </c>
      <c r="J2580" s="1">
        <v>1877</v>
      </c>
      <c r="K2580" t="s">
        <v>14863</v>
      </c>
      <c r="L2580" t="s">
        <v>14864</v>
      </c>
    </row>
    <row r="2581" spans="1:12">
      <c r="A2581" t="s">
        <v>14865</v>
      </c>
      <c r="B2581" s="1" t="s">
        <v>14866</v>
      </c>
      <c r="E2581">
        <v>1</v>
      </c>
      <c r="F2581">
        <v>1</v>
      </c>
      <c r="G2581" t="str">
        <f>HYPERLINK("http://babel.hathitrust.org/cgi/pt?id=mdp.39015010528647")</f>
        <v>http://babel.hathitrust.org/cgi/pt?id=mdp.39015010528647</v>
      </c>
      <c r="H2581" t="str">
        <f>HYPERLINK("http://catalog.hathitrust.org/Record/001903101")</f>
        <v>http://catalog.hathitrust.org/Record/001903101</v>
      </c>
      <c r="J2581" s="1">
        <v>1882</v>
      </c>
      <c r="K2581" t="s">
        <v>14867</v>
      </c>
      <c r="L2581" t="s">
        <v>14864</v>
      </c>
    </row>
    <row r="2582" spans="1:12">
      <c r="A2582" t="s">
        <v>14868</v>
      </c>
      <c r="B2582" s="1" t="s">
        <v>14866</v>
      </c>
      <c r="E2582">
        <v>1</v>
      </c>
      <c r="F2582">
        <v>1</v>
      </c>
      <c r="G2582" t="str">
        <f>HYPERLINK("http://babel.hathitrust.org/cgi/pt?id=uc2.ark:/13960/t38052t12")</f>
        <v>http://babel.hathitrust.org/cgi/pt?id=uc2.ark:/13960/t38052t12</v>
      </c>
      <c r="H2582" t="str">
        <f>HYPERLINK("http://catalog.hathitrust.org/Record/001903101")</f>
        <v>http://catalog.hathitrust.org/Record/001903101</v>
      </c>
      <c r="J2582" s="1">
        <v>1882</v>
      </c>
      <c r="K2582" t="s">
        <v>14867</v>
      </c>
      <c r="L2582" t="s">
        <v>14864</v>
      </c>
    </row>
    <row r="2583" spans="1:12">
      <c r="A2583" t="s">
        <v>14869</v>
      </c>
      <c r="B2583" s="1" t="s">
        <v>14870</v>
      </c>
      <c r="E2583">
        <v>1</v>
      </c>
      <c r="F2583">
        <v>1</v>
      </c>
      <c r="G2583" t="str">
        <f>HYPERLINK("http://babel.hathitrust.org/cgi/pt?id=mdp.39015005484020")</f>
        <v>http://babel.hathitrust.org/cgi/pt?id=mdp.39015005484020</v>
      </c>
      <c r="H2583" t="str">
        <f>HYPERLINK("http://catalog.hathitrust.org/Record/001903107")</f>
        <v>http://catalog.hathitrust.org/Record/001903107</v>
      </c>
      <c r="J2583" s="1">
        <v>1905</v>
      </c>
      <c r="K2583" t="s">
        <v>14771</v>
      </c>
      <c r="L2583" t="s">
        <v>14772</v>
      </c>
    </row>
    <row r="2584" spans="1:12">
      <c r="A2584" t="s">
        <v>14773</v>
      </c>
      <c r="B2584" s="1" t="s">
        <v>14774</v>
      </c>
      <c r="D2584">
        <v>1</v>
      </c>
      <c r="G2584" t="str">
        <f>HYPERLINK("http://babel.hathitrust.org/cgi/pt?id=mdp.39015030934809")</f>
        <v>http://babel.hathitrust.org/cgi/pt?id=mdp.39015030934809</v>
      </c>
      <c r="H2584" t="str">
        <f>HYPERLINK("http://catalog.hathitrust.org/Record/001903109")</f>
        <v>http://catalog.hathitrust.org/Record/001903109</v>
      </c>
      <c r="J2584" s="1">
        <v>1911</v>
      </c>
      <c r="K2584" t="s">
        <v>14775</v>
      </c>
      <c r="L2584" t="s">
        <v>20976</v>
      </c>
    </row>
    <row r="2585" spans="1:12">
      <c r="A2585" t="s">
        <v>14776</v>
      </c>
      <c r="B2585" s="1" t="s">
        <v>14774</v>
      </c>
      <c r="F2585">
        <v>1</v>
      </c>
      <c r="G2585" t="str">
        <f>HYPERLINK("http://babel.hathitrust.org/cgi/pt?id=nyp.33433069243222")</f>
        <v>http://babel.hathitrust.org/cgi/pt?id=nyp.33433069243222</v>
      </c>
      <c r="H2585" t="str">
        <f>HYPERLINK("http://catalog.hathitrust.org/Record/001903109")</f>
        <v>http://catalog.hathitrust.org/Record/001903109</v>
      </c>
      <c r="J2585" s="1">
        <v>1911</v>
      </c>
      <c r="K2585" t="s">
        <v>14775</v>
      </c>
      <c r="L2585" t="s">
        <v>20976</v>
      </c>
    </row>
    <row r="2586" spans="1:12">
      <c r="A2586" t="s">
        <v>14777</v>
      </c>
      <c r="B2586" s="1" t="s">
        <v>14774</v>
      </c>
      <c r="F2586">
        <v>1</v>
      </c>
      <c r="G2586" t="str">
        <f>HYPERLINK("http://babel.hathitrust.org/cgi/pt?id=uc1.b4095506")</f>
        <v>http://babel.hathitrust.org/cgi/pt?id=uc1.b4095506</v>
      </c>
      <c r="H2586" t="str">
        <f>HYPERLINK("http://catalog.hathitrust.org/Record/001903109")</f>
        <v>http://catalog.hathitrust.org/Record/001903109</v>
      </c>
      <c r="J2586" s="1">
        <v>1911</v>
      </c>
      <c r="K2586" t="s">
        <v>14775</v>
      </c>
      <c r="L2586" t="s">
        <v>20976</v>
      </c>
    </row>
    <row r="2587" spans="1:12">
      <c r="A2587" t="s">
        <v>14778</v>
      </c>
      <c r="B2587" s="1" t="s">
        <v>14774</v>
      </c>
      <c r="F2587">
        <v>1</v>
      </c>
      <c r="G2587" t="str">
        <f>HYPERLINK("http://babel.hathitrust.org/cgi/pt?id=uc2.ark:/13960/t83j3cg9r")</f>
        <v>http://babel.hathitrust.org/cgi/pt?id=uc2.ark:/13960/t83j3cg9r</v>
      </c>
      <c r="H2587" t="str">
        <f>HYPERLINK("http://catalog.hathitrust.org/Record/001903109")</f>
        <v>http://catalog.hathitrust.org/Record/001903109</v>
      </c>
      <c r="J2587" s="1">
        <v>1911</v>
      </c>
      <c r="K2587" t="s">
        <v>14775</v>
      </c>
      <c r="L2587" t="s">
        <v>20976</v>
      </c>
    </row>
    <row r="2588" spans="1:12">
      <c r="A2588" t="s">
        <v>14779</v>
      </c>
      <c r="B2588" s="1" t="s">
        <v>14780</v>
      </c>
      <c r="D2588">
        <v>1</v>
      </c>
      <c r="G2588" t="str">
        <f>HYPERLINK("http://babel.hathitrust.org/cgi/pt?id=mdp.39015030934759")</f>
        <v>http://babel.hathitrust.org/cgi/pt?id=mdp.39015030934759</v>
      </c>
      <c r="H2588" t="str">
        <f>HYPERLINK("http://catalog.hathitrust.org/Record/001903113")</f>
        <v>http://catalog.hathitrust.org/Record/001903113</v>
      </c>
      <c r="J2588" s="1">
        <v>1891</v>
      </c>
      <c r="K2588" t="s">
        <v>14781</v>
      </c>
      <c r="L2588" t="s">
        <v>14782</v>
      </c>
    </row>
    <row r="2589" spans="1:12">
      <c r="A2589" t="s">
        <v>14783</v>
      </c>
      <c r="B2589" s="1" t="s">
        <v>14780</v>
      </c>
      <c r="F2589">
        <v>1</v>
      </c>
      <c r="G2589" t="str">
        <f>HYPERLINK("http://babel.hathitrust.org/cgi/pt?id=uc1.b276185")</f>
        <v>http://babel.hathitrust.org/cgi/pt?id=uc1.b276185</v>
      </c>
      <c r="H2589" t="str">
        <f>HYPERLINK("http://catalog.hathitrust.org/Record/001903113")</f>
        <v>http://catalog.hathitrust.org/Record/001903113</v>
      </c>
      <c r="J2589" s="1">
        <v>1891</v>
      </c>
      <c r="K2589" t="s">
        <v>14781</v>
      </c>
      <c r="L2589" t="s">
        <v>14782</v>
      </c>
    </row>
    <row r="2590" spans="1:12">
      <c r="A2590" t="s">
        <v>14784</v>
      </c>
      <c r="B2590" s="1" t="s">
        <v>14780</v>
      </c>
      <c r="F2590">
        <v>1</v>
      </c>
      <c r="G2590" t="str">
        <f>HYPERLINK("http://babel.hathitrust.org/cgi/pt?id=uc2.ark:/13960/t7zk5b155")</f>
        <v>http://babel.hathitrust.org/cgi/pt?id=uc2.ark:/13960/t7zk5b155</v>
      </c>
      <c r="H2590" t="str">
        <f>HYPERLINK("http://catalog.hathitrust.org/Record/001903113")</f>
        <v>http://catalog.hathitrust.org/Record/001903113</v>
      </c>
      <c r="J2590" s="1">
        <v>1891</v>
      </c>
      <c r="K2590" t="s">
        <v>14781</v>
      </c>
      <c r="L2590" t="s">
        <v>14782</v>
      </c>
    </row>
    <row r="2591" spans="1:12">
      <c r="A2591" t="s">
        <v>14785</v>
      </c>
      <c r="B2591" s="1" t="s">
        <v>14786</v>
      </c>
      <c r="D2591">
        <v>1</v>
      </c>
      <c r="G2591" t="str">
        <f>HYPERLINK("http://babel.hathitrust.org/cgi/pt?id=mdp.39015033490999")</f>
        <v>http://babel.hathitrust.org/cgi/pt?id=mdp.39015033490999</v>
      </c>
      <c r="H2591" t="str">
        <f>HYPERLINK("http://catalog.hathitrust.org/Record/001903118")</f>
        <v>http://catalog.hathitrust.org/Record/001903118</v>
      </c>
      <c r="J2591" s="1">
        <v>1899</v>
      </c>
      <c r="K2591" t="s">
        <v>14787</v>
      </c>
      <c r="L2591" t="s">
        <v>14788</v>
      </c>
    </row>
    <row r="2592" spans="1:12">
      <c r="A2592" t="s">
        <v>14789</v>
      </c>
      <c r="B2592" s="1" t="s">
        <v>14790</v>
      </c>
      <c r="F2592">
        <v>1</v>
      </c>
      <c r="G2592" t="str">
        <f>HYPERLINK("http://babel.hathitrust.org/cgi/pt?id=mdp.39015002136797")</f>
        <v>http://babel.hathitrust.org/cgi/pt?id=mdp.39015002136797</v>
      </c>
      <c r="H2592" t="str">
        <f>HYPERLINK("http://catalog.hathitrust.org/Record/001903119")</f>
        <v>http://catalog.hathitrust.org/Record/001903119</v>
      </c>
      <c r="J2592" s="1">
        <v>1895</v>
      </c>
      <c r="K2592" t="s">
        <v>18288</v>
      </c>
      <c r="L2592" t="s">
        <v>18289</v>
      </c>
    </row>
    <row r="2593" spans="1:12">
      <c r="A2593" t="s">
        <v>14791</v>
      </c>
      <c r="B2593" s="1" t="s">
        <v>14790</v>
      </c>
      <c r="F2593">
        <v>1</v>
      </c>
      <c r="G2593" t="str">
        <f>HYPERLINK("http://babel.hathitrust.org/cgi/pt?id=uc2.ark:/13960/t7wm1644k")</f>
        <v>http://babel.hathitrust.org/cgi/pt?id=uc2.ark:/13960/t7wm1644k</v>
      </c>
      <c r="H2593" t="str">
        <f>HYPERLINK("http://catalog.hathitrust.org/Record/001903119")</f>
        <v>http://catalog.hathitrust.org/Record/001903119</v>
      </c>
      <c r="J2593" s="1">
        <v>1895</v>
      </c>
      <c r="K2593" t="s">
        <v>18288</v>
      </c>
      <c r="L2593" t="s">
        <v>18289</v>
      </c>
    </row>
    <row r="2594" spans="1:12">
      <c r="A2594" t="s">
        <v>14792</v>
      </c>
      <c r="B2594" s="1" t="s">
        <v>14793</v>
      </c>
      <c r="E2594">
        <v>1</v>
      </c>
      <c r="G2594" t="str">
        <f>HYPERLINK("http://babel.hathitrust.org/cgi/pt?id=mdp.39015016459953")</f>
        <v>http://babel.hathitrust.org/cgi/pt?id=mdp.39015016459953</v>
      </c>
      <c r="H2594" t="str">
        <f>HYPERLINK("http://catalog.hathitrust.org/Record/001903131")</f>
        <v>http://catalog.hathitrust.org/Record/001903131</v>
      </c>
      <c r="J2594" s="1">
        <v>1826</v>
      </c>
      <c r="K2594" t="s">
        <v>14794</v>
      </c>
      <c r="L2594" t="s">
        <v>20043</v>
      </c>
    </row>
    <row r="2595" spans="1:12">
      <c r="A2595" t="s">
        <v>14795</v>
      </c>
      <c r="B2595" s="1" t="s">
        <v>14796</v>
      </c>
      <c r="E2595">
        <v>1</v>
      </c>
      <c r="G2595" t="str">
        <f>HYPERLINK("http://babel.hathitrust.org/cgi/pt?id=hvd.hn5wjr")</f>
        <v>http://babel.hathitrust.org/cgi/pt?id=hvd.hn5wjr</v>
      </c>
      <c r="H2595" t="str">
        <f>HYPERLINK("http://catalog.hathitrust.org/Record/001903133")</f>
        <v>http://catalog.hathitrust.org/Record/001903133</v>
      </c>
      <c r="J2595" s="1">
        <v>1828</v>
      </c>
      <c r="K2595" t="s">
        <v>14797</v>
      </c>
      <c r="L2595" t="s">
        <v>20043</v>
      </c>
    </row>
    <row r="2596" spans="1:12">
      <c r="A2596" t="s">
        <v>14798</v>
      </c>
      <c r="B2596" s="1" t="s">
        <v>14799</v>
      </c>
      <c r="E2596">
        <v>1</v>
      </c>
      <c r="G2596" t="str">
        <f>HYPERLINK("http://babel.hathitrust.org/cgi/pt?id=mdp.39015016735139")</f>
        <v>http://babel.hathitrust.org/cgi/pt?id=mdp.39015016735139</v>
      </c>
      <c r="H2596" t="str">
        <f>HYPERLINK("http://catalog.hathitrust.org/Record/001903134")</f>
        <v>http://catalog.hathitrust.org/Record/001903134</v>
      </c>
      <c r="J2596" s="1">
        <v>1842</v>
      </c>
      <c r="K2596" t="s">
        <v>14800</v>
      </c>
      <c r="L2596" t="s">
        <v>20043</v>
      </c>
    </row>
    <row r="2597" spans="1:12">
      <c r="A2597" t="s">
        <v>14801</v>
      </c>
      <c r="B2597" s="1" t="s">
        <v>14802</v>
      </c>
      <c r="F2597">
        <v>1</v>
      </c>
      <c r="G2597" t="str">
        <f>HYPERLINK("http://babel.hathitrust.org/cgi/pt?id=mdp.39015031219887")</f>
        <v>http://babel.hathitrust.org/cgi/pt?id=mdp.39015031219887</v>
      </c>
      <c r="H2597" t="str">
        <f>HYPERLINK("http://catalog.hathitrust.org/Record/001903173")</f>
        <v>http://catalog.hathitrust.org/Record/001903173</v>
      </c>
      <c r="J2597" s="1">
        <v>1945</v>
      </c>
      <c r="K2597" t="s">
        <v>14803</v>
      </c>
      <c r="L2597" t="s">
        <v>14804</v>
      </c>
    </row>
    <row r="2598" spans="1:12">
      <c r="A2598" t="s">
        <v>14805</v>
      </c>
      <c r="B2598" s="1" t="s">
        <v>14806</v>
      </c>
      <c r="F2598">
        <v>1</v>
      </c>
      <c r="G2598" t="str">
        <f>HYPERLINK("http://babel.hathitrust.org/cgi/pt?id=mdp.39015031219366")</f>
        <v>http://babel.hathitrust.org/cgi/pt?id=mdp.39015031219366</v>
      </c>
      <c r="H2598" t="str">
        <f>HYPERLINK("http://catalog.hathitrust.org/Record/001903198")</f>
        <v>http://catalog.hathitrust.org/Record/001903198</v>
      </c>
      <c r="I2598" s="1" t="s">
        <v>20916</v>
      </c>
      <c r="J2598" s="1">
        <v>1920</v>
      </c>
      <c r="K2598" t="s">
        <v>14807</v>
      </c>
      <c r="L2598" t="s">
        <v>14808</v>
      </c>
    </row>
    <row r="2599" spans="1:12">
      <c r="A2599" t="s">
        <v>14809</v>
      </c>
      <c r="B2599" s="1" t="s">
        <v>14810</v>
      </c>
      <c r="F2599">
        <v>1</v>
      </c>
      <c r="G2599" t="str">
        <f>HYPERLINK("http://babel.hathitrust.org/cgi/pt?id=hvd.32044097056774")</f>
        <v>http://babel.hathitrust.org/cgi/pt?id=hvd.32044097056774</v>
      </c>
      <c r="H2599" t="str">
        <f>HYPERLINK("http://catalog.hathitrust.org/Record/001907138")</f>
        <v>http://catalog.hathitrust.org/Record/001907138</v>
      </c>
      <c r="J2599" s="1">
        <v>1820</v>
      </c>
      <c r="K2599" t="s">
        <v>14811</v>
      </c>
      <c r="L2599" t="s">
        <v>14812</v>
      </c>
    </row>
    <row r="2600" spans="1:12">
      <c r="A2600" t="s">
        <v>14813</v>
      </c>
      <c r="B2600" s="1" t="s">
        <v>14810</v>
      </c>
      <c r="F2600">
        <v>1</v>
      </c>
      <c r="G2600" t="str">
        <f>HYPERLINK("http://babel.hathitrust.org/cgi/pt?id=nyp.33433066604533")</f>
        <v>http://babel.hathitrust.org/cgi/pt?id=nyp.33433066604533</v>
      </c>
      <c r="H2600" t="str">
        <f>HYPERLINK("http://catalog.hathitrust.org/Record/001907138")</f>
        <v>http://catalog.hathitrust.org/Record/001907138</v>
      </c>
      <c r="J2600" s="1">
        <v>1820</v>
      </c>
      <c r="K2600" t="s">
        <v>14811</v>
      </c>
      <c r="L2600" t="s">
        <v>14812</v>
      </c>
    </row>
    <row r="2601" spans="1:12">
      <c r="A2601" t="s">
        <v>14814</v>
      </c>
      <c r="B2601" s="1" t="s">
        <v>14815</v>
      </c>
      <c r="D2601">
        <v>1</v>
      </c>
      <c r="G2601" t="str">
        <f>HYPERLINK("http://babel.hathitrust.org/cgi/pt?id=miun.ajd7522.0001.001")</f>
        <v>http://babel.hathitrust.org/cgi/pt?id=miun.ajd7522.0001.001</v>
      </c>
      <c r="H2601" t="str">
        <f>HYPERLINK("http://catalog.hathitrust.org/Record/001907195")</f>
        <v>http://catalog.hathitrust.org/Record/001907195</v>
      </c>
      <c r="J2601" s="1">
        <v>1876</v>
      </c>
      <c r="K2601" t="s">
        <v>14816</v>
      </c>
      <c r="L2601" t="s">
        <v>19491</v>
      </c>
    </row>
    <row r="2602" spans="1:12">
      <c r="A2602" t="s">
        <v>14817</v>
      </c>
      <c r="B2602" s="1" t="s">
        <v>14818</v>
      </c>
      <c r="F2602">
        <v>1</v>
      </c>
      <c r="G2602" t="str">
        <f>HYPERLINK("http://babel.hathitrust.org/cgi/pt?id=mdp.39015066082713")</f>
        <v>http://babel.hathitrust.org/cgi/pt?id=mdp.39015066082713</v>
      </c>
      <c r="H2602" t="str">
        <f t="shared" ref="H2602:H2609" si="39">HYPERLINK("http://catalog.hathitrust.org/Record/001907199")</f>
        <v>http://catalog.hathitrust.org/Record/001907199</v>
      </c>
      <c r="I2602" s="1" t="s">
        <v>20755</v>
      </c>
      <c r="J2602" s="1">
        <v>1908</v>
      </c>
      <c r="K2602" t="s">
        <v>14819</v>
      </c>
      <c r="L2602" t="s">
        <v>14820</v>
      </c>
    </row>
    <row r="2603" spans="1:12">
      <c r="A2603" t="s">
        <v>14711</v>
      </c>
      <c r="B2603" s="1" t="s">
        <v>14818</v>
      </c>
      <c r="F2603">
        <v>1</v>
      </c>
      <c r="G2603" t="str">
        <f>HYPERLINK("http://babel.hathitrust.org/cgi/pt?id=mdp.39015066195135")</f>
        <v>http://babel.hathitrust.org/cgi/pt?id=mdp.39015066195135</v>
      </c>
      <c r="H2603" t="str">
        <f t="shared" si="39"/>
        <v>http://catalog.hathitrust.org/Record/001907199</v>
      </c>
      <c r="I2603" s="1" t="s">
        <v>20916</v>
      </c>
      <c r="J2603" s="1">
        <v>1908</v>
      </c>
      <c r="K2603" t="s">
        <v>14819</v>
      </c>
      <c r="L2603" t="s">
        <v>14820</v>
      </c>
    </row>
    <row r="2604" spans="1:12">
      <c r="A2604" t="s">
        <v>14712</v>
      </c>
      <c r="B2604" s="1" t="s">
        <v>14818</v>
      </c>
      <c r="F2604">
        <v>1</v>
      </c>
      <c r="G2604" t="str">
        <f>HYPERLINK("http://babel.hathitrust.org/cgi/pt?id=uc1.$b809430")</f>
        <v>http://babel.hathitrust.org/cgi/pt?id=uc1.$b809430</v>
      </c>
      <c r="H2604" t="str">
        <f t="shared" si="39"/>
        <v>http://catalog.hathitrust.org/Record/001907199</v>
      </c>
      <c r="I2604" s="1" t="s">
        <v>20796</v>
      </c>
      <c r="J2604" s="1">
        <v>1908</v>
      </c>
      <c r="K2604" t="s">
        <v>14819</v>
      </c>
      <c r="L2604" t="s">
        <v>14820</v>
      </c>
    </row>
    <row r="2605" spans="1:12">
      <c r="A2605" t="s">
        <v>14713</v>
      </c>
      <c r="B2605" s="1" t="s">
        <v>14818</v>
      </c>
      <c r="F2605">
        <v>1</v>
      </c>
      <c r="G2605" t="str">
        <f>HYPERLINK("http://babel.hathitrust.org/cgi/pt?id=uc1.b3293545")</f>
        <v>http://babel.hathitrust.org/cgi/pt?id=uc1.b3293545</v>
      </c>
      <c r="H2605" t="str">
        <f t="shared" si="39"/>
        <v>http://catalog.hathitrust.org/Record/001907199</v>
      </c>
      <c r="I2605" s="1" t="s">
        <v>20796</v>
      </c>
      <c r="J2605" s="1">
        <v>1908</v>
      </c>
      <c r="K2605" t="s">
        <v>14819</v>
      </c>
      <c r="L2605" t="s">
        <v>14820</v>
      </c>
    </row>
    <row r="2606" spans="1:12">
      <c r="A2606" t="s">
        <v>14714</v>
      </c>
      <c r="B2606" s="1" t="s">
        <v>14818</v>
      </c>
      <c r="F2606">
        <v>1</v>
      </c>
      <c r="G2606" t="str">
        <f>HYPERLINK("http://babel.hathitrust.org/cgi/pt?id=uc1.b3293546")</f>
        <v>http://babel.hathitrust.org/cgi/pt?id=uc1.b3293546</v>
      </c>
      <c r="H2606" t="str">
        <f t="shared" si="39"/>
        <v>http://catalog.hathitrust.org/Record/001907199</v>
      </c>
      <c r="I2606" s="1" t="s">
        <v>20916</v>
      </c>
      <c r="J2606" s="1">
        <v>1908</v>
      </c>
      <c r="K2606" t="s">
        <v>14819</v>
      </c>
      <c r="L2606" t="s">
        <v>14820</v>
      </c>
    </row>
    <row r="2607" spans="1:12">
      <c r="A2607" t="s">
        <v>14715</v>
      </c>
      <c r="B2607" s="1" t="s">
        <v>14818</v>
      </c>
      <c r="F2607">
        <v>1</v>
      </c>
      <c r="G2607" t="str">
        <f>HYPERLINK("http://babel.hathitrust.org/cgi/pt?id=uc1.b3386172")</f>
        <v>http://babel.hathitrust.org/cgi/pt?id=uc1.b3386172</v>
      </c>
      <c r="H2607" t="str">
        <f t="shared" si="39"/>
        <v>http://catalog.hathitrust.org/Record/001907199</v>
      </c>
      <c r="I2607" s="1" t="s">
        <v>20796</v>
      </c>
      <c r="J2607" s="1">
        <v>1908</v>
      </c>
      <c r="K2607" t="s">
        <v>14819</v>
      </c>
      <c r="L2607" t="s">
        <v>14820</v>
      </c>
    </row>
    <row r="2608" spans="1:12">
      <c r="A2608" t="s">
        <v>14716</v>
      </c>
      <c r="B2608" s="1" t="s">
        <v>14818</v>
      </c>
      <c r="F2608">
        <v>1</v>
      </c>
      <c r="G2608" t="str">
        <f>HYPERLINK("http://babel.hathitrust.org/cgi/pt?id=uc2.ark:/13960/t2q52j53n")</f>
        <v>http://babel.hathitrust.org/cgi/pt?id=uc2.ark:/13960/t2q52j53n</v>
      </c>
      <c r="H2608" t="str">
        <f t="shared" si="39"/>
        <v>http://catalog.hathitrust.org/Record/001907199</v>
      </c>
      <c r="I2608" s="1" t="s">
        <v>20916</v>
      </c>
      <c r="J2608" s="1">
        <v>1908</v>
      </c>
      <c r="K2608" t="s">
        <v>14819</v>
      </c>
      <c r="L2608" t="s">
        <v>14820</v>
      </c>
    </row>
    <row r="2609" spans="1:12">
      <c r="A2609" t="s">
        <v>14717</v>
      </c>
      <c r="B2609" s="1" t="s">
        <v>14818</v>
      </c>
      <c r="F2609">
        <v>1</v>
      </c>
      <c r="G2609" t="str">
        <f>HYPERLINK("http://babel.hathitrust.org/cgi/pt?id=uc2.ark:/13960/t6nz83r7h")</f>
        <v>http://babel.hathitrust.org/cgi/pt?id=uc2.ark:/13960/t6nz83r7h</v>
      </c>
      <c r="H2609" t="str">
        <f t="shared" si="39"/>
        <v>http://catalog.hathitrust.org/Record/001907199</v>
      </c>
      <c r="I2609" s="1" t="s">
        <v>20755</v>
      </c>
      <c r="J2609" s="1">
        <v>1908</v>
      </c>
      <c r="K2609" t="s">
        <v>14819</v>
      </c>
      <c r="L2609" t="s">
        <v>14820</v>
      </c>
    </row>
    <row r="2610" spans="1:12">
      <c r="A2610" t="s">
        <v>14718</v>
      </c>
      <c r="B2610" s="1" t="s">
        <v>14719</v>
      </c>
      <c r="E2610">
        <v>1</v>
      </c>
      <c r="G2610" t="str">
        <f>HYPERLINK("http://babel.hathitrust.org/cgi/pt?id=mdp.39015016370424")</f>
        <v>http://babel.hathitrust.org/cgi/pt?id=mdp.39015016370424</v>
      </c>
      <c r="H2610" t="str">
        <f>HYPERLINK("http://catalog.hathitrust.org/Record/001907228")</f>
        <v>http://catalog.hathitrust.org/Record/001907228</v>
      </c>
      <c r="J2610" s="1">
        <v>1879</v>
      </c>
      <c r="K2610" t="s">
        <v>14720</v>
      </c>
      <c r="L2610" t="s">
        <v>17875</v>
      </c>
    </row>
    <row r="2611" spans="1:12">
      <c r="A2611" t="s">
        <v>14721</v>
      </c>
      <c r="B2611" s="1" t="s">
        <v>14722</v>
      </c>
      <c r="E2611">
        <v>1</v>
      </c>
      <c r="G2611" t="str">
        <f>HYPERLINK("http://babel.hathitrust.org/cgi/pt?id=miun.ajd7557.0001.001")</f>
        <v>http://babel.hathitrust.org/cgi/pt?id=miun.ajd7557.0001.001</v>
      </c>
      <c r="H2611" t="str">
        <f>HYPERLINK("http://catalog.hathitrust.org/Record/001907229")</f>
        <v>http://catalog.hathitrust.org/Record/001907229</v>
      </c>
      <c r="J2611" s="1">
        <v>1879</v>
      </c>
      <c r="K2611" t="s">
        <v>14723</v>
      </c>
      <c r="L2611" t="s">
        <v>17875</v>
      </c>
    </row>
    <row r="2612" spans="1:12">
      <c r="A2612" t="s">
        <v>14724</v>
      </c>
      <c r="B2612" s="1" t="s">
        <v>14725</v>
      </c>
      <c r="E2612">
        <v>1</v>
      </c>
      <c r="G2612" t="str">
        <f>HYPERLINK("http://babel.hathitrust.org/cgi/pt?id=mdp.39015053241652")</f>
        <v>http://babel.hathitrust.org/cgi/pt?id=mdp.39015053241652</v>
      </c>
      <c r="H2612" t="str">
        <f>HYPERLINK("http://catalog.hathitrust.org/Record/001907230")</f>
        <v>http://catalog.hathitrust.org/Record/001907230</v>
      </c>
      <c r="J2612" s="1">
        <v>1886</v>
      </c>
      <c r="K2612" t="s">
        <v>14720</v>
      </c>
      <c r="L2612" t="s">
        <v>17875</v>
      </c>
    </row>
    <row r="2613" spans="1:12">
      <c r="A2613" t="s">
        <v>14726</v>
      </c>
      <c r="B2613" s="1" t="s">
        <v>14727</v>
      </c>
      <c r="E2613">
        <v>1</v>
      </c>
      <c r="G2613" t="str">
        <f>HYPERLINK("http://babel.hathitrust.org/cgi/pt?id=mdp.39015030767977")</f>
        <v>http://babel.hathitrust.org/cgi/pt?id=mdp.39015030767977</v>
      </c>
      <c r="H2613" t="str">
        <f>HYPERLINK("http://catalog.hathitrust.org/Record/001907231")</f>
        <v>http://catalog.hathitrust.org/Record/001907231</v>
      </c>
      <c r="J2613" s="1">
        <v>1895</v>
      </c>
      <c r="K2613" t="s">
        <v>14720</v>
      </c>
      <c r="L2613" t="s">
        <v>17875</v>
      </c>
    </row>
    <row r="2614" spans="1:12">
      <c r="A2614" t="s">
        <v>14728</v>
      </c>
      <c r="B2614" s="1" t="s">
        <v>14729</v>
      </c>
      <c r="F2614">
        <v>1</v>
      </c>
      <c r="G2614" t="str">
        <f>HYPERLINK("http://babel.hathitrust.org/cgi/pt?id=mdp.39015004889336")</f>
        <v>http://babel.hathitrust.org/cgi/pt?id=mdp.39015004889336</v>
      </c>
      <c r="H2614" t="str">
        <f>HYPERLINK("http://catalog.hathitrust.org/Record/001907253")</f>
        <v>http://catalog.hathitrust.org/Record/001907253</v>
      </c>
      <c r="I2614" s="1" t="s">
        <v>20916</v>
      </c>
      <c r="J2614" s="1">
        <v>1861</v>
      </c>
      <c r="K2614" t="s">
        <v>14730</v>
      </c>
      <c r="L2614" t="s">
        <v>17914</v>
      </c>
    </row>
    <row r="2615" spans="1:12">
      <c r="A2615" t="s">
        <v>14731</v>
      </c>
      <c r="B2615" s="1" t="s">
        <v>14729</v>
      </c>
      <c r="F2615">
        <v>1</v>
      </c>
      <c r="G2615" t="str">
        <f>HYPERLINK("http://babel.hathitrust.org/cgi/pt?id=mdp.39015053242619")</f>
        <v>http://babel.hathitrust.org/cgi/pt?id=mdp.39015053242619</v>
      </c>
      <c r="H2615" t="str">
        <f>HYPERLINK("http://catalog.hathitrust.org/Record/001907253")</f>
        <v>http://catalog.hathitrust.org/Record/001907253</v>
      </c>
      <c r="I2615" s="1" t="s">
        <v>20755</v>
      </c>
      <c r="J2615" s="1">
        <v>1861</v>
      </c>
      <c r="K2615" t="s">
        <v>14730</v>
      </c>
      <c r="L2615" t="s">
        <v>17914</v>
      </c>
    </row>
    <row r="2616" spans="1:12">
      <c r="A2616" t="s">
        <v>14732</v>
      </c>
      <c r="B2616" s="1" t="s">
        <v>14733</v>
      </c>
      <c r="F2616">
        <v>1</v>
      </c>
      <c r="G2616" t="str">
        <f>HYPERLINK("http://babel.hathitrust.org/cgi/pt?id=mdp.39015014277126")</f>
        <v>http://babel.hathitrust.org/cgi/pt?id=mdp.39015014277126</v>
      </c>
      <c r="H2616" t="str">
        <f>HYPERLINK("http://catalog.hathitrust.org/Record/001907254")</f>
        <v>http://catalog.hathitrust.org/Record/001907254</v>
      </c>
      <c r="J2616" s="1">
        <v>1863</v>
      </c>
      <c r="K2616" t="s">
        <v>14734</v>
      </c>
      <c r="L2616" t="s">
        <v>17914</v>
      </c>
    </row>
    <row r="2617" spans="1:12">
      <c r="A2617" t="s">
        <v>14735</v>
      </c>
      <c r="B2617" s="1" t="s">
        <v>14736</v>
      </c>
      <c r="D2617">
        <v>1</v>
      </c>
      <c r="G2617" t="str">
        <f>HYPERLINK("http://babel.hathitrust.org/cgi/pt?id=mdp.39015053252139")</f>
        <v>http://babel.hathitrust.org/cgi/pt?id=mdp.39015053252139</v>
      </c>
      <c r="H2617" t="str">
        <f>HYPERLINK("http://catalog.hathitrust.org/Record/001907278")</f>
        <v>http://catalog.hathitrust.org/Record/001907278</v>
      </c>
      <c r="J2617" s="1">
        <v>1901</v>
      </c>
      <c r="K2617" t="s">
        <v>14737</v>
      </c>
    </row>
    <row r="2618" spans="1:12">
      <c r="A2618" t="s">
        <v>14738</v>
      </c>
      <c r="B2618" s="1" t="s">
        <v>14739</v>
      </c>
      <c r="E2618">
        <v>1</v>
      </c>
      <c r="G2618" t="str">
        <f>HYPERLINK("http://babel.hathitrust.org/cgi/pt?id=mdp.39015019076994")</f>
        <v>http://babel.hathitrust.org/cgi/pt?id=mdp.39015019076994</v>
      </c>
      <c r="H2618" t="str">
        <f>HYPERLINK("http://catalog.hathitrust.org/Record/001907437")</f>
        <v>http://catalog.hathitrust.org/Record/001907437</v>
      </c>
      <c r="J2618" s="1">
        <v>1902</v>
      </c>
      <c r="K2618" t="s">
        <v>17741</v>
      </c>
      <c r="L2618" t="s">
        <v>19690</v>
      </c>
    </row>
    <row r="2619" spans="1:12">
      <c r="A2619" t="s">
        <v>14740</v>
      </c>
      <c r="B2619" s="1" t="s">
        <v>14741</v>
      </c>
      <c r="E2619">
        <v>1</v>
      </c>
      <c r="G2619" t="str">
        <f>HYPERLINK("http://babel.hathitrust.org/cgi/pt?id=mdp.39015038087576")</f>
        <v>http://babel.hathitrust.org/cgi/pt?id=mdp.39015038087576</v>
      </c>
      <c r="H2619" t="str">
        <f>HYPERLINK("http://catalog.hathitrust.org/Record/001907442")</f>
        <v>http://catalog.hathitrust.org/Record/001907442</v>
      </c>
      <c r="J2619" s="1">
        <v>1900</v>
      </c>
      <c r="K2619" t="s">
        <v>14742</v>
      </c>
      <c r="L2619" t="s">
        <v>19690</v>
      </c>
    </row>
    <row r="2620" spans="1:12">
      <c r="A2620" t="s">
        <v>14743</v>
      </c>
      <c r="B2620" s="1" t="s">
        <v>14744</v>
      </c>
      <c r="F2620">
        <v>1</v>
      </c>
      <c r="G2620" t="str">
        <f>HYPERLINK("http://babel.hathitrust.org/cgi/pt?id=mdp.39015018428584")</f>
        <v>http://babel.hathitrust.org/cgi/pt?id=mdp.39015018428584</v>
      </c>
      <c r="H2620" t="str">
        <f>HYPERLINK("http://catalog.hathitrust.org/Record/001907504")</f>
        <v>http://catalog.hathitrust.org/Record/001907504</v>
      </c>
      <c r="I2620" s="1" t="s">
        <v>20916</v>
      </c>
      <c r="J2620" s="1">
        <v>1883</v>
      </c>
      <c r="K2620" t="s">
        <v>14745</v>
      </c>
      <c r="L2620" t="s">
        <v>14746</v>
      </c>
    </row>
    <row r="2621" spans="1:12">
      <c r="A2621" t="s">
        <v>14747</v>
      </c>
      <c r="B2621" s="1" t="s">
        <v>14744</v>
      </c>
      <c r="F2621">
        <v>1</v>
      </c>
      <c r="G2621" t="str">
        <f>HYPERLINK("http://babel.hathitrust.org/cgi/pt?id=mdp.39015018428592")</f>
        <v>http://babel.hathitrust.org/cgi/pt?id=mdp.39015018428592</v>
      </c>
      <c r="H2621" t="str">
        <f>HYPERLINK("http://catalog.hathitrust.org/Record/001907504")</f>
        <v>http://catalog.hathitrust.org/Record/001907504</v>
      </c>
      <c r="I2621" s="1" t="s">
        <v>20755</v>
      </c>
      <c r="J2621" s="1">
        <v>1883</v>
      </c>
      <c r="K2621" t="s">
        <v>14745</v>
      </c>
      <c r="L2621" t="s">
        <v>14746</v>
      </c>
    </row>
    <row r="2622" spans="1:12">
      <c r="A2622" t="s">
        <v>14748</v>
      </c>
      <c r="B2622" s="1" t="s">
        <v>14749</v>
      </c>
      <c r="F2622">
        <v>1</v>
      </c>
      <c r="G2622" t="str">
        <f>HYPERLINK("http://babel.hathitrust.org/cgi/pt?id=mdp.39015016747415")</f>
        <v>http://babel.hathitrust.org/cgi/pt?id=mdp.39015016747415</v>
      </c>
      <c r="H2622" t="str">
        <f>HYPERLINK("http://catalog.hathitrust.org/Record/001907519")</f>
        <v>http://catalog.hathitrust.org/Record/001907519</v>
      </c>
      <c r="J2622" s="1">
        <v>1806</v>
      </c>
      <c r="K2622" t="s">
        <v>14750</v>
      </c>
      <c r="L2622" t="s">
        <v>14751</v>
      </c>
    </row>
    <row r="2623" spans="1:12">
      <c r="A2623" t="s">
        <v>14752</v>
      </c>
      <c r="B2623" s="1" t="s">
        <v>14753</v>
      </c>
      <c r="F2623">
        <v>1</v>
      </c>
      <c r="G2623" t="str">
        <f>HYPERLINK("http://babel.hathitrust.org/cgi/pt?id=njp.32101061559967")</f>
        <v>http://babel.hathitrust.org/cgi/pt?id=njp.32101061559967</v>
      </c>
      <c r="H2623" t="str">
        <f>HYPERLINK("http://catalog.hathitrust.org/Record/001907522")</f>
        <v>http://catalog.hathitrust.org/Record/001907522</v>
      </c>
      <c r="J2623" s="1">
        <v>1919</v>
      </c>
      <c r="K2623" t="s">
        <v>14754</v>
      </c>
      <c r="L2623" t="s">
        <v>17761</v>
      </c>
    </row>
    <row r="2624" spans="1:12">
      <c r="A2624" t="s">
        <v>14755</v>
      </c>
      <c r="B2624" s="1" t="s">
        <v>14756</v>
      </c>
      <c r="F2624">
        <v>1</v>
      </c>
      <c r="G2624" t="str">
        <f>HYPERLINK("http://babel.hathitrust.org/cgi/pt?id=mdp.39015031010724")</f>
        <v>http://babel.hathitrust.org/cgi/pt?id=mdp.39015031010724</v>
      </c>
      <c r="H2624" t="str">
        <f>HYPERLINK("http://catalog.hathitrust.org/Record/001907527")</f>
        <v>http://catalog.hathitrust.org/Record/001907527</v>
      </c>
      <c r="J2624" s="1">
        <v>1895</v>
      </c>
      <c r="K2624" t="s">
        <v>14757</v>
      </c>
      <c r="L2624" t="s">
        <v>14758</v>
      </c>
    </row>
    <row r="2625" spans="1:12">
      <c r="A2625" t="s">
        <v>14759</v>
      </c>
      <c r="B2625" s="1" t="s">
        <v>14756</v>
      </c>
      <c r="F2625">
        <v>1</v>
      </c>
      <c r="G2625" t="str">
        <f>HYPERLINK("http://babel.hathitrust.org/cgi/pt?id=uc1.b276195")</f>
        <v>http://babel.hathitrust.org/cgi/pt?id=uc1.b276195</v>
      </c>
      <c r="H2625" t="str">
        <f>HYPERLINK("http://catalog.hathitrust.org/Record/001907527")</f>
        <v>http://catalog.hathitrust.org/Record/001907527</v>
      </c>
      <c r="J2625" s="1">
        <v>1895</v>
      </c>
      <c r="K2625" t="s">
        <v>14757</v>
      </c>
      <c r="L2625" t="s">
        <v>14758</v>
      </c>
    </row>
    <row r="2626" spans="1:12">
      <c r="A2626" t="s">
        <v>14760</v>
      </c>
      <c r="B2626" s="1" t="s">
        <v>14756</v>
      </c>
      <c r="F2626">
        <v>1</v>
      </c>
      <c r="G2626" t="str">
        <f>HYPERLINK("http://babel.hathitrust.org/cgi/pt?id=uc2.ark:/13960/t8bg2mr1g")</f>
        <v>http://babel.hathitrust.org/cgi/pt?id=uc2.ark:/13960/t8bg2mr1g</v>
      </c>
      <c r="H2626" t="str">
        <f>HYPERLINK("http://catalog.hathitrust.org/Record/001907527")</f>
        <v>http://catalog.hathitrust.org/Record/001907527</v>
      </c>
      <c r="J2626" s="1">
        <v>1895</v>
      </c>
      <c r="K2626" t="s">
        <v>14757</v>
      </c>
      <c r="L2626" t="s">
        <v>14758</v>
      </c>
    </row>
    <row r="2627" spans="1:12">
      <c r="A2627" t="s">
        <v>14761</v>
      </c>
      <c r="B2627" s="1" t="s">
        <v>14762</v>
      </c>
      <c r="F2627">
        <v>1</v>
      </c>
      <c r="G2627" t="str">
        <f>HYPERLINK("http://babel.hathitrust.org/cgi/pt?id=mdp.39015010771882")</f>
        <v>http://babel.hathitrust.org/cgi/pt?id=mdp.39015010771882</v>
      </c>
      <c r="H2627" t="str">
        <f>HYPERLINK("http://catalog.hathitrust.org/Record/001907529")</f>
        <v>http://catalog.hathitrust.org/Record/001907529</v>
      </c>
      <c r="J2627" s="1">
        <v>1901</v>
      </c>
      <c r="K2627" t="s">
        <v>14763</v>
      </c>
      <c r="L2627" t="s">
        <v>14764</v>
      </c>
    </row>
    <row r="2628" spans="1:12">
      <c r="A2628" t="s">
        <v>14765</v>
      </c>
      <c r="B2628" s="1" t="s">
        <v>14766</v>
      </c>
      <c r="E2628">
        <v>1</v>
      </c>
      <c r="F2628">
        <v>1</v>
      </c>
      <c r="G2628" t="str">
        <f>HYPERLINK("http://babel.hathitrust.org/cgi/pt?id=mdp.39015004729631")</f>
        <v>http://babel.hathitrust.org/cgi/pt?id=mdp.39015004729631</v>
      </c>
      <c r="H2628" t="str">
        <f>HYPERLINK("http://catalog.hathitrust.org/Record/001907536")</f>
        <v>http://catalog.hathitrust.org/Record/001907536</v>
      </c>
      <c r="J2628" s="1">
        <v>1899</v>
      </c>
      <c r="K2628" t="s">
        <v>14767</v>
      </c>
      <c r="L2628" t="s">
        <v>17875</v>
      </c>
    </row>
    <row r="2629" spans="1:12">
      <c r="A2629" t="s">
        <v>14768</v>
      </c>
      <c r="B2629" s="1" t="s">
        <v>14769</v>
      </c>
      <c r="F2629">
        <v>1</v>
      </c>
      <c r="G2629" t="str">
        <f>HYPERLINK("http://babel.hathitrust.org/cgi/pt?id=mdp.39015030929353")</f>
        <v>http://babel.hathitrust.org/cgi/pt?id=mdp.39015030929353</v>
      </c>
      <c r="H2629" t="str">
        <f>HYPERLINK("http://catalog.hathitrust.org/Record/001907540")</f>
        <v>http://catalog.hathitrust.org/Record/001907540</v>
      </c>
      <c r="J2629" s="1">
        <v>1874</v>
      </c>
      <c r="K2629" t="s">
        <v>14770</v>
      </c>
      <c r="L2629" t="s">
        <v>17875</v>
      </c>
    </row>
    <row r="2630" spans="1:12">
      <c r="A2630" t="s">
        <v>14654</v>
      </c>
      <c r="B2630" s="1" t="s">
        <v>14655</v>
      </c>
      <c r="F2630">
        <v>1</v>
      </c>
      <c r="G2630" t="str">
        <f>HYPERLINK("http://babel.hathitrust.org/cgi/pt?id=mdp.39015041831861")</f>
        <v>http://babel.hathitrust.org/cgi/pt?id=mdp.39015041831861</v>
      </c>
      <c r="H2630" t="str">
        <f>HYPERLINK("http://catalog.hathitrust.org/Record/001907541")</f>
        <v>http://catalog.hathitrust.org/Record/001907541</v>
      </c>
      <c r="J2630" s="1">
        <v>1880</v>
      </c>
      <c r="K2630" t="s">
        <v>14656</v>
      </c>
      <c r="L2630" t="s">
        <v>17875</v>
      </c>
    </row>
    <row r="2631" spans="1:12">
      <c r="A2631" t="s">
        <v>14657</v>
      </c>
      <c r="B2631" s="1" t="s">
        <v>14658</v>
      </c>
      <c r="D2631">
        <v>1</v>
      </c>
      <c r="G2631" t="str">
        <f>HYPERLINK("http://babel.hathitrust.org/cgi/pt?id=mdp.39015016748504")</f>
        <v>http://babel.hathitrust.org/cgi/pt?id=mdp.39015016748504</v>
      </c>
      <c r="H2631" t="str">
        <f>HYPERLINK("http://catalog.hathitrust.org/Record/001907548")</f>
        <v>http://catalog.hathitrust.org/Record/001907548</v>
      </c>
      <c r="J2631" s="1">
        <v>1710</v>
      </c>
      <c r="K2631" t="s">
        <v>14659</v>
      </c>
      <c r="L2631" t="s">
        <v>17659</v>
      </c>
    </row>
    <row r="2632" spans="1:12">
      <c r="A2632" t="s">
        <v>14660</v>
      </c>
      <c r="B2632" s="1" t="s">
        <v>14661</v>
      </c>
      <c r="F2632">
        <v>1</v>
      </c>
      <c r="G2632" t="str">
        <f>HYPERLINK("http://babel.hathitrust.org/cgi/pt?id=mdp.39015030930229")</f>
        <v>http://babel.hathitrust.org/cgi/pt?id=mdp.39015030930229</v>
      </c>
      <c r="H2632" t="str">
        <f>HYPERLINK("http://catalog.hathitrust.org/Record/001907556")</f>
        <v>http://catalog.hathitrust.org/Record/001907556</v>
      </c>
      <c r="J2632" s="1">
        <v>1917</v>
      </c>
      <c r="K2632" t="s">
        <v>14662</v>
      </c>
      <c r="L2632" t="s">
        <v>14663</v>
      </c>
    </row>
    <row r="2633" spans="1:12">
      <c r="A2633" t="s">
        <v>14664</v>
      </c>
      <c r="B2633" s="1" t="s">
        <v>14661</v>
      </c>
      <c r="F2633">
        <v>1</v>
      </c>
      <c r="G2633" t="str">
        <f>HYPERLINK("http://babel.hathitrust.org/cgi/pt?id=uc1.b276197")</f>
        <v>http://babel.hathitrust.org/cgi/pt?id=uc1.b276197</v>
      </c>
      <c r="H2633" t="str">
        <f>HYPERLINK("http://catalog.hathitrust.org/Record/001907556")</f>
        <v>http://catalog.hathitrust.org/Record/001907556</v>
      </c>
      <c r="J2633" s="1">
        <v>1917</v>
      </c>
      <c r="K2633" t="s">
        <v>14662</v>
      </c>
      <c r="L2633" t="s">
        <v>14663</v>
      </c>
    </row>
    <row r="2634" spans="1:12">
      <c r="A2634" t="s">
        <v>14665</v>
      </c>
      <c r="B2634" s="1" t="s">
        <v>14661</v>
      </c>
      <c r="F2634">
        <v>1</v>
      </c>
      <c r="G2634" t="str">
        <f>HYPERLINK("http://babel.hathitrust.org/cgi/pt?id=uc2.ark:/13960/t3pv6f707")</f>
        <v>http://babel.hathitrust.org/cgi/pt?id=uc2.ark:/13960/t3pv6f707</v>
      </c>
      <c r="H2634" t="str">
        <f>HYPERLINK("http://catalog.hathitrust.org/Record/001907556")</f>
        <v>http://catalog.hathitrust.org/Record/001907556</v>
      </c>
      <c r="J2634" s="1">
        <v>1917</v>
      </c>
      <c r="K2634" t="s">
        <v>14662</v>
      </c>
      <c r="L2634" t="s">
        <v>14663</v>
      </c>
    </row>
    <row r="2635" spans="1:12">
      <c r="A2635" t="s">
        <v>14666</v>
      </c>
      <c r="B2635" s="1" t="s">
        <v>14667</v>
      </c>
      <c r="D2635">
        <v>1</v>
      </c>
      <c r="G2635" t="str">
        <f>HYPERLINK("http://babel.hathitrust.org/cgi/pt?id=mdp.39015010483884")</f>
        <v>http://babel.hathitrust.org/cgi/pt?id=mdp.39015010483884</v>
      </c>
      <c r="H2635" t="str">
        <f>HYPERLINK("http://catalog.hathitrust.org/Record/001907559")</f>
        <v>http://catalog.hathitrust.org/Record/001907559</v>
      </c>
      <c r="J2635" s="1">
        <v>1892</v>
      </c>
      <c r="K2635" t="s">
        <v>14668</v>
      </c>
      <c r="L2635" t="s">
        <v>19492</v>
      </c>
    </row>
    <row r="2636" spans="1:12">
      <c r="A2636" t="s">
        <v>14669</v>
      </c>
      <c r="B2636" s="1" t="s">
        <v>14667</v>
      </c>
      <c r="F2636">
        <v>1</v>
      </c>
      <c r="G2636" t="str">
        <f>HYPERLINK("http://babel.hathitrust.org/cgi/pt?id=mdp.39015030930039")</f>
        <v>http://babel.hathitrust.org/cgi/pt?id=mdp.39015030930039</v>
      </c>
      <c r="H2636" t="str">
        <f>HYPERLINK("http://catalog.hathitrust.org/Record/001907559")</f>
        <v>http://catalog.hathitrust.org/Record/001907559</v>
      </c>
      <c r="J2636" s="1">
        <v>1892</v>
      </c>
      <c r="K2636" t="s">
        <v>14668</v>
      </c>
      <c r="L2636" t="s">
        <v>19492</v>
      </c>
    </row>
    <row r="2637" spans="1:12">
      <c r="A2637" t="s">
        <v>14670</v>
      </c>
      <c r="B2637" s="1" t="s">
        <v>14667</v>
      </c>
      <c r="F2637">
        <v>1</v>
      </c>
      <c r="G2637" t="str">
        <f>HYPERLINK("http://babel.hathitrust.org/cgi/pt?id=uc1.b276189")</f>
        <v>http://babel.hathitrust.org/cgi/pt?id=uc1.b276189</v>
      </c>
      <c r="H2637" t="str">
        <f>HYPERLINK("http://catalog.hathitrust.org/Record/001907559")</f>
        <v>http://catalog.hathitrust.org/Record/001907559</v>
      </c>
      <c r="J2637" s="1">
        <v>1892</v>
      </c>
      <c r="K2637" t="s">
        <v>14668</v>
      </c>
      <c r="L2637" t="s">
        <v>19492</v>
      </c>
    </row>
    <row r="2638" spans="1:12">
      <c r="A2638" t="s">
        <v>14671</v>
      </c>
      <c r="B2638" s="1" t="s">
        <v>14672</v>
      </c>
      <c r="D2638">
        <v>1</v>
      </c>
      <c r="G2638" t="str">
        <f>HYPERLINK("http://babel.hathitrust.org/cgi/pt?id=mdp.39015030930070")</f>
        <v>http://babel.hathitrust.org/cgi/pt?id=mdp.39015030930070</v>
      </c>
      <c r="H2638" t="str">
        <f>HYPERLINK("http://catalog.hathitrust.org/Record/001907560")</f>
        <v>http://catalog.hathitrust.org/Record/001907560</v>
      </c>
      <c r="J2638" s="1">
        <v>1893</v>
      </c>
      <c r="K2638" t="s">
        <v>14668</v>
      </c>
      <c r="L2638" t="s">
        <v>19492</v>
      </c>
    </row>
    <row r="2639" spans="1:12">
      <c r="A2639" t="s">
        <v>14673</v>
      </c>
      <c r="B2639" s="1" t="s">
        <v>14674</v>
      </c>
      <c r="F2639">
        <v>1</v>
      </c>
      <c r="G2639" t="str">
        <f>HYPERLINK("http://babel.hathitrust.org/cgi/pt?id=mdp.39015030929098")</f>
        <v>http://babel.hathitrust.org/cgi/pt?id=mdp.39015030929098</v>
      </c>
      <c r="H2639" t="str">
        <f>HYPERLINK("http://catalog.hathitrust.org/Record/001907573")</f>
        <v>http://catalog.hathitrust.org/Record/001907573</v>
      </c>
      <c r="J2639" s="1">
        <v>1918</v>
      </c>
      <c r="K2639" t="s">
        <v>14675</v>
      </c>
      <c r="L2639" t="s">
        <v>18965</v>
      </c>
    </row>
    <row r="2640" spans="1:12">
      <c r="A2640" t="s">
        <v>14676</v>
      </c>
      <c r="B2640" s="1" t="s">
        <v>14674</v>
      </c>
      <c r="F2640">
        <v>1</v>
      </c>
      <c r="G2640" t="str">
        <f>HYPERLINK("http://babel.hathitrust.org/cgi/pt?id=uc1.b3334585")</f>
        <v>http://babel.hathitrust.org/cgi/pt?id=uc1.b3334585</v>
      </c>
      <c r="H2640" t="str">
        <f>HYPERLINK("http://catalog.hathitrust.org/Record/001907573")</f>
        <v>http://catalog.hathitrust.org/Record/001907573</v>
      </c>
      <c r="J2640" s="1">
        <v>1918</v>
      </c>
      <c r="K2640" t="s">
        <v>14675</v>
      </c>
      <c r="L2640" t="s">
        <v>18965</v>
      </c>
    </row>
    <row r="2641" spans="1:12">
      <c r="A2641" t="s">
        <v>14677</v>
      </c>
      <c r="B2641" s="1" t="s">
        <v>14678</v>
      </c>
      <c r="F2641">
        <v>1</v>
      </c>
      <c r="G2641" t="str">
        <f>HYPERLINK("http://babel.hathitrust.org/cgi/pt?id=mdp.39015008924352")</f>
        <v>http://babel.hathitrust.org/cgi/pt?id=mdp.39015008924352</v>
      </c>
      <c r="H2641" t="str">
        <f>HYPERLINK("http://catalog.hathitrust.org/Record/001907583")</f>
        <v>http://catalog.hathitrust.org/Record/001907583</v>
      </c>
      <c r="J2641" s="1">
        <v>1940</v>
      </c>
      <c r="K2641" t="s">
        <v>14679</v>
      </c>
      <c r="L2641" t="s">
        <v>14680</v>
      </c>
    </row>
    <row r="2642" spans="1:12">
      <c r="A2642" t="s">
        <v>14681</v>
      </c>
      <c r="B2642" s="1" t="s">
        <v>14682</v>
      </c>
      <c r="F2642">
        <v>1</v>
      </c>
      <c r="G2642" t="str">
        <f>HYPERLINK("http://babel.hathitrust.org/cgi/pt?id=uc1.b31596")</f>
        <v>http://babel.hathitrust.org/cgi/pt?id=uc1.b31596</v>
      </c>
      <c r="H2642" t="str">
        <f>HYPERLINK("http://catalog.hathitrust.org/Record/001907585")</f>
        <v>http://catalog.hathitrust.org/Record/001907585</v>
      </c>
      <c r="J2642" s="1">
        <v>1871</v>
      </c>
      <c r="K2642" t="s">
        <v>14683</v>
      </c>
      <c r="L2642" t="s">
        <v>14684</v>
      </c>
    </row>
    <row r="2643" spans="1:12">
      <c r="A2643" t="s">
        <v>14685</v>
      </c>
      <c r="B2643" s="1" t="s">
        <v>14686</v>
      </c>
      <c r="D2643">
        <v>1</v>
      </c>
      <c r="G2643" t="str">
        <f>HYPERLINK("http://babel.hathitrust.org/cgi/pt?id=mdp.39015031594768")</f>
        <v>http://babel.hathitrust.org/cgi/pt?id=mdp.39015031594768</v>
      </c>
      <c r="H2643" t="str">
        <f>HYPERLINK("http://catalog.hathitrust.org/Record/001907588")</f>
        <v>http://catalog.hathitrust.org/Record/001907588</v>
      </c>
      <c r="I2643" s="1" t="s">
        <v>20916</v>
      </c>
      <c r="J2643" s="1">
        <v>1718</v>
      </c>
      <c r="K2643" t="s">
        <v>14687</v>
      </c>
      <c r="L2643" t="s">
        <v>14688</v>
      </c>
    </row>
    <row r="2644" spans="1:12">
      <c r="A2644" t="s">
        <v>14689</v>
      </c>
      <c r="B2644" s="1" t="s">
        <v>14686</v>
      </c>
      <c r="D2644">
        <v>1</v>
      </c>
      <c r="G2644" t="str">
        <f>HYPERLINK("http://babel.hathitrust.org/cgi/pt?id=mdp.39015031594776")</f>
        <v>http://babel.hathitrust.org/cgi/pt?id=mdp.39015031594776</v>
      </c>
      <c r="H2644" t="str">
        <f>HYPERLINK("http://catalog.hathitrust.org/Record/001907588")</f>
        <v>http://catalog.hathitrust.org/Record/001907588</v>
      </c>
      <c r="I2644" s="1" t="s">
        <v>20755</v>
      </c>
      <c r="J2644" s="1">
        <v>1718</v>
      </c>
      <c r="K2644" t="s">
        <v>14687</v>
      </c>
      <c r="L2644" t="s">
        <v>14688</v>
      </c>
    </row>
    <row r="2645" spans="1:12">
      <c r="A2645" t="s">
        <v>14690</v>
      </c>
      <c r="B2645" s="1" t="s">
        <v>14691</v>
      </c>
      <c r="F2645">
        <v>1</v>
      </c>
      <c r="G2645" t="str">
        <f>HYPERLINK("http://babel.hathitrust.org/cgi/pt?id=mdp.39015031007514")</f>
        <v>http://babel.hathitrust.org/cgi/pt?id=mdp.39015031007514</v>
      </c>
      <c r="H2645" t="str">
        <f>HYPERLINK("http://catalog.hathitrust.org/Record/001907590")</f>
        <v>http://catalog.hathitrust.org/Record/001907590</v>
      </c>
      <c r="J2645" s="1">
        <v>1921</v>
      </c>
      <c r="K2645" t="s">
        <v>14692</v>
      </c>
      <c r="L2645" t="s">
        <v>14693</v>
      </c>
    </row>
    <row r="2646" spans="1:12">
      <c r="A2646" t="s">
        <v>14694</v>
      </c>
      <c r="B2646" s="1" t="s">
        <v>14695</v>
      </c>
      <c r="F2646">
        <v>1</v>
      </c>
      <c r="G2646" t="str">
        <f>HYPERLINK("http://babel.hathitrust.org/cgi/pt?id=mdp.39015031007563")</f>
        <v>http://babel.hathitrust.org/cgi/pt?id=mdp.39015031007563</v>
      </c>
      <c r="H2646" t="str">
        <f>HYPERLINK("http://catalog.hathitrust.org/Record/001907591")</f>
        <v>http://catalog.hathitrust.org/Record/001907591</v>
      </c>
      <c r="J2646" s="1">
        <v>1897</v>
      </c>
      <c r="K2646" t="s">
        <v>14696</v>
      </c>
      <c r="L2646" t="s">
        <v>19211</v>
      </c>
    </row>
    <row r="2647" spans="1:12">
      <c r="A2647" t="s">
        <v>14697</v>
      </c>
      <c r="B2647" s="1" t="s">
        <v>14695</v>
      </c>
      <c r="F2647">
        <v>1</v>
      </c>
      <c r="G2647" t="str">
        <f>HYPERLINK("http://babel.hathitrust.org/cgi/pt?id=uc1.b3295070")</f>
        <v>http://babel.hathitrust.org/cgi/pt?id=uc1.b3295070</v>
      </c>
      <c r="H2647" t="str">
        <f>HYPERLINK("http://catalog.hathitrust.org/Record/001907591")</f>
        <v>http://catalog.hathitrust.org/Record/001907591</v>
      </c>
      <c r="J2647" s="1">
        <v>1897</v>
      </c>
      <c r="K2647" t="s">
        <v>14696</v>
      </c>
      <c r="L2647" t="s">
        <v>19211</v>
      </c>
    </row>
    <row r="2648" spans="1:12">
      <c r="A2648" t="s">
        <v>14698</v>
      </c>
      <c r="B2648" s="1" t="s">
        <v>14699</v>
      </c>
      <c r="F2648">
        <v>1</v>
      </c>
      <c r="G2648" t="str">
        <f>HYPERLINK("http://babel.hathitrust.org/cgi/pt?id=mdp.39015066118277")</f>
        <v>http://babel.hathitrust.org/cgi/pt?id=mdp.39015066118277</v>
      </c>
      <c r="H2648" t="str">
        <f>HYPERLINK("http://catalog.hathitrust.org/Record/001907596")</f>
        <v>http://catalog.hathitrust.org/Record/001907596</v>
      </c>
      <c r="J2648" s="1">
        <v>1930</v>
      </c>
      <c r="K2648" t="s">
        <v>14700</v>
      </c>
      <c r="L2648" t="s">
        <v>14701</v>
      </c>
    </row>
    <row r="2649" spans="1:12">
      <c r="A2649" t="s">
        <v>14702</v>
      </c>
      <c r="B2649" s="1" t="s">
        <v>14703</v>
      </c>
      <c r="F2649">
        <v>1</v>
      </c>
      <c r="G2649" t="str">
        <f>HYPERLINK("http://babel.hathitrust.org/cgi/pt?id=mdp.39015019951162")</f>
        <v>http://babel.hathitrust.org/cgi/pt?id=mdp.39015019951162</v>
      </c>
      <c r="H2649" t="str">
        <f>HYPERLINK("http://catalog.hathitrust.org/Record/001907600")</f>
        <v>http://catalog.hathitrust.org/Record/001907600</v>
      </c>
      <c r="J2649" s="1">
        <v>1916</v>
      </c>
      <c r="K2649" t="s">
        <v>14704</v>
      </c>
      <c r="L2649" t="s">
        <v>19238</v>
      </c>
    </row>
    <row r="2650" spans="1:12">
      <c r="A2650" t="s">
        <v>14705</v>
      </c>
      <c r="B2650" s="1" t="s">
        <v>14706</v>
      </c>
      <c r="F2650">
        <v>1</v>
      </c>
      <c r="G2650" t="str">
        <f>HYPERLINK("http://babel.hathitrust.org/cgi/pt?id=mdp.39015031007621")</f>
        <v>http://babel.hathitrust.org/cgi/pt?id=mdp.39015031007621</v>
      </c>
      <c r="H2650" t="str">
        <f>HYPERLINK("http://catalog.hathitrust.org/Record/001907605")</f>
        <v>http://catalog.hathitrust.org/Record/001907605</v>
      </c>
      <c r="J2650" s="1">
        <v>1919</v>
      </c>
      <c r="K2650" t="s">
        <v>14707</v>
      </c>
      <c r="L2650" t="s">
        <v>14708</v>
      </c>
    </row>
    <row r="2651" spans="1:12">
      <c r="A2651" t="s">
        <v>14709</v>
      </c>
      <c r="B2651" s="1" t="s">
        <v>14710</v>
      </c>
      <c r="E2651">
        <v>1</v>
      </c>
      <c r="F2651">
        <v>1</v>
      </c>
      <c r="G2651" t="str">
        <f>HYPERLINK("http://babel.hathitrust.org/cgi/pt?id=mdp.39015031007779")</f>
        <v>http://babel.hathitrust.org/cgi/pt?id=mdp.39015031007779</v>
      </c>
      <c r="H2651" t="str">
        <f>HYPERLINK("http://catalog.hathitrust.org/Record/001907610")</f>
        <v>http://catalog.hathitrust.org/Record/001907610</v>
      </c>
      <c r="J2651" s="1">
        <v>1891</v>
      </c>
      <c r="K2651" t="s">
        <v>14592</v>
      </c>
      <c r="L2651" t="s">
        <v>17631</v>
      </c>
    </row>
    <row r="2652" spans="1:12">
      <c r="A2652" t="s">
        <v>14593</v>
      </c>
      <c r="B2652" s="1" t="s">
        <v>14710</v>
      </c>
      <c r="F2652">
        <v>1</v>
      </c>
      <c r="G2652" t="str">
        <f>HYPERLINK("http://babel.hathitrust.org/cgi/pt?id=uc2.ark:/13960/t2q52t154")</f>
        <v>http://babel.hathitrust.org/cgi/pt?id=uc2.ark:/13960/t2q52t154</v>
      </c>
      <c r="H2652" t="str">
        <f>HYPERLINK("http://catalog.hathitrust.org/Record/001907610")</f>
        <v>http://catalog.hathitrust.org/Record/001907610</v>
      </c>
      <c r="J2652" s="1">
        <v>1891</v>
      </c>
      <c r="K2652" t="s">
        <v>14592</v>
      </c>
      <c r="L2652" t="s">
        <v>17631</v>
      </c>
    </row>
    <row r="2653" spans="1:12">
      <c r="A2653" t="s">
        <v>14594</v>
      </c>
      <c r="B2653" s="1" t="s">
        <v>14595</v>
      </c>
      <c r="E2653">
        <v>1</v>
      </c>
      <c r="F2653">
        <v>1</v>
      </c>
      <c r="G2653" t="str">
        <f>HYPERLINK("http://babel.hathitrust.org/cgi/pt?id=mdp.39015031007902")</f>
        <v>http://babel.hathitrust.org/cgi/pt?id=mdp.39015031007902</v>
      </c>
      <c r="H2653" t="str">
        <f>HYPERLINK("http://catalog.hathitrust.org/Record/001907623")</f>
        <v>http://catalog.hathitrust.org/Record/001907623</v>
      </c>
      <c r="J2653" s="1">
        <v>1930</v>
      </c>
      <c r="K2653" t="s">
        <v>14596</v>
      </c>
      <c r="L2653" t="s">
        <v>14597</v>
      </c>
    </row>
    <row r="2654" spans="1:12">
      <c r="A2654" t="s">
        <v>14598</v>
      </c>
      <c r="B2654" s="1" t="s">
        <v>14599</v>
      </c>
      <c r="F2654">
        <v>1</v>
      </c>
      <c r="G2654" t="str">
        <f>HYPERLINK("http://babel.hathitrust.org/cgi/pt?id=mdp.39015031009486")</f>
        <v>http://babel.hathitrust.org/cgi/pt?id=mdp.39015031009486</v>
      </c>
      <c r="H2654" t="str">
        <f>HYPERLINK("http://catalog.hathitrust.org/Record/001907636")</f>
        <v>http://catalog.hathitrust.org/Record/001907636</v>
      </c>
      <c r="J2654" s="1">
        <v>1921</v>
      </c>
      <c r="K2654" t="s">
        <v>14600</v>
      </c>
      <c r="L2654" t="s">
        <v>14601</v>
      </c>
    </row>
    <row r="2655" spans="1:12">
      <c r="A2655" t="s">
        <v>14602</v>
      </c>
      <c r="B2655" s="1" t="s">
        <v>14603</v>
      </c>
      <c r="F2655">
        <v>1</v>
      </c>
      <c r="G2655" t="str">
        <f>HYPERLINK("http://babel.hathitrust.org/cgi/pt?id=mdp.39015031009445")</f>
        <v>http://babel.hathitrust.org/cgi/pt?id=mdp.39015031009445</v>
      </c>
      <c r="H2655" t="str">
        <f>HYPERLINK("http://catalog.hathitrust.org/Record/001907640")</f>
        <v>http://catalog.hathitrust.org/Record/001907640</v>
      </c>
      <c r="J2655" s="1">
        <v>1898</v>
      </c>
      <c r="K2655" t="s">
        <v>14604</v>
      </c>
      <c r="L2655" t="s">
        <v>14605</v>
      </c>
    </row>
    <row r="2656" spans="1:12">
      <c r="A2656" t="s">
        <v>14606</v>
      </c>
      <c r="B2656" s="1" t="s">
        <v>14603</v>
      </c>
      <c r="F2656">
        <v>1</v>
      </c>
      <c r="G2656" t="str">
        <f>HYPERLINK("http://babel.hathitrust.org/cgi/pt?id=uc1.b4500458")</f>
        <v>http://babel.hathitrust.org/cgi/pt?id=uc1.b4500458</v>
      </c>
      <c r="H2656" t="str">
        <f>HYPERLINK("http://catalog.hathitrust.org/Record/001907640")</f>
        <v>http://catalog.hathitrust.org/Record/001907640</v>
      </c>
      <c r="J2656" s="1">
        <v>1898</v>
      </c>
      <c r="K2656" t="s">
        <v>14604</v>
      </c>
      <c r="L2656" t="s">
        <v>14605</v>
      </c>
    </row>
    <row r="2657" spans="1:12">
      <c r="A2657" t="s">
        <v>14607</v>
      </c>
      <c r="B2657" s="1" t="s">
        <v>14603</v>
      </c>
      <c r="F2657">
        <v>1</v>
      </c>
      <c r="G2657" t="str">
        <f>HYPERLINK("http://babel.hathitrust.org/cgi/pt?id=uc2.ark:/13960/t3029263p")</f>
        <v>http://babel.hathitrust.org/cgi/pt?id=uc2.ark:/13960/t3029263p</v>
      </c>
      <c r="H2657" t="str">
        <f>HYPERLINK("http://catalog.hathitrust.org/Record/001907640")</f>
        <v>http://catalog.hathitrust.org/Record/001907640</v>
      </c>
      <c r="J2657" s="1">
        <v>1898</v>
      </c>
      <c r="K2657" t="s">
        <v>14604</v>
      </c>
      <c r="L2657" t="s">
        <v>14605</v>
      </c>
    </row>
    <row r="2658" spans="1:12">
      <c r="A2658" t="s">
        <v>14608</v>
      </c>
      <c r="B2658" s="1" t="s">
        <v>14609</v>
      </c>
      <c r="E2658">
        <v>1</v>
      </c>
      <c r="F2658">
        <v>1</v>
      </c>
      <c r="G2658" t="str">
        <f>HYPERLINK("http://babel.hathitrust.org/cgi/pt?id=mdp.39015031009403")</f>
        <v>http://babel.hathitrust.org/cgi/pt?id=mdp.39015031009403</v>
      </c>
      <c r="H2658" t="str">
        <f>HYPERLINK("http://catalog.hathitrust.org/Record/001907643")</f>
        <v>http://catalog.hathitrust.org/Record/001907643</v>
      </c>
      <c r="J2658" s="1">
        <v>1914</v>
      </c>
      <c r="K2658" t="s">
        <v>14610</v>
      </c>
      <c r="L2658" t="s">
        <v>17579</v>
      </c>
    </row>
    <row r="2659" spans="1:12">
      <c r="A2659" t="s">
        <v>14611</v>
      </c>
      <c r="B2659" s="1" t="s">
        <v>14612</v>
      </c>
      <c r="F2659">
        <v>1</v>
      </c>
      <c r="G2659" t="str">
        <f>HYPERLINK("http://babel.hathitrust.org/cgi/pt?id=mdp.39015008234117")</f>
        <v>http://babel.hathitrust.org/cgi/pt?id=mdp.39015008234117</v>
      </c>
      <c r="H2659" t="str">
        <f>HYPERLINK("http://catalog.hathitrust.org/Record/001907660")</f>
        <v>http://catalog.hathitrust.org/Record/001907660</v>
      </c>
      <c r="J2659" s="1">
        <v>1930</v>
      </c>
      <c r="K2659" t="s">
        <v>14613</v>
      </c>
      <c r="L2659" t="s">
        <v>14614</v>
      </c>
    </row>
    <row r="2660" spans="1:12">
      <c r="A2660" t="s">
        <v>14615</v>
      </c>
      <c r="B2660" s="1" t="s">
        <v>14616</v>
      </c>
      <c r="D2660">
        <v>1</v>
      </c>
      <c r="G2660" t="str">
        <f>HYPERLINK("http://babel.hathitrust.org/cgi/pt?id=mdp.39015049040721")</f>
        <v>http://babel.hathitrust.org/cgi/pt?id=mdp.39015049040721</v>
      </c>
      <c r="H2660" t="str">
        <f>HYPERLINK("http://catalog.hathitrust.org/Record/001907674")</f>
        <v>http://catalog.hathitrust.org/Record/001907674</v>
      </c>
      <c r="J2660" s="1">
        <v>1895</v>
      </c>
      <c r="K2660" t="s">
        <v>14617</v>
      </c>
      <c r="L2660" t="s">
        <v>14618</v>
      </c>
    </row>
    <row r="2661" spans="1:12">
      <c r="A2661" t="s">
        <v>14619</v>
      </c>
      <c r="B2661" s="1" t="s">
        <v>14620</v>
      </c>
      <c r="F2661">
        <v>1</v>
      </c>
      <c r="G2661" t="str">
        <f>HYPERLINK("http://babel.hathitrust.org/cgi/pt?id=hvd.hxg8iq")</f>
        <v>http://babel.hathitrust.org/cgi/pt?id=hvd.hxg8iq</v>
      </c>
      <c r="H2661" t="str">
        <f t="shared" ref="H2661:H2684" si="40">HYPERLINK("http://catalog.hathitrust.org/Record/001907753")</f>
        <v>http://catalog.hathitrust.org/Record/001907753</v>
      </c>
      <c r="I2661" s="1" t="s">
        <v>20916</v>
      </c>
      <c r="J2661" s="1">
        <v>1819</v>
      </c>
      <c r="K2661" t="s">
        <v>14621</v>
      </c>
      <c r="L2661" t="s">
        <v>19662</v>
      </c>
    </row>
    <row r="2662" spans="1:12">
      <c r="A2662" t="s">
        <v>14622</v>
      </c>
      <c r="B2662" s="1" t="s">
        <v>14620</v>
      </c>
      <c r="F2662">
        <v>1</v>
      </c>
      <c r="G2662" t="str">
        <f>HYPERLINK("http://babel.hathitrust.org/cgi/pt?id=mdp.39015031006623")</f>
        <v>http://babel.hathitrust.org/cgi/pt?id=mdp.39015031006623</v>
      </c>
      <c r="H2662" t="str">
        <f t="shared" si="40"/>
        <v>http://catalog.hathitrust.org/Record/001907753</v>
      </c>
      <c r="I2662" s="1" t="s">
        <v>16577</v>
      </c>
      <c r="J2662" s="1">
        <v>1819</v>
      </c>
      <c r="K2662" t="s">
        <v>14621</v>
      </c>
      <c r="L2662" t="s">
        <v>19662</v>
      </c>
    </row>
    <row r="2663" spans="1:12">
      <c r="A2663" t="s">
        <v>14623</v>
      </c>
      <c r="B2663" s="1" t="s">
        <v>14620</v>
      </c>
      <c r="F2663">
        <v>1</v>
      </c>
      <c r="G2663" t="str">
        <f>HYPERLINK("http://babel.hathitrust.org/cgi/pt?id=mdp.39015031006631")</f>
        <v>http://babel.hathitrust.org/cgi/pt?id=mdp.39015031006631</v>
      </c>
      <c r="H2663" t="str">
        <f t="shared" si="40"/>
        <v>http://catalog.hathitrust.org/Record/001907753</v>
      </c>
      <c r="I2663" s="1" t="s">
        <v>21018</v>
      </c>
      <c r="J2663" s="1">
        <v>1819</v>
      </c>
      <c r="K2663" t="s">
        <v>14621</v>
      </c>
      <c r="L2663" t="s">
        <v>19662</v>
      </c>
    </row>
    <row r="2664" spans="1:12">
      <c r="A2664" t="s">
        <v>14624</v>
      </c>
      <c r="B2664" s="1" t="s">
        <v>14620</v>
      </c>
      <c r="F2664">
        <v>1</v>
      </c>
      <c r="G2664" t="str">
        <f>HYPERLINK("http://babel.hathitrust.org/cgi/pt?id=mdp.39015031006649")</f>
        <v>http://babel.hathitrust.org/cgi/pt?id=mdp.39015031006649</v>
      </c>
      <c r="H2664" t="str">
        <f t="shared" si="40"/>
        <v>http://catalog.hathitrust.org/Record/001907753</v>
      </c>
      <c r="I2664" s="1" t="s">
        <v>20681</v>
      </c>
      <c r="J2664" s="1">
        <v>1819</v>
      </c>
      <c r="K2664" t="s">
        <v>14621</v>
      </c>
      <c r="L2664" t="s">
        <v>19662</v>
      </c>
    </row>
    <row r="2665" spans="1:12">
      <c r="A2665" t="s">
        <v>14625</v>
      </c>
      <c r="B2665" s="1" t="s">
        <v>14620</v>
      </c>
      <c r="F2665">
        <v>1</v>
      </c>
      <c r="G2665" t="str">
        <f>HYPERLINK("http://babel.hathitrust.org/cgi/pt?id=mdp.39015031006664")</f>
        <v>http://babel.hathitrust.org/cgi/pt?id=mdp.39015031006664</v>
      </c>
      <c r="H2665" t="str">
        <f t="shared" si="40"/>
        <v>http://catalog.hathitrust.org/Record/001907753</v>
      </c>
      <c r="I2665" s="1" t="s">
        <v>20920</v>
      </c>
      <c r="J2665" s="1">
        <v>1819</v>
      </c>
      <c r="K2665" t="s">
        <v>14621</v>
      </c>
      <c r="L2665" t="s">
        <v>19662</v>
      </c>
    </row>
    <row r="2666" spans="1:12">
      <c r="A2666" t="s">
        <v>14626</v>
      </c>
      <c r="B2666" s="1" t="s">
        <v>14620</v>
      </c>
      <c r="F2666">
        <v>1</v>
      </c>
      <c r="G2666" t="str">
        <f>HYPERLINK("http://babel.hathitrust.org/cgi/pt?id=mdp.39015031006672")</f>
        <v>http://babel.hathitrust.org/cgi/pt?id=mdp.39015031006672</v>
      </c>
      <c r="H2666" t="str">
        <f t="shared" si="40"/>
        <v>http://catalog.hathitrust.org/Record/001907753</v>
      </c>
      <c r="I2666" s="1" t="s">
        <v>20755</v>
      </c>
      <c r="J2666" s="1">
        <v>1819</v>
      </c>
      <c r="K2666" t="s">
        <v>14621</v>
      </c>
      <c r="L2666" t="s">
        <v>19662</v>
      </c>
    </row>
    <row r="2667" spans="1:12">
      <c r="A2667" t="s">
        <v>14627</v>
      </c>
      <c r="B2667" s="1" t="s">
        <v>14620</v>
      </c>
      <c r="F2667">
        <v>1</v>
      </c>
      <c r="G2667" t="str">
        <f>HYPERLINK("http://babel.hathitrust.org/cgi/pt?id=mdp.39015031006680")</f>
        <v>http://babel.hathitrust.org/cgi/pt?id=mdp.39015031006680</v>
      </c>
      <c r="H2667" t="str">
        <f t="shared" si="40"/>
        <v>http://catalog.hathitrust.org/Record/001907753</v>
      </c>
      <c r="I2667" s="1" t="s">
        <v>20916</v>
      </c>
      <c r="J2667" s="1">
        <v>1819</v>
      </c>
      <c r="K2667" t="s">
        <v>14621</v>
      </c>
      <c r="L2667" t="s">
        <v>19662</v>
      </c>
    </row>
    <row r="2668" spans="1:12">
      <c r="A2668" t="s">
        <v>14628</v>
      </c>
      <c r="B2668" s="1" t="s">
        <v>14620</v>
      </c>
      <c r="F2668">
        <v>1</v>
      </c>
      <c r="G2668" t="str">
        <f>HYPERLINK("http://babel.hathitrust.org/cgi/pt?id=nyp.33433076035520")</f>
        <v>http://babel.hathitrust.org/cgi/pt?id=nyp.33433076035520</v>
      </c>
      <c r="H2668" t="str">
        <f t="shared" si="40"/>
        <v>http://catalog.hathitrust.org/Record/001907753</v>
      </c>
      <c r="I2668" s="1" t="s">
        <v>14629</v>
      </c>
      <c r="J2668" s="1">
        <v>1819</v>
      </c>
      <c r="K2668" t="s">
        <v>14621</v>
      </c>
      <c r="L2668" t="s">
        <v>19662</v>
      </c>
    </row>
    <row r="2669" spans="1:12">
      <c r="A2669" t="s">
        <v>14630</v>
      </c>
      <c r="B2669" s="1" t="s">
        <v>14620</v>
      </c>
      <c r="F2669">
        <v>1</v>
      </c>
      <c r="G2669" t="str">
        <f>HYPERLINK("http://babel.hathitrust.org/cgi/pt?id=nyp.33433076035538")</f>
        <v>http://babel.hathitrust.org/cgi/pt?id=nyp.33433076035538</v>
      </c>
      <c r="H2669" t="str">
        <f t="shared" si="40"/>
        <v>http://catalog.hathitrust.org/Record/001907753</v>
      </c>
      <c r="I2669" s="1" t="s">
        <v>14631</v>
      </c>
      <c r="J2669" s="1">
        <v>1819</v>
      </c>
      <c r="K2669" t="s">
        <v>14621</v>
      </c>
      <c r="L2669" t="s">
        <v>19662</v>
      </c>
    </row>
    <row r="2670" spans="1:12">
      <c r="A2670" t="s">
        <v>14632</v>
      </c>
      <c r="B2670" s="1" t="s">
        <v>14620</v>
      </c>
      <c r="F2670">
        <v>1</v>
      </c>
      <c r="G2670" t="str">
        <f>HYPERLINK("http://babel.hathitrust.org/cgi/pt?id=nyp.33433076035546")</f>
        <v>http://babel.hathitrust.org/cgi/pt?id=nyp.33433076035546</v>
      </c>
      <c r="H2670" t="str">
        <f t="shared" si="40"/>
        <v>http://catalog.hathitrust.org/Record/001907753</v>
      </c>
      <c r="I2670" s="1" t="s">
        <v>14633</v>
      </c>
      <c r="J2670" s="1">
        <v>1819</v>
      </c>
      <c r="K2670" t="s">
        <v>14621</v>
      </c>
      <c r="L2670" t="s">
        <v>19662</v>
      </c>
    </row>
    <row r="2671" spans="1:12">
      <c r="A2671" t="s">
        <v>14634</v>
      </c>
      <c r="B2671" s="1" t="s">
        <v>14620</v>
      </c>
      <c r="F2671">
        <v>1</v>
      </c>
      <c r="G2671" t="str">
        <f>HYPERLINK("http://babel.hathitrust.org/cgi/pt?id=nyp.33433076035553")</f>
        <v>http://babel.hathitrust.org/cgi/pt?id=nyp.33433076035553</v>
      </c>
      <c r="H2671" t="str">
        <f t="shared" si="40"/>
        <v>http://catalog.hathitrust.org/Record/001907753</v>
      </c>
      <c r="I2671" s="1" t="s">
        <v>14635</v>
      </c>
      <c r="J2671" s="1">
        <v>1819</v>
      </c>
      <c r="K2671" t="s">
        <v>14621</v>
      </c>
      <c r="L2671" t="s">
        <v>19662</v>
      </c>
    </row>
    <row r="2672" spans="1:12">
      <c r="A2672" t="s">
        <v>14636</v>
      </c>
      <c r="B2672" s="1" t="s">
        <v>14620</v>
      </c>
      <c r="F2672">
        <v>1</v>
      </c>
      <c r="G2672" t="str">
        <f>HYPERLINK("http://babel.hathitrust.org/cgi/pt?id=nyp.33433076035686")</f>
        <v>http://babel.hathitrust.org/cgi/pt?id=nyp.33433076035686</v>
      </c>
      <c r="H2672" t="str">
        <f t="shared" si="40"/>
        <v>http://catalog.hathitrust.org/Record/001907753</v>
      </c>
      <c r="I2672" s="1" t="s">
        <v>14637</v>
      </c>
      <c r="J2672" s="1">
        <v>1819</v>
      </c>
      <c r="K2672" t="s">
        <v>14621</v>
      </c>
      <c r="L2672" t="s">
        <v>19662</v>
      </c>
    </row>
    <row r="2673" spans="1:12">
      <c r="A2673" t="s">
        <v>14638</v>
      </c>
      <c r="B2673" s="1" t="s">
        <v>14620</v>
      </c>
      <c r="F2673">
        <v>1</v>
      </c>
      <c r="G2673" t="str">
        <f>HYPERLINK("http://babel.hathitrust.org/cgi/pt?id=uc1.b3288179")</f>
        <v>http://babel.hathitrust.org/cgi/pt?id=uc1.b3288179</v>
      </c>
      <c r="H2673" t="str">
        <f t="shared" si="40"/>
        <v>http://catalog.hathitrust.org/Record/001907753</v>
      </c>
      <c r="I2673" s="1" t="s">
        <v>20916</v>
      </c>
      <c r="J2673" s="1">
        <v>1819</v>
      </c>
      <c r="K2673" t="s">
        <v>14621</v>
      </c>
      <c r="L2673" t="s">
        <v>19662</v>
      </c>
    </row>
    <row r="2674" spans="1:12">
      <c r="A2674" t="s">
        <v>14639</v>
      </c>
      <c r="B2674" s="1" t="s">
        <v>14620</v>
      </c>
      <c r="F2674">
        <v>1</v>
      </c>
      <c r="G2674" t="str">
        <f>HYPERLINK("http://babel.hathitrust.org/cgi/pt?id=uc1.b3288180")</f>
        <v>http://babel.hathitrust.org/cgi/pt?id=uc1.b3288180</v>
      </c>
      <c r="H2674" t="str">
        <f t="shared" si="40"/>
        <v>http://catalog.hathitrust.org/Record/001907753</v>
      </c>
      <c r="I2674" s="1" t="s">
        <v>20755</v>
      </c>
      <c r="J2674" s="1">
        <v>1819</v>
      </c>
      <c r="K2674" t="s">
        <v>14621</v>
      </c>
      <c r="L2674" t="s">
        <v>19662</v>
      </c>
    </row>
    <row r="2675" spans="1:12">
      <c r="A2675" t="s">
        <v>14640</v>
      </c>
      <c r="B2675" s="1" t="s">
        <v>14620</v>
      </c>
      <c r="F2675">
        <v>1</v>
      </c>
      <c r="G2675" t="str">
        <f>HYPERLINK("http://babel.hathitrust.org/cgi/pt?id=uc1.b3288181")</f>
        <v>http://babel.hathitrust.org/cgi/pt?id=uc1.b3288181</v>
      </c>
      <c r="H2675" t="str">
        <f t="shared" si="40"/>
        <v>http://catalog.hathitrust.org/Record/001907753</v>
      </c>
      <c r="I2675" s="1" t="s">
        <v>20920</v>
      </c>
      <c r="J2675" s="1">
        <v>1819</v>
      </c>
      <c r="K2675" t="s">
        <v>14621</v>
      </c>
      <c r="L2675" t="s">
        <v>19662</v>
      </c>
    </row>
    <row r="2676" spans="1:12">
      <c r="A2676" t="s">
        <v>14641</v>
      </c>
      <c r="B2676" s="1" t="s">
        <v>14620</v>
      </c>
      <c r="F2676">
        <v>1</v>
      </c>
      <c r="G2676" t="str">
        <f>HYPERLINK("http://babel.hathitrust.org/cgi/pt?id=uc1.b3288182")</f>
        <v>http://babel.hathitrust.org/cgi/pt?id=uc1.b3288182</v>
      </c>
      <c r="H2676" t="str">
        <f t="shared" si="40"/>
        <v>http://catalog.hathitrust.org/Record/001907753</v>
      </c>
      <c r="I2676" s="1" t="s">
        <v>20679</v>
      </c>
      <c r="J2676" s="1">
        <v>1819</v>
      </c>
      <c r="K2676" t="s">
        <v>14621</v>
      </c>
      <c r="L2676" t="s">
        <v>19662</v>
      </c>
    </row>
    <row r="2677" spans="1:12">
      <c r="A2677" t="s">
        <v>14642</v>
      </c>
      <c r="B2677" s="1" t="s">
        <v>14620</v>
      </c>
      <c r="F2677">
        <v>1</v>
      </c>
      <c r="G2677" t="str">
        <f>HYPERLINK("http://babel.hathitrust.org/cgi/pt?id=uc1.b3288183")</f>
        <v>http://babel.hathitrust.org/cgi/pt?id=uc1.b3288183</v>
      </c>
      <c r="H2677" t="str">
        <f t="shared" si="40"/>
        <v>http://catalog.hathitrust.org/Record/001907753</v>
      </c>
      <c r="I2677" s="1" t="s">
        <v>20681</v>
      </c>
      <c r="J2677" s="1">
        <v>1819</v>
      </c>
      <c r="K2677" t="s">
        <v>14621</v>
      </c>
      <c r="L2677" t="s">
        <v>19662</v>
      </c>
    </row>
    <row r="2678" spans="1:12">
      <c r="A2678" t="s">
        <v>14643</v>
      </c>
      <c r="B2678" s="1" t="s">
        <v>14620</v>
      </c>
      <c r="F2678">
        <v>1</v>
      </c>
      <c r="G2678" t="str">
        <f>HYPERLINK("http://babel.hathitrust.org/cgi/pt?id=uc1.b3288184")</f>
        <v>http://babel.hathitrust.org/cgi/pt?id=uc1.b3288184</v>
      </c>
      <c r="H2678" t="str">
        <f t="shared" si="40"/>
        <v>http://catalog.hathitrust.org/Record/001907753</v>
      </c>
      <c r="I2678" s="1" t="s">
        <v>16577</v>
      </c>
      <c r="J2678" s="1">
        <v>1819</v>
      </c>
      <c r="K2678" t="s">
        <v>14621</v>
      </c>
      <c r="L2678" t="s">
        <v>19662</v>
      </c>
    </row>
    <row r="2679" spans="1:12">
      <c r="A2679" t="s">
        <v>14644</v>
      </c>
      <c r="B2679" s="1" t="s">
        <v>14620</v>
      </c>
      <c r="F2679">
        <v>1</v>
      </c>
      <c r="G2679" t="str">
        <f>HYPERLINK("http://babel.hathitrust.org/cgi/pt?id=uc2.ark:/13960/t1wd3t21q")</f>
        <v>http://babel.hathitrust.org/cgi/pt?id=uc2.ark:/13960/t1wd3t21q</v>
      </c>
      <c r="H2679" t="str">
        <f t="shared" si="40"/>
        <v>http://catalog.hathitrust.org/Record/001907753</v>
      </c>
      <c r="I2679" s="1" t="s">
        <v>16577</v>
      </c>
      <c r="J2679" s="1">
        <v>1819</v>
      </c>
      <c r="K2679" t="s">
        <v>14621</v>
      </c>
      <c r="L2679" t="s">
        <v>19662</v>
      </c>
    </row>
    <row r="2680" spans="1:12">
      <c r="A2680" t="s">
        <v>14645</v>
      </c>
      <c r="B2680" s="1" t="s">
        <v>14620</v>
      </c>
      <c r="F2680">
        <v>1</v>
      </c>
      <c r="G2680" t="str">
        <f>HYPERLINK("http://babel.hathitrust.org/cgi/pt?id=uc2.ark:/13960/t3kw5bq85")</f>
        <v>http://babel.hathitrust.org/cgi/pt?id=uc2.ark:/13960/t3kw5bq85</v>
      </c>
      <c r="H2680" t="str">
        <f t="shared" si="40"/>
        <v>http://catalog.hathitrust.org/Record/001907753</v>
      </c>
      <c r="I2680" s="1" t="s">
        <v>20755</v>
      </c>
      <c r="J2680" s="1">
        <v>1819</v>
      </c>
      <c r="K2680" t="s">
        <v>14621</v>
      </c>
      <c r="L2680" t="s">
        <v>19662</v>
      </c>
    </row>
    <row r="2681" spans="1:12">
      <c r="A2681" t="s">
        <v>14646</v>
      </c>
      <c r="B2681" s="1" t="s">
        <v>14620</v>
      </c>
      <c r="F2681">
        <v>1</v>
      </c>
      <c r="G2681" t="str">
        <f>HYPERLINK("http://babel.hathitrust.org/cgi/pt?id=uc2.ark:/13960/t5bc3x81f")</f>
        <v>http://babel.hathitrust.org/cgi/pt?id=uc2.ark:/13960/t5bc3x81f</v>
      </c>
      <c r="H2681" t="str">
        <f t="shared" si="40"/>
        <v>http://catalog.hathitrust.org/Record/001907753</v>
      </c>
      <c r="I2681" s="1" t="s">
        <v>20681</v>
      </c>
      <c r="J2681" s="1">
        <v>1819</v>
      </c>
      <c r="K2681" t="s">
        <v>14621</v>
      </c>
      <c r="L2681" t="s">
        <v>19662</v>
      </c>
    </row>
    <row r="2682" spans="1:12">
      <c r="A2682" t="s">
        <v>14647</v>
      </c>
      <c r="B2682" s="1" t="s">
        <v>14620</v>
      </c>
      <c r="F2682">
        <v>1</v>
      </c>
      <c r="G2682" t="str">
        <f>HYPERLINK("http://babel.hathitrust.org/cgi/pt?id=uc2.ark:/13960/t7mp5031x")</f>
        <v>http://babel.hathitrust.org/cgi/pt?id=uc2.ark:/13960/t7mp5031x</v>
      </c>
      <c r="H2682" t="str">
        <f t="shared" si="40"/>
        <v>http://catalog.hathitrust.org/Record/001907753</v>
      </c>
      <c r="I2682" s="1" t="s">
        <v>20679</v>
      </c>
      <c r="J2682" s="1">
        <v>1819</v>
      </c>
      <c r="K2682" t="s">
        <v>14621</v>
      </c>
      <c r="L2682" t="s">
        <v>19662</v>
      </c>
    </row>
    <row r="2683" spans="1:12">
      <c r="A2683" t="s">
        <v>14648</v>
      </c>
      <c r="B2683" s="1" t="s">
        <v>14620</v>
      </c>
      <c r="F2683">
        <v>1</v>
      </c>
      <c r="G2683" t="str">
        <f>HYPERLINK("http://babel.hathitrust.org/cgi/pt?id=uc2.ark:/13960/t8tb12b6g")</f>
        <v>http://babel.hathitrust.org/cgi/pt?id=uc2.ark:/13960/t8tb12b6g</v>
      </c>
      <c r="H2683" t="str">
        <f t="shared" si="40"/>
        <v>http://catalog.hathitrust.org/Record/001907753</v>
      </c>
      <c r="I2683" s="1" t="s">
        <v>20916</v>
      </c>
      <c r="J2683" s="1">
        <v>1819</v>
      </c>
      <c r="K2683" t="s">
        <v>14621</v>
      </c>
      <c r="L2683" t="s">
        <v>19662</v>
      </c>
    </row>
    <row r="2684" spans="1:12">
      <c r="A2684" t="s">
        <v>14649</v>
      </c>
      <c r="B2684" s="1" t="s">
        <v>14620</v>
      </c>
      <c r="F2684">
        <v>1</v>
      </c>
      <c r="G2684" t="str">
        <f>HYPERLINK("http://babel.hathitrust.org/cgi/pt?id=uc2.ark:/13960/t9j38q37q")</f>
        <v>http://babel.hathitrust.org/cgi/pt?id=uc2.ark:/13960/t9j38q37q</v>
      </c>
      <c r="H2684" t="str">
        <f t="shared" si="40"/>
        <v>http://catalog.hathitrust.org/Record/001907753</v>
      </c>
      <c r="I2684" s="1" t="s">
        <v>21018</v>
      </c>
      <c r="J2684" s="1">
        <v>1819</v>
      </c>
      <c r="K2684" t="s">
        <v>14621</v>
      </c>
      <c r="L2684" t="s">
        <v>19662</v>
      </c>
    </row>
    <row r="2685" spans="1:12">
      <c r="A2685" t="s">
        <v>14650</v>
      </c>
      <c r="B2685" s="1" t="s">
        <v>14651</v>
      </c>
      <c r="E2685">
        <v>1</v>
      </c>
      <c r="G2685" t="str">
        <f>HYPERLINK("http://babel.hathitrust.org/cgi/pt?id=mdp.39015000657216")</f>
        <v>http://babel.hathitrust.org/cgi/pt?id=mdp.39015000657216</v>
      </c>
      <c r="H2685" t="str">
        <f>HYPERLINK("http://catalog.hathitrust.org/Record/001907893")</f>
        <v>http://catalog.hathitrust.org/Record/001907893</v>
      </c>
      <c r="J2685" s="1">
        <v>1918</v>
      </c>
      <c r="K2685" t="s">
        <v>17239</v>
      </c>
    </row>
    <row r="2686" spans="1:12">
      <c r="A2686" t="s">
        <v>14652</v>
      </c>
      <c r="B2686" s="1" t="s">
        <v>14653</v>
      </c>
      <c r="E2686">
        <v>1</v>
      </c>
      <c r="G2686" t="str">
        <f>HYPERLINK("http://babel.hathitrust.org/cgi/pt?id=mdp.39015010922790")</f>
        <v>http://babel.hathitrust.org/cgi/pt?id=mdp.39015010922790</v>
      </c>
      <c r="H2686" t="str">
        <f>HYPERLINK("http://catalog.hathitrust.org/Record/001907894")</f>
        <v>http://catalog.hathitrust.org/Record/001907894</v>
      </c>
      <c r="J2686" s="1">
        <v>1919</v>
      </c>
      <c r="K2686" t="s">
        <v>17239</v>
      </c>
    </row>
    <row r="2687" spans="1:12">
      <c r="A2687" t="s">
        <v>14530</v>
      </c>
      <c r="B2687" s="1" t="s">
        <v>14531</v>
      </c>
      <c r="F2687">
        <v>1</v>
      </c>
      <c r="G2687" t="str">
        <f>HYPERLINK("http://babel.hathitrust.org/cgi/pt?id=mdp.39015005757946")</f>
        <v>http://babel.hathitrust.org/cgi/pt?id=mdp.39015005757946</v>
      </c>
      <c r="H2687" t="str">
        <f>HYPERLINK("http://catalog.hathitrust.org/Record/001907919")</f>
        <v>http://catalog.hathitrust.org/Record/001907919</v>
      </c>
      <c r="I2687" s="1" t="s">
        <v>14533</v>
      </c>
      <c r="J2687" s="1">
        <v>1886</v>
      </c>
      <c r="K2687" t="s">
        <v>14532</v>
      </c>
      <c r="L2687" t="s">
        <v>17516</v>
      </c>
    </row>
    <row r="2688" spans="1:12">
      <c r="A2688" t="s">
        <v>14534</v>
      </c>
      <c r="B2688" s="1" t="s">
        <v>14531</v>
      </c>
      <c r="F2688">
        <v>1</v>
      </c>
      <c r="G2688" t="str">
        <f>HYPERLINK("http://babel.hathitrust.org/cgi/pt?id=mdp.39015067453236")</f>
        <v>http://babel.hathitrust.org/cgi/pt?id=mdp.39015067453236</v>
      </c>
      <c r="H2688" t="str">
        <f>HYPERLINK("http://catalog.hathitrust.org/Record/001907919")</f>
        <v>http://catalog.hathitrust.org/Record/001907919</v>
      </c>
      <c r="I2688" s="1" t="s">
        <v>14535</v>
      </c>
      <c r="J2688" s="1">
        <v>1886</v>
      </c>
      <c r="K2688" t="s">
        <v>14532</v>
      </c>
      <c r="L2688" t="s">
        <v>17516</v>
      </c>
    </row>
    <row r="2689" spans="1:12">
      <c r="A2689" t="s">
        <v>14536</v>
      </c>
      <c r="B2689" s="1" t="s">
        <v>14531</v>
      </c>
      <c r="F2689">
        <v>1</v>
      </c>
      <c r="G2689" t="str">
        <f>HYPERLINK("http://babel.hathitrust.org/cgi/pt?id=uva.x000985257")</f>
        <v>http://babel.hathitrust.org/cgi/pt?id=uva.x000985257</v>
      </c>
      <c r="H2689" t="str">
        <f>HYPERLINK("http://catalog.hathitrust.org/Record/001907919")</f>
        <v>http://catalog.hathitrust.org/Record/001907919</v>
      </c>
      <c r="I2689" s="1" t="s">
        <v>14537</v>
      </c>
      <c r="J2689" s="1">
        <v>1886</v>
      </c>
      <c r="K2689" t="s">
        <v>14532</v>
      </c>
      <c r="L2689" t="s">
        <v>17516</v>
      </c>
    </row>
    <row r="2690" spans="1:12">
      <c r="A2690" t="s">
        <v>14538</v>
      </c>
      <c r="B2690" s="1" t="s">
        <v>14531</v>
      </c>
      <c r="F2690">
        <v>1</v>
      </c>
      <c r="G2690" t="str">
        <f>HYPERLINK("http://babel.hathitrust.org/cgi/pt?id=uva.x000985264")</f>
        <v>http://babel.hathitrust.org/cgi/pt?id=uva.x000985264</v>
      </c>
      <c r="H2690" t="str">
        <f>HYPERLINK("http://catalog.hathitrust.org/Record/001907919")</f>
        <v>http://catalog.hathitrust.org/Record/001907919</v>
      </c>
      <c r="I2690" s="1" t="s">
        <v>14533</v>
      </c>
      <c r="J2690" s="1">
        <v>1886</v>
      </c>
      <c r="K2690" t="s">
        <v>14532</v>
      </c>
      <c r="L2690" t="s">
        <v>17516</v>
      </c>
    </row>
    <row r="2691" spans="1:12">
      <c r="A2691" t="s">
        <v>14539</v>
      </c>
      <c r="B2691" s="1" t="s">
        <v>14531</v>
      </c>
      <c r="F2691">
        <v>1</v>
      </c>
      <c r="G2691" t="str">
        <f>HYPERLINK("http://babel.hathitrust.org/cgi/pt?id=uva.x000985265")</f>
        <v>http://babel.hathitrust.org/cgi/pt?id=uva.x000985265</v>
      </c>
      <c r="H2691" t="str">
        <f>HYPERLINK("http://catalog.hathitrust.org/Record/001907919")</f>
        <v>http://catalog.hathitrust.org/Record/001907919</v>
      </c>
      <c r="I2691" s="1" t="s">
        <v>20918</v>
      </c>
      <c r="J2691" s="1">
        <v>1886</v>
      </c>
      <c r="K2691" t="s">
        <v>14532</v>
      </c>
      <c r="L2691" t="s">
        <v>17516</v>
      </c>
    </row>
    <row r="2692" spans="1:12">
      <c r="A2692" t="s">
        <v>14540</v>
      </c>
      <c r="B2692" s="1" t="s">
        <v>14541</v>
      </c>
      <c r="E2692">
        <v>1</v>
      </c>
      <c r="G2692" t="str">
        <f>HYPERLINK("http://babel.hathitrust.org/cgi/pt?id=mdp.39015017644959")</f>
        <v>http://babel.hathitrust.org/cgi/pt?id=mdp.39015017644959</v>
      </c>
      <c r="H2692" t="str">
        <f>HYPERLINK("http://catalog.hathitrust.org/Record/001907992")</f>
        <v>http://catalog.hathitrust.org/Record/001907992</v>
      </c>
      <c r="I2692" s="1" t="s">
        <v>20679</v>
      </c>
      <c r="J2692" s="1">
        <v>1883</v>
      </c>
      <c r="K2692" t="s">
        <v>14542</v>
      </c>
      <c r="L2692" t="s">
        <v>17963</v>
      </c>
    </row>
    <row r="2693" spans="1:12">
      <c r="A2693" t="s">
        <v>14543</v>
      </c>
      <c r="B2693" s="1" t="s">
        <v>14544</v>
      </c>
      <c r="F2693">
        <v>1</v>
      </c>
      <c r="G2693" t="str">
        <f>HYPERLINK("http://babel.hathitrust.org/cgi/pt?id=mdp.39015015381901")</f>
        <v>http://babel.hathitrust.org/cgi/pt?id=mdp.39015015381901</v>
      </c>
      <c r="H2693" t="str">
        <f>HYPERLINK("http://catalog.hathitrust.org/Record/001909585")</f>
        <v>http://catalog.hathitrust.org/Record/001909585</v>
      </c>
      <c r="J2693" s="1">
        <v>1912</v>
      </c>
      <c r="K2693" t="s">
        <v>14545</v>
      </c>
      <c r="L2693" t="s">
        <v>18891</v>
      </c>
    </row>
    <row r="2694" spans="1:12">
      <c r="A2694" t="s">
        <v>14546</v>
      </c>
      <c r="B2694" s="1" t="s">
        <v>14547</v>
      </c>
      <c r="E2694">
        <v>1</v>
      </c>
      <c r="G2694" t="str">
        <f>HYPERLINK("http://babel.hathitrust.org/cgi/pt?id=mdp.39015051168618")</f>
        <v>http://babel.hathitrust.org/cgi/pt?id=mdp.39015051168618</v>
      </c>
      <c r="H2694" t="str">
        <f>HYPERLINK("http://catalog.hathitrust.org/Record/001909802")</f>
        <v>http://catalog.hathitrust.org/Record/001909802</v>
      </c>
      <c r="J2694" s="1">
        <v>1870</v>
      </c>
      <c r="K2694" t="s">
        <v>14548</v>
      </c>
      <c r="L2694" t="s">
        <v>14549</v>
      </c>
    </row>
    <row r="2695" spans="1:12">
      <c r="A2695" t="s">
        <v>14550</v>
      </c>
      <c r="B2695" s="1" t="s">
        <v>14551</v>
      </c>
      <c r="E2695">
        <v>1</v>
      </c>
      <c r="G2695" t="str">
        <f>HYPERLINK("http://babel.hathitrust.org/cgi/pt?id=mdp.39015005763134")</f>
        <v>http://babel.hathitrust.org/cgi/pt?id=mdp.39015005763134</v>
      </c>
      <c r="H2695" t="str">
        <f>HYPERLINK("http://catalog.hathitrust.org/Record/001910771")</f>
        <v>http://catalog.hathitrust.org/Record/001910771</v>
      </c>
      <c r="J2695" s="1">
        <v>1850</v>
      </c>
      <c r="K2695" t="s">
        <v>14552</v>
      </c>
    </row>
    <row r="2696" spans="1:12">
      <c r="A2696" t="s">
        <v>14553</v>
      </c>
      <c r="B2696" s="1" t="s">
        <v>14554</v>
      </c>
      <c r="F2696">
        <v>1</v>
      </c>
      <c r="G2696" t="str">
        <f>HYPERLINK("http://babel.hathitrust.org/cgi/pt?id=mdp.39015002706250")</f>
        <v>http://babel.hathitrust.org/cgi/pt?id=mdp.39015002706250</v>
      </c>
      <c r="H2696" t="str">
        <f>HYPERLINK("http://catalog.hathitrust.org/Record/001910814")</f>
        <v>http://catalog.hathitrust.org/Record/001910814</v>
      </c>
      <c r="J2696" s="1">
        <v>1889</v>
      </c>
      <c r="K2696" t="s">
        <v>14555</v>
      </c>
      <c r="L2696" t="s">
        <v>14556</v>
      </c>
    </row>
    <row r="2697" spans="1:12">
      <c r="A2697" t="s">
        <v>14557</v>
      </c>
      <c r="B2697" s="1" t="s">
        <v>14558</v>
      </c>
      <c r="D2697">
        <v>1</v>
      </c>
      <c r="G2697" t="str">
        <f>HYPERLINK("http://babel.hathitrust.org/cgi/pt?id=mdp.39015082006209")</f>
        <v>http://babel.hathitrust.org/cgi/pt?id=mdp.39015082006209</v>
      </c>
      <c r="H2697" t="str">
        <f>HYPERLINK("http://catalog.hathitrust.org/Record/001915576")</f>
        <v>http://catalog.hathitrust.org/Record/001915576</v>
      </c>
      <c r="J2697" s="1">
        <v>1777</v>
      </c>
      <c r="K2697" t="s">
        <v>14559</v>
      </c>
      <c r="L2697" t="s">
        <v>20275</v>
      </c>
    </row>
    <row r="2698" spans="1:12">
      <c r="A2698" t="s">
        <v>14560</v>
      </c>
      <c r="B2698" s="1" t="s">
        <v>14561</v>
      </c>
      <c r="E2698">
        <v>1</v>
      </c>
      <c r="G2698" t="str">
        <f>HYPERLINK("http://babel.hathitrust.org/cgi/pt?id=mdp.39015002727058")</f>
        <v>http://babel.hathitrust.org/cgi/pt?id=mdp.39015002727058</v>
      </c>
      <c r="H2698" t="str">
        <f>HYPERLINK("http://catalog.hathitrust.org/Record/001919998")</f>
        <v>http://catalog.hathitrust.org/Record/001919998</v>
      </c>
      <c r="I2698" s="1" t="s">
        <v>14563</v>
      </c>
      <c r="J2698" s="1">
        <v>1895</v>
      </c>
      <c r="K2698" t="s">
        <v>14562</v>
      </c>
      <c r="L2698" t="s">
        <v>16848</v>
      </c>
    </row>
    <row r="2699" spans="1:12">
      <c r="A2699" t="s">
        <v>14564</v>
      </c>
      <c r="B2699" s="1" t="s">
        <v>14561</v>
      </c>
      <c r="E2699">
        <v>1</v>
      </c>
      <c r="G2699" t="str">
        <f>HYPERLINK("http://babel.hathitrust.org/cgi/pt?id=mdp.39015002727066")</f>
        <v>http://babel.hathitrust.org/cgi/pt?id=mdp.39015002727066</v>
      </c>
      <c r="H2699" t="str">
        <f>HYPERLINK("http://catalog.hathitrust.org/Record/001919998")</f>
        <v>http://catalog.hathitrust.org/Record/001919998</v>
      </c>
      <c r="I2699" s="1" t="s">
        <v>14537</v>
      </c>
      <c r="J2699" s="1">
        <v>1895</v>
      </c>
      <c r="K2699" t="s">
        <v>14562</v>
      </c>
      <c r="L2699" t="s">
        <v>16848</v>
      </c>
    </row>
    <row r="2700" spans="1:12">
      <c r="A2700" t="s">
        <v>14565</v>
      </c>
      <c r="B2700" s="1" t="s">
        <v>14561</v>
      </c>
      <c r="E2700">
        <v>1</v>
      </c>
      <c r="G2700" t="str">
        <f>HYPERLINK("http://babel.hathitrust.org/cgi/pt?id=mdp.39015002727082")</f>
        <v>http://babel.hathitrust.org/cgi/pt?id=mdp.39015002727082</v>
      </c>
      <c r="H2700" t="str">
        <f>HYPERLINK("http://catalog.hathitrust.org/Record/001919998")</f>
        <v>http://catalog.hathitrust.org/Record/001919998</v>
      </c>
      <c r="I2700" s="1" t="s">
        <v>14566</v>
      </c>
      <c r="J2700" s="1">
        <v>1895</v>
      </c>
      <c r="K2700" t="s">
        <v>14562</v>
      </c>
      <c r="L2700" t="s">
        <v>16848</v>
      </c>
    </row>
    <row r="2701" spans="1:12">
      <c r="A2701" t="s">
        <v>14567</v>
      </c>
      <c r="B2701" s="1" t="s">
        <v>14561</v>
      </c>
      <c r="E2701">
        <v>1</v>
      </c>
      <c r="G2701" t="str">
        <f>HYPERLINK("http://babel.hathitrust.org/cgi/pt?id=mdp.39015002727090")</f>
        <v>http://babel.hathitrust.org/cgi/pt?id=mdp.39015002727090</v>
      </c>
      <c r="H2701" t="str">
        <f>HYPERLINK("http://catalog.hathitrust.org/Record/001919998")</f>
        <v>http://catalog.hathitrust.org/Record/001919998</v>
      </c>
      <c r="I2701" s="1" t="s">
        <v>14568</v>
      </c>
      <c r="J2701" s="1">
        <v>1895</v>
      </c>
      <c r="K2701" t="s">
        <v>14562</v>
      </c>
      <c r="L2701" t="s">
        <v>16848</v>
      </c>
    </row>
    <row r="2702" spans="1:12">
      <c r="A2702" t="s">
        <v>14569</v>
      </c>
      <c r="B2702" s="1" t="s">
        <v>14561</v>
      </c>
      <c r="E2702">
        <v>1</v>
      </c>
      <c r="G2702" t="str">
        <f>HYPERLINK("http://babel.hathitrust.org/cgi/pt?id=mdp.39015002727231")</f>
        <v>http://babel.hathitrust.org/cgi/pt?id=mdp.39015002727231</v>
      </c>
      <c r="H2702" t="str">
        <f>HYPERLINK("http://catalog.hathitrust.org/Record/001919998")</f>
        <v>http://catalog.hathitrust.org/Record/001919998</v>
      </c>
      <c r="I2702" s="1" t="s">
        <v>20918</v>
      </c>
      <c r="J2702" s="1">
        <v>1895</v>
      </c>
      <c r="K2702" t="s">
        <v>14562</v>
      </c>
      <c r="L2702" t="s">
        <v>16848</v>
      </c>
    </row>
    <row r="2703" spans="1:12">
      <c r="A2703" t="s">
        <v>14570</v>
      </c>
      <c r="B2703" s="1" t="s">
        <v>14571</v>
      </c>
      <c r="E2703">
        <v>1</v>
      </c>
      <c r="G2703" t="str">
        <f>HYPERLINK("http://babel.hathitrust.org/cgi/pt?id=yale.39002004911344")</f>
        <v>http://babel.hathitrust.org/cgi/pt?id=yale.39002004911344</v>
      </c>
      <c r="H2703" t="str">
        <f>HYPERLINK("http://catalog.hathitrust.org/Record/001927023")</f>
        <v>http://catalog.hathitrust.org/Record/001927023</v>
      </c>
      <c r="I2703" s="1" t="s">
        <v>20916</v>
      </c>
      <c r="J2703" s="1">
        <v>1843</v>
      </c>
      <c r="K2703" t="s">
        <v>14572</v>
      </c>
      <c r="L2703" t="s">
        <v>14573</v>
      </c>
    </row>
    <row r="2704" spans="1:12">
      <c r="A2704" t="s">
        <v>14574</v>
      </c>
      <c r="B2704" s="1" t="s">
        <v>14571</v>
      </c>
      <c r="E2704">
        <v>1</v>
      </c>
      <c r="G2704" t="str">
        <f>HYPERLINK("http://babel.hathitrust.org/cgi/pt?id=yale.39002004911377")</f>
        <v>http://babel.hathitrust.org/cgi/pt?id=yale.39002004911377</v>
      </c>
      <c r="H2704" t="str">
        <f>HYPERLINK("http://catalog.hathitrust.org/Record/001927023")</f>
        <v>http://catalog.hathitrust.org/Record/001927023</v>
      </c>
      <c r="I2704" s="1" t="s">
        <v>20755</v>
      </c>
      <c r="J2704" s="1">
        <v>1843</v>
      </c>
      <c r="K2704" t="s">
        <v>14572</v>
      </c>
      <c r="L2704" t="s">
        <v>14573</v>
      </c>
    </row>
    <row r="2705" spans="1:12">
      <c r="A2705" t="s">
        <v>14575</v>
      </c>
      <c r="B2705" s="1" t="s">
        <v>14576</v>
      </c>
      <c r="F2705">
        <v>1</v>
      </c>
      <c r="G2705" t="str">
        <f>HYPERLINK("http://babel.hathitrust.org/cgi/pt?id=mdp.39015031010179")</f>
        <v>http://babel.hathitrust.org/cgi/pt?id=mdp.39015031010179</v>
      </c>
      <c r="H2705" t="str">
        <f>HYPERLINK("http://catalog.hathitrust.org/Record/001958309")</f>
        <v>http://catalog.hathitrust.org/Record/001958309</v>
      </c>
      <c r="J2705" s="1">
        <v>1919</v>
      </c>
      <c r="K2705" t="s">
        <v>14577</v>
      </c>
      <c r="L2705" t="s">
        <v>14578</v>
      </c>
    </row>
    <row r="2706" spans="1:12">
      <c r="A2706" t="s">
        <v>14579</v>
      </c>
      <c r="B2706" s="1" t="s">
        <v>14576</v>
      </c>
      <c r="F2706">
        <v>1</v>
      </c>
      <c r="G2706" t="str">
        <f>HYPERLINK("http://babel.hathitrust.org/cgi/pt?id=uc1.b249299")</f>
        <v>http://babel.hathitrust.org/cgi/pt?id=uc1.b249299</v>
      </c>
      <c r="H2706" t="str">
        <f>HYPERLINK("http://catalog.hathitrust.org/Record/001958309")</f>
        <v>http://catalog.hathitrust.org/Record/001958309</v>
      </c>
      <c r="J2706" s="1">
        <v>1919</v>
      </c>
      <c r="K2706" t="s">
        <v>14577</v>
      </c>
      <c r="L2706" t="s">
        <v>14578</v>
      </c>
    </row>
    <row r="2707" spans="1:12">
      <c r="A2707" t="s">
        <v>14580</v>
      </c>
      <c r="B2707" s="1" t="s">
        <v>14576</v>
      </c>
      <c r="F2707">
        <v>1</v>
      </c>
      <c r="G2707" t="str">
        <f>HYPERLINK("http://babel.hathitrust.org/cgi/pt?id=uc1.b3386296")</f>
        <v>http://babel.hathitrust.org/cgi/pt?id=uc1.b3386296</v>
      </c>
      <c r="H2707" t="str">
        <f>HYPERLINK("http://catalog.hathitrust.org/Record/001958309")</f>
        <v>http://catalog.hathitrust.org/Record/001958309</v>
      </c>
      <c r="J2707" s="1">
        <v>1919</v>
      </c>
      <c r="K2707" t="s">
        <v>14577</v>
      </c>
      <c r="L2707" t="s">
        <v>14578</v>
      </c>
    </row>
    <row r="2708" spans="1:12">
      <c r="A2708" t="s">
        <v>14581</v>
      </c>
      <c r="B2708" s="1" t="s">
        <v>14576</v>
      </c>
      <c r="F2708">
        <v>1</v>
      </c>
      <c r="G2708" t="str">
        <f>HYPERLINK("http://babel.hathitrust.org/cgi/pt?id=uc2.ark:/13960/t46q2160v")</f>
        <v>http://babel.hathitrust.org/cgi/pt?id=uc2.ark:/13960/t46q2160v</v>
      </c>
      <c r="H2708" t="str">
        <f>HYPERLINK("http://catalog.hathitrust.org/Record/001958309")</f>
        <v>http://catalog.hathitrust.org/Record/001958309</v>
      </c>
      <c r="J2708" s="1">
        <v>1919</v>
      </c>
      <c r="K2708" t="s">
        <v>14577</v>
      </c>
      <c r="L2708" t="s">
        <v>14578</v>
      </c>
    </row>
    <row r="2709" spans="1:12">
      <c r="A2709" t="s">
        <v>14582</v>
      </c>
      <c r="B2709" s="1" t="s">
        <v>14583</v>
      </c>
      <c r="F2709">
        <v>1</v>
      </c>
      <c r="G2709" t="str">
        <f>HYPERLINK("http://babel.hathitrust.org/cgi/pt?id=mdp.39015066295596")</f>
        <v>http://babel.hathitrust.org/cgi/pt?id=mdp.39015066295596</v>
      </c>
      <c r="H2709" t="str">
        <f>HYPERLINK("http://catalog.hathitrust.org/Record/001958312")</f>
        <v>http://catalog.hathitrust.org/Record/001958312</v>
      </c>
      <c r="J2709" s="1">
        <v>1918</v>
      </c>
      <c r="K2709" t="s">
        <v>14584</v>
      </c>
      <c r="L2709" t="s">
        <v>14601</v>
      </c>
    </row>
    <row r="2710" spans="1:12">
      <c r="A2710" t="s">
        <v>14585</v>
      </c>
      <c r="B2710" s="1" t="s">
        <v>14583</v>
      </c>
      <c r="F2710">
        <v>1</v>
      </c>
      <c r="G2710" t="str">
        <f>HYPERLINK("http://babel.hathitrust.org/cgi/pt?id=uc1.b276139")</f>
        <v>http://babel.hathitrust.org/cgi/pt?id=uc1.b276139</v>
      </c>
      <c r="H2710" t="str">
        <f>HYPERLINK("http://catalog.hathitrust.org/Record/001958312")</f>
        <v>http://catalog.hathitrust.org/Record/001958312</v>
      </c>
      <c r="J2710" s="1">
        <v>1918</v>
      </c>
      <c r="K2710" t="s">
        <v>14584</v>
      </c>
      <c r="L2710" t="s">
        <v>14601</v>
      </c>
    </row>
    <row r="2711" spans="1:12">
      <c r="A2711" t="s">
        <v>14586</v>
      </c>
      <c r="B2711" s="1" t="s">
        <v>14587</v>
      </c>
      <c r="F2711">
        <v>1</v>
      </c>
      <c r="G2711" t="str">
        <f>HYPERLINK("http://babel.hathitrust.org/cgi/pt?id=mdp.39015031072369")</f>
        <v>http://babel.hathitrust.org/cgi/pt?id=mdp.39015031072369</v>
      </c>
      <c r="H2711" t="str">
        <f>HYPERLINK("http://catalog.hathitrust.org/Record/001958685")</f>
        <v>http://catalog.hathitrust.org/Record/001958685</v>
      </c>
      <c r="J2711" s="1">
        <v>1945</v>
      </c>
      <c r="K2711" t="s">
        <v>14588</v>
      </c>
      <c r="L2711" t="s">
        <v>14589</v>
      </c>
    </row>
    <row r="2712" spans="1:12">
      <c r="A2712" t="s">
        <v>14590</v>
      </c>
      <c r="B2712" s="1" t="s">
        <v>14587</v>
      </c>
      <c r="F2712">
        <v>1</v>
      </c>
      <c r="G2712" t="str">
        <f>HYPERLINK("http://babel.hathitrust.org/cgi/pt?id=uc1.$b729312")</f>
        <v>http://babel.hathitrust.org/cgi/pt?id=uc1.$b729312</v>
      </c>
      <c r="H2712" t="str">
        <f>HYPERLINK("http://catalog.hathitrust.org/Record/001958685")</f>
        <v>http://catalog.hathitrust.org/Record/001958685</v>
      </c>
      <c r="J2712" s="1">
        <v>1945</v>
      </c>
      <c r="K2712" t="s">
        <v>14588</v>
      </c>
      <c r="L2712" t="s">
        <v>14589</v>
      </c>
    </row>
    <row r="2713" spans="1:12">
      <c r="A2713" t="s">
        <v>14591</v>
      </c>
      <c r="B2713" s="1" t="s">
        <v>14478</v>
      </c>
      <c r="F2713">
        <v>1</v>
      </c>
      <c r="G2713" t="str">
        <f>HYPERLINK("http://babel.hathitrust.org/cgi/pt?id=mdp.39015030925401")</f>
        <v>http://babel.hathitrust.org/cgi/pt?id=mdp.39015030925401</v>
      </c>
      <c r="H2713" t="str">
        <f>HYPERLINK("http://catalog.hathitrust.org/Record/001958833")</f>
        <v>http://catalog.hathitrust.org/Record/001958833</v>
      </c>
      <c r="J2713" s="1">
        <v>1918</v>
      </c>
      <c r="K2713" t="s">
        <v>14479</v>
      </c>
      <c r="L2713" t="s">
        <v>16892</v>
      </c>
    </row>
    <row r="2714" spans="1:12">
      <c r="A2714" t="s">
        <v>14480</v>
      </c>
      <c r="B2714" s="1" t="s">
        <v>14478</v>
      </c>
      <c r="F2714">
        <v>1</v>
      </c>
      <c r="G2714" t="str">
        <f>HYPERLINK("http://babel.hathitrust.org/cgi/pt?id=uc1.b257640")</f>
        <v>http://babel.hathitrust.org/cgi/pt?id=uc1.b257640</v>
      </c>
      <c r="H2714" t="str">
        <f>HYPERLINK("http://catalog.hathitrust.org/Record/001958833")</f>
        <v>http://catalog.hathitrust.org/Record/001958833</v>
      </c>
      <c r="J2714" s="1">
        <v>1918</v>
      </c>
      <c r="K2714" t="s">
        <v>14479</v>
      </c>
      <c r="L2714" t="s">
        <v>16892</v>
      </c>
    </row>
    <row r="2715" spans="1:12">
      <c r="A2715" t="s">
        <v>14481</v>
      </c>
      <c r="B2715" s="1" t="s">
        <v>14478</v>
      </c>
      <c r="F2715">
        <v>1</v>
      </c>
      <c r="G2715" t="str">
        <f>HYPERLINK("http://babel.hathitrust.org/cgi/pt?id=uc2.ark:/13960/t01z44999")</f>
        <v>http://babel.hathitrust.org/cgi/pt?id=uc2.ark:/13960/t01z44999</v>
      </c>
      <c r="H2715" t="str">
        <f>HYPERLINK("http://catalog.hathitrust.org/Record/001958833")</f>
        <v>http://catalog.hathitrust.org/Record/001958833</v>
      </c>
      <c r="J2715" s="1">
        <v>1918</v>
      </c>
      <c r="K2715" t="s">
        <v>14479</v>
      </c>
      <c r="L2715" t="s">
        <v>16892</v>
      </c>
    </row>
    <row r="2716" spans="1:12">
      <c r="A2716" t="s">
        <v>14482</v>
      </c>
      <c r="B2716" s="1" t="s">
        <v>14483</v>
      </c>
      <c r="C2716">
        <v>1</v>
      </c>
      <c r="G2716" t="str">
        <f>HYPERLINK("http://babel.hathitrust.org/cgi/pt?id=mdp.39015009444814")</f>
        <v>http://babel.hathitrust.org/cgi/pt?id=mdp.39015009444814</v>
      </c>
      <c r="H2716" t="str">
        <f>HYPERLINK("http://catalog.hathitrust.org/Record/001980136")</f>
        <v>http://catalog.hathitrust.org/Record/001980136</v>
      </c>
      <c r="J2716" s="1">
        <v>1849</v>
      </c>
      <c r="K2716" t="s">
        <v>14484</v>
      </c>
      <c r="L2716" t="s">
        <v>14485</v>
      </c>
    </row>
    <row r="2717" spans="1:12">
      <c r="A2717" t="s">
        <v>14486</v>
      </c>
      <c r="B2717" s="1" t="s">
        <v>14487</v>
      </c>
      <c r="E2717">
        <v>1</v>
      </c>
      <c r="G2717" t="str">
        <f>HYPERLINK("http://babel.hathitrust.org/cgi/pt?id=mdp.39015009445225")</f>
        <v>http://babel.hathitrust.org/cgi/pt?id=mdp.39015009445225</v>
      </c>
      <c r="H2717" t="str">
        <f>HYPERLINK("http://catalog.hathitrust.org/Record/001980198")</f>
        <v>http://catalog.hathitrust.org/Record/001980198</v>
      </c>
      <c r="J2717" s="1">
        <v>1922</v>
      </c>
      <c r="K2717" t="s">
        <v>17193</v>
      </c>
      <c r="L2717" t="s">
        <v>17194</v>
      </c>
    </row>
    <row r="2718" spans="1:12">
      <c r="A2718" t="s">
        <v>14488</v>
      </c>
      <c r="B2718" s="1" t="s">
        <v>14489</v>
      </c>
      <c r="F2718">
        <v>1</v>
      </c>
      <c r="G2718" t="str">
        <f>HYPERLINK("http://babel.hathitrust.org/cgi/pt?id=mdp.39015024186366")</f>
        <v>http://babel.hathitrust.org/cgi/pt?id=mdp.39015024186366</v>
      </c>
      <c r="H2718" t="str">
        <f>HYPERLINK("http://catalog.hathitrust.org/Record/001981281")</f>
        <v>http://catalog.hathitrust.org/Record/001981281</v>
      </c>
      <c r="J2718" s="1">
        <v>1874</v>
      </c>
      <c r="K2718" t="s">
        <v>14490</v>
      </c>
      <c r="L2718" t="s">
        <v>15182</v>
      </c>
    </row>
    <row r="2719" spans="1:12">
      <c r="A2719" t="s">
        <v>14491</v>
      </c>
      <c r="B2719" s="1" t="s">
        <v>14489</v>
      </c>
      <c r="F2719">
        <v>1</v>
      </c>
      <c r="G2719" t="str">
        <f>HYPERLINK("http://babel.hathitrust.org/cgi/pt?id=nnc1.cu50494830")</f>
        <v>http://babel.hathitrust.org/cgi/pt?id=nnc1.cu50494830</v>
      </c>
      <c r="H2719" t="str">
        <f>HYPERLINK("http://catalog.hathitrust.org/Record/001981281")</f>
        <v>http://catalog.hathitrust.org/Record/001981281</v>
      </c>
      <c r="J2719" s="1">
        <v>1874</v>
      </c>
      <c r="K2719" t="s">
        <v>14490</v>
      </c>
      <c r="L2719" t="s">
        <v>15182</v>
      </c>
    </row>
    <row r="2720" spans="1:12">
      <c r="A2720" t="s">
        <v>14492</v>
      </c>
      <c r="B2720" s="1" t="s">
        <v>14493</v>
      </c>
      <c r="F2720">
        <v>1</v>
      </c>
      <c r="G2720" t="str">
        <f>HYPERLINK("http://babel.hathitrust.org/cgi/pt?id=nyp.33433069243255")</f>
        <v>http://babel.hathitrust.org/cgi/pt?id=nyp.33433069243255</v>
      </c>
      <c r="H2720" t="str">
        <f>HYPERLINK("http://catalog.hathitrust.org/Record/001981325")</f>
        <v>http://catalog.hathitrust.org/Record/001981325</v>
      </c>
      <c r="J2720" s="1">
        <v>1906</v>
      </c>
      <c r="K2720" t="s">
        <v>14494</v>
      </c>
      <c r="L2720" t="s">
        <v>14495</v>
      </c>
    </row>
    <row r="2721" spans="1:12">
      <c r="A2721" t="s">
        <v>14496</v>
      </c>
      <c r="B2721" s="1" t="s">
        <v>14497</v>
      </c>
      <c r="F2721">
        <v>1</v>
      </c>
      <c r="G2721" t="str">
        <f>HYPERLINK("http://babel.hathitrust.org/cgi/pt?id=mdp.39015030990892")</f>
        <v>http://babel.hathitrust.org/cgi/pt?id=mdp.39015030990892</v>
      </c>
      <c r="H2721" t="str">
        <f>HYPERLINK("http://catalog.hathitrust.org/Record/001988517")</f>
        <v>http://catalog.hathitrust.org/Record/001988517</v>
      </c>
      <c r="J2721" s="1">
        <v>1935</v>
      </c>
      <c r="K2721" t="s">
        <v>14498</v>
      </c>
      <c r="L2721" t="s">
        <v>19749</v>
      </c>
    </row>
    <row r="2722" spans="1:12">
      <c r="A2722" t="s">
        <v>14499</v>
      </c>
      <c r="B2722" s="1" t="s">
        <v>14500</v>
      </c>
      <c r="F2722">
        <v>1</v>
      </c>
      <c r="G2722" t="str">
        <f>HYPERLINK("http://babel.hathitrust.org/cgi/pt?id=uva.x000926755")</f>
        <v>http://babel.hathitrust.org/cgi/pt?id=uva.x000926755</v>
      </c>
      <c r="H2722" t="str">
        <f>HYPERLINK("http://catalog.hathitrust.org/Record/002038819")</f>
        <v>http://catalog.hathitrust.org/Record/002038819</v>
      </c>
      <c r="I2722" s="1" t="s">
        <v>14502</v>
      </c>
      <c r="J2722" s="1">
        <v>1892</v>
      </c>
      <c r="K2722" t="s">
        <v>14501</v>
      </c>
      <c r="L2722" t="s">
        <v>19487</v>
      </c>
    </row>
    <row r="2723" spans="1:12">
      <c r="A2723" t="s">
        <v>14503</v>
      </c>
      <c r="B2723" s="1" t="s">
        <v>14504</v>
      </c>
      <c r="F2723">
        <v>1</v>
      </c>
      <c r="G2723" t="str">
        <f>HYPERLINK("http://babel.hathitrust.org/cgi/pt?id=uc1.b3576292")</f>
        <v>http://babel.hathitrust.org/cgi/pt?id=uc1.b3576292</v>
      </c>
      <c r="H2723" t="str">
        <f>HYPERLINK("http://catalog.hathitrust.org/Record/002039766")</f>
        <v>http://catalog.hathitrust.org/Record/002039766</v>
      </c>
      <c r="J2723" s="1">
        <v>1902</v>
      </c>
      <c r="K2723" t="s">
        <v>14505</v>
      </c>
      <c r="L2723" t="s">
        <v>14506</v>
      </c>
    </row>
    <row r="2724" spans="1:12">
      <c r="A2724" t="s">
        <v>14507</v>
      </c>
      <c r="B2724" s="1" t="s">
        <v>14504</v>
      </c>
      <c r="F2724">
        <v>1</v>
      </c>
      <c r="G2724" t="str">
        <f>HYPERLINK("http://babel.hathitrust.org/cgi/pt?id=uc2.ark:/13960/t8gf0xk51")</f>
        <v>http://babel.hathitrust.org/cgi/pt?id=uc2.ark:/13960/t8gf0xk51</v>
      </c>
      <c r="H2724" t="str">
        <f>HYPERLINK("http://catalog.hathitrust.org/Record/002039766")</f>
        <v>http://catalog.hathitrust.org/Record/002039766</v>
      </c>
      <c r="J2724" s="1">
        <v>1902</v>
      </c>
      <c r="K2724" t="s">
        <v>14505</v>
      </c>
      <c r="L2724" t="s">
        <v>14506</v>
      </c>
    </row>
    <row r="2725" spans="1:12">
      <c r="A2725" t="s">
        <v>14508</v>
      </c>
      <c r="B2725" s="1" t="s">
        <v>14509</v>
      </c>
      <c r="F2725">
        <v>1</v>
      </c>
      <c r="G2725" t="str">
        <f>HYPERLINK("http://babel.hathitrust.org/cgi/pt?id=mdp.39015019208274")</f>
        <v>http://babel.hathitrust.org/cgi/pt?id=mdp.39015019208274</v>
      </c>
      <c r="H2725" t="str">
        <f>HYPERLINK("http://catalog.hathitrust.org/Record/002052996")</f>
        <v>http://catalog.hathitrust.org/Record/002052996</v>
      </c>
      <c r="J2725" s="1">
        <v>1910</v>
      </c>
      <c r="K2725" t="s">
        <v>14510</v>
      </c>
      <c r="L2725" t="s">
        <v>14511</v>
      </c>
    </row>
    <row r="2726" spans="1:12">
      <c r="A2726" t="s">
        <v>14512</v>
      </c>
      <c r="B2726" s="1" t="s">
        <v>14513</v>
      </c>
      <c r="D2726">
        <v>1</v>
      </c>
      <c r="G2726" t="str">
        <f>HYPERLINK("http://babel.hathitrust.org/cgi/pt?id=mdp.39015030925682")</f>
        <v>http://babel.hathitrust.org/cgi/pt?id=mdp.39015030925682</v>
      </c>
      <c r="H2726" t="str">
        <f>HYPERLINK("http://catalog.hathitrust.org/Record/002056851")</f>
        <v>http://catalog.hathitrust.org/Record/002056851</v>
      </c>
      <c r="J2726" s="1">
        <v>1809</v>
      </c>
      <c r="K2726" t="s">
        <v>14514</v>
      </c>
      <c r="L2726" t="s">
        <v>20043</v>
      </c>
    </row>
    <row r="2727" spans="1:12">
      <c r="A2727" t="s">
        <v>14515</v>
      </c>
      <c r="B2727" s="1" t="s">
        <v>14516</v>
      </c>
      <c r="F2727">
        <v>1</v>
      </c>
      <c r="G2727" t="str">
        <f>HYPERLINK("http://babel.hathitrust.org/cgi/pt?id=mdp.39015062916807")</f>
        <v>http://babel.hathitrust.org/cgi/pt?id=mdp.39015062916807</v>
      </c>
      <c r="H2727" t="str">
        <f>HYPERLINK("http://catalog.hathitrust.org/Record/002168323")</f>
        <v>http://catalog.hathitrust.org/Record/002168323</v>
      </c>
      <c r="J2727" s="1">
        <v>1883</v>
      </c>
      <c r="K2727" t="s">
        <v>14517</v>
      </c>
      <c r="L2727" t="s">
        <v>14518</v>
      </c>
    </row>
    <row r="2728" spans="1:12">
      <c r="A2728" t="s">
        <v>14519</v>
      </c>
      <c r="B2728" s="1" t="s">
        <v>14520</v>
      </c>
      <c r="F2728">
        <v>1</v>
      </c>
      <c r="G2728" t="str">
        <f>HYPERLINK("http://babel.hathitrust.org/cgi/pt?id=mdp.39015035310641")</f>
        <v>http://babel.hathitrust.org/cgi/pt?id=mdp.39015035310641</v>
      </c>
      <c r="H2728" t="str">
        <f>HYPERLINK("http://catalog.hathitrust.org/Record/002239769")</f>
        <v>http://catalog.hathitrust.org/Record/002239769</v>
      </c>
      <c r="J2728" s="1">
        <v>1959</v>
      </c>
      <c r="K2728" t="s">
        <v>20192</v>
      </c>
      <c r="L2728" t="s">
        <v>20193</v>
      </c>
    </row>
    <row r="2729" spans="1:12">
      <c r="A2729" t="s">
        <v>14521</v>
      </c>
      <c r="B2729" s="1" t="s">
        <v>14522</v>
      </c>
      <c r="F2729">
        <v>1</v>
      </c>
      <c r="G2729" t="str">
        <f>HYPERLINK("http://babel.hathitrust.org/cgi/pt?id=mdp.39015031107546")</f>
        <v>http://babel.hathitrust.org/cgi/pt?id=mdp.39015031107546</v>
      </c>
      <c r="H2729" t="str">
        <f>HYPERLINK("http://catalog.hathitrust.org/Record/002240447")</f>
        <v>http://catalog.hathitrust.org/Record/002240447</v>
      </c>
      <c r="I2729" s="1" t="s">
        <v>20681</v>
      </c>
      <c r="J2729" s="1">
        <v>1919</v>
      </c>
      <c r="K2729" t="s">
        <v>14523</v>
      </c>
      <c r="L2729" t="s">
        <v>14524</v>
      </c>
    </row>
    <row r="2730" spans="1:12">
      <c r="A2730" t="s">
        <v>14525</v>
      </c>
      <c r="B2730" s="1" t="s">
        <v>14526</v>
      </c>
      <c r="F2730">
        <v>1</v>
      </c>
      <c r="G2730" t="str">
        <f>HYPERLINK("http://babel.hathitrust.org/cgi/pt?id=miun.akr1503.0001.001")</f>
        <v>http://babel.hathitrust.org/cgi/pt?id=miun.akr1503.0001.001</v>
      </c>
      <c r="H2730" t="str">
        <f>HYPERLINK("http://catalog.hathitrust.org/Record/002240470")</f>
        <v>http://catalog.hathitrust.org/Record/002240470</v>
      </c>
      <c r="J2730" s="1">
        <v>1872</v>
      </c>
      <c r="K2730" t="s">
        <v>14527</v>
      </c>
      <c r="L2730" t="s">
        <v>19080</v>
      </c>
    </row>
    <row r="2731" spans="1:12">
      <c r="A2731" t="s">
        <v>14528</v>
      </c>
      <c r="B2731" s="1" t="s">
        <v>14529</v>
      </c>
      <c r="E2731">
        <v>1</v>
      </c>
      <c r="G2731" t="str">
        <f>HYPERLINK("http://babel.hathitrust.org/cgi/pt?id=mdp.39015050663239")</f>
        <v>http://babel.hathitrust.org/cgi/pt?id=mdp.39015050663239</v>
      </c>
      <c r="H2731" t="str">
        <f t="shared" ref="H2731:H2740" si="41">HYPERLINK("http://catalog.hathitrust.org/Record/002240471")</f>
        <v>http://catalog.hathitrust.org/Record/002240471</v>
      </c>
      <c r="I2731" s="1" t="s">
        <v>20916</v>
      </c>
      <c r="J2731" s="1">
        <v>1901</v>
      </c>
      <c r="K2731" t="s">
        <v>14447</v>
      </c>
      <c r="L2731" t="s">
        <v>14448</v>
      </c>
    </row>
    <row r="2732" spans="1:12">
      <c r="A2732" t="s">
        <v>14449</v>
      </c>
      <c r="B2732" s="1" t="s">
        <v>14529</v>
      </c>
      <c r="E2732">
        <v>1</v>
      </c>
      <c r="G2732" t="str">
        <f>HYPERLINK("http://babel.hathitrust.org/cgi/pt?id=mdp.39015050663247")</f>
        <v>http://babel.hathitrust.org/cgi/pt?id=mdp.39015050663247</v>
      </c>
      <c r="H2732" t="str">
        <f t="shared" si="41"/>
        <v>http://catalog.hathitrust.org/Record/002240471</v>
      </c>
      <c r="I2732" s="1" t="s">
        <v>20755</v>
      </c>
      <c r="J2732" s="1">
        <v>1901</v>
      </c>
      <c r="K2732" t="s">
        <v>14447</v>
      </c>
      <c r="L2732" t="s">
        <v>14448</v>
      </c>
    </row>
    <row r="2733" spans="1:12">
      <c r="A2733" t="s">
        <v>14450</v>
      </c>
      <c r="B2733" s="1" t="s">
        <v>14529</v>
      </c>
      <c r="E2733">
        <v>1</v>
      </c>
      <c r="G2733" t="str">
        <f>HYPERLINK("http://babel.hathitrust.org/cgi/pt?id=mdp.39015050663254")</f>
        <v>http://babel.hathitrust.org/cgi/pt?id=mdp.39015050663254</v>
      </c>
      <c r="H2733" t="str">
        <f t="shared" si="41"/>
        <v>http://catalog.hathitrust.org/Record/002240471</v>
      </c>
      <c r="I2733" s="1" t="s">
        <v>20920</v>
      </c>
      <c r="J2733" s="1">
        <v>1901</v>
      </c>
      <c r="K2733" t="s">
        <v>14447</v>
      </c>
      <c r="L2733" t="s">
        <v>14448</v>
      </c>
    </row>
    <row r="2734" spans="1:12">
      <c r="A2734" t="s">
        <v>14451</v>
      </c>
      <c r="B2734" s="1" t="s">
        <v>14529</v>
      </c>
      <c r="E2734">
        <v>1</v>
      </c>
      <c r="G2734" t="str">
        <f>HYPERLINK("http://babel.hathitrust.org/cgi/pt?id=mdp.39015050663262")</f>
        <v>http://babel.hathitrust.org/cgi/pt?id=mdp.39015050663262</v>
      </c>
      <c r="H2734" t="str">
        <f t="shared" si="41"/>
        <v>http://catalog.hathitrust.org/Record/002240471</v>
      </c>
      <c r="I2734" s="1" t="s">
        <v>20679</v>
      </c>
      <c r="J2734" s="1">
        <v>1901</v>
      </c>
      <c r="K2734" t="s">
        <v>14447</v>
      </c>
      <c r="L2734" t="s">
        <v>14448</v>
      </c>
    </row>
    <row r="2735" spans="1:12">
      <c r="A2735" t="s">
        <v>14452</v>
      </c>
      <c r="B2735" s="1" t="s">
        <v>14529</v>
      </c>
      <c r="E2735">
        <v>1</v>
      </c>
      <c r="G2735" t="str">
        <f>HYPERLINK("http://babel.hathitrust.org/cgi/pt?id=mdp.39015050663270")</f>
        <v>http://babel.hathitrust.org/cgi/pt?id=mdp.39015050663270</v>
      </c>
      <c r="H2735" t="str">
        <f t="shared" si="41"/>
        <v>http://catalog.hathitrust.org/Record/002240471</v>
      </c>
      <c r="I2735" s="1" t="s">
        <v>20681</v>
      </c>
      <c r="J2735" s="1">
        <v>1901</v>
      </c>
      <c r="K2735" t="s">
        <v>14447</v>
      </c>
      <c r="L2735" t="s">
        <v>14448</v>
      </c>
    </row>
    <row r="2736" spans="1:12">
      <c r="A2736" t="s">
        <v>14453</v>
      </c>
      <c r="B2736" s="1" t="s">
        <v>14529</v>
      </c>
      <c r="E2736">
        <v>1</v>
      </c>
      <c r="G2736" t="str">
        <f>HYPERLINK("http://babel.hathitrust.org/cgi/pt?id=mdp.39015050663288")</f>
        <v>http://babel.hathitrust.org/cgi/pt?id=mdp.39015050663288</v>
      </c>
      <c r="H2736" t="str">
        <f t="shared" si="41"/>
        <v>http://catalog.hathitrust.org/Record/002240471</v>
      </c>
      <c r="I2736" s="1" t="s">
        <v>21018</v>
      </c>
      <c r="J2736" s="1">
        <v>1901</v>
      </c>
      <c r="K2736" t="s">
        <v>14447</v>
      </c>
      <c r="L2736" t="s">
        <v>14448</v>
      </c>
    </row>
    <row r="2737" spans="1:12">
      <c r="A2737" t="s">
        <v>14454</v>
      </c>
      <c r="B2737" s="1" t="s">
        <v>14529</v>
      </c>
      <c r="E2737">
        <v>1</v>
      </c>
      <c r="G2737" t="str">
        <f>HYPERLINK("http://babel.hathitrust.org/cgi/pt?id=mdp.39015050663296")</f>
        <v>http://babel.hathitrust.org/cgi/pt?id=mdp.39015050663296</v>
      </c>
      <c r="H2737" t="str">
        <f t="shared" si="41"/>
        <v>http://catalog.hathitrust.org/Record/002240471</v>
      </c>
      <c r="I2737" s="1" t="s">
        <v>16577</v>
      </c>
      <c r="J2737" s="1">
        <v>1901</v>
      </c>
      <c r="K2737" t="s">
        <v>14447</v>
      </c>
      <c r="L2737" t="s">
        <v>14448</v>
      </c>
    </row>
    <row r="2738" spans="1:12">
      <c r="A2738" t="s">
        <v>14455</v>
      </c>
      <c r="B2738" s="1" t="s">
        <v>14529</v>
      </c>
      <c r="E2738">
        <v>1</v>
      </c>
      <c r="G2738" t="str">
        <f>HYPERLINK("http://babel.hathitrust.org/cgi/pt?id=mdp.39015050663304")</f>
        <v>http://babel.hathitrust.org/cgi/pt?id=mdp.39015050663304</v>
      </c>
      <c r="H2738" t="str">
        <f t="shared" si="41"/>
        <v>http://catalog.hathitrust.org/Record/002240471</v>
      </c>
      <c r="I2738" s="1" t="s">
        <v>21021</v>
      </c>
      <c r="J2738" s="1">
        <v>1901</v>
      </c>
      <c r="K2738" t="s">
        <v>14447</v>
      </c>
      <c r="L2738" t="s">
        <v>14448</v>
      </c>
    </row>
    <row r="2739" spans="1:12">
      <c r="A2739" t="s">
        <v>14456</v>
      </c>
      <c r="B2739" s="1" t="s">
        <v>14529</v>
      </c>
      <c r="E2739">
        <v>1</v>
      </c>
      <c r="G2739" t="str">
        <f>HYPERLINK("http://babel.hathitrust.org/cgi/pt?id=mdp.39015050663312")</f>
        <v>http://babel.hathitrust.org/cgi/pt?id=mdp.39015050663312</v>
      </c>
      <c r="H2739" t="str">
        <f t="shared" si="41"/>
        <v>http://catalog.hathitrust.org/Record/002240471</v>
      </c>
      <c r="I2739" s="1" t="s">
        <v>16582</v>
      </c>
      <c r="J2739" s="1">
        <v>1901</v>
      </c>
      <c r="K2739" t="s">
        <v>14447</v>
      </c>
      <c r="L2739" t="s">
        <v>14448</v>
      </c>
    </row>
    <row r="2740" spans="1:12">
      <c r="A2740" t="s">
        <v>14457</v>
      </c>
      <c r="B2740" s="1" t="s">
        <v>14529</v>
      </c>
      <c r="E2740">
        <v>1</v>
      </c>
      <c r="G2740" t="str">
        <f>HYPERLINK("http://babel.hathitrust.org/cgi/pt?id=mdp.39015050663320")</f>
        <v>http://babel.hathitrust.org/cgi/pt?id=mdp.39015050663320</v>
      </c>
      <c r="H2740" t="str">
        <f t="shared" si="41"/>
        <v>http://catalog.hathitrust.org/Record/002240471</v>
      </c>
      <c r="I2740" s="1" t="s">
        <v>16574</v>
      </c>
      <c r="J2740" s="1">
        <v>1901</v>
      </c>
      <c r="K2740" t="s">
        <v>14447</v>
      </c>
      <c r="L2740" t="s">
        <v>14448</v>
      </c>
    </row>
    <row r="2741" spans="1:12">
      <c r="A2741" t="s">
        <v>14458</v>
      </c>
      <c r="B2741" s="1" t="s">
        <v>14459</v>
      </c>
      <c r="E2741">
        <v>1</v>
      </c>
      <c r="G2741" t="str">
        <f>HYPERLINK("http://babel.hathitrust.org/cgi/pt?id=mdp.39015031024253")</f>
        <v>http://babel.hathitrust.org/cgi/pt?id=mdp.39015031024253</v>
      </c>
      <c r="H2741" t="str">
        <f>HYPERLINK("http://catalog.hathitrust.org/Record/002240473")</f>
        <v>http://catalog.hathitrust.org/Record/002240473</v>
      </c>
      <c r="J2741" s="1">
        <v>1841</v>
      </c>
      <c r="K2741" t="s">
        <v>14460</v>
      </c>
      <c r="L2741" t="s">
        <v>20960</v>
      </c>
    </row>
    <row r="2742" spans="1:12">
      <c r="A2742" t="s">
        <v>14461</v>
      </c>
      <c r="B2742" s="1" t="s">
        <v>14462</v>
      </c>
      <c r="E2742">
        <v>1</v>
      </c>
      <c r="F2742">
        <v>1</v>
      </c>
      <c r="G2742" t="str">
        <f>HYPERLINK("http://babel.hathitrust.org/cgi/pt?id=mdp.39015030924958")</f>
        <v>http://babel.hathitrust.org/cgi/pt?id=mdp.39015030924958</v>
      </c>
      <c r="H2742" t="str">
        <f>HYPERLINK("http://catalog.hathitrust.org/Record/002240475")</f>
        <v>http://catalog.hathitrust.org/Record/002240475</v>
      </c>
      <c r="J2742" s="1">
        <v>1759</v>
      </c>
      <c r="K2742" t="s">
        <v>14463</v>
      </c>
      <c r="L2742" t="s">
        <v>14464</v>
      </c>
    </row>
    <row r="2743" spans="1:12">
      <c r="A2743" t="s">
        <v>14465</v>
      </c>
      <c r="B2743" s="1" t="s">
        <v>14466</v>
      </c>
      <c r="F2743">
        <v>1</v>
      </c>
      <c r="G2743" t="str">
        <f>HYPERLINK("http://babel.hathitrust.org/cgi/pt?id=mdp.39015005790293")</f>
        <v>http://babel.hathitrust.org/cgi/pt?id=mdp.39015005790293</v>
      </c>
      <c r="H2743" t="str">
        <f>HYPERLINK("http://catalog.hathitrust.org/Record/002243407")</f>
        <v>http://catalog.hathitrust.org/Record/002243407</v>
      </c>
      <c r="J2743" s="1">
        <v>1892</v>
      </c>
      <c r="K2743" t="s">
        <v>14467</v>
      </c>
      <c r="L2743" t="s">
        <v>20448</v>
      </c>
    </row>
    <row r="2744" spans="1:12">
      <c r="A2744" t="s">
        <v>14468</v>
      </c>
      <c r="B2744" s="1" t="s">
        <v>14469</v>
      </c>
      <c r="F2744">
        <v>1</v>
      </c>
      <c r="G2744" t="str">
        <f>HYPERLINK("http://babel.hathitrust.org/cgi/pt?id=miun.akr4666.0001.001")</f>
        <v>http://babel.hathitrust.org/cgi/pt?id=miun.akr4666.0001.001</v>
      </c>
      <c r="H2744" t="str">
        <f>HYPERLINK("http://catalog.hathitrust.org/Record/002243450")</f>
        <v>http://catalog.hathitrust.org/Record/002243450</v>
      </c>
      <c r="J2744" s="1">
        <v>1870</v>
      </c>
      <c r="K2744" t="s">
        <v>14470</v>
      </c>
      <c r="L2744" t="s">
        <v>20297</v>
      </c>
    </row>
    <row r="2745" spans="1:12">
      <c r="A2745" t="s">
        <v>14471</v>
      </c>
      <c r="B2745" s="1" t="s">
        <v>14472</v>
      </c>
      <c r="E2745">
        <v>1</v>
      </c>
      <c r="G2745" t="str">
        <f>HYPERLINK("http://babel.hathitrust.org/cgi/pt?id=mdp.39015005250074")</f>
        <v>http://babel.hathitrust.org/cgi/pt?id=mdp.39015005250074</v>
      </c>
      <c r="H2745" t="str">
        <f>HYPERLINK("http://catalog.hathitrust.org/Record/002302398")</f>
        <v>http://catalog.hathitrust.org/Record/002302398</v>
      </c>
      <c r="I2745" s="1" t="s">
        <v>20918</v>
      </c>
      <c r="J2745" s="1">
        <v>1900</v>
      </c>
      <c r="K2745" t="s">
        <v>14473</v>
      </c>
      <c r="L2745" t="s">
        <v>19690</v>
      </c>
    </row>
    <row r="2746" spans="1:12">
      <c r="A2746" t="s">
        <v>14474</v>
      </c>
      <c r="B2746" s="1" t="s">
        <v>14472</v>
      </c>
      <c r="E2746">
        <v>1</v>
      </c>
      <c r="G2746" t="str">
        <f>HYPERLINK("http://babel.hathitrust.org/cgi/pt?id=mdp.39015008318043")</f>
        <v>http://babel.hathitrust.org/cgi/pt?id=mdp.39015008318043</v>
      </c>
      <c r="H2746" t="str">
        <f>HYPERLINK("http://catalog.hathitrust.org/Record/002302398")</f>
        <v>http://catalog.hathitrust.org/Record/002302398</v>
      </c>
      <c r="I2746" s="1" t="s">
        <v>14537</v>
      </c>
      <c r="J2746" s="1">
        <v>1900</v>
      </c>
      <c r="K2746" t="s">
        <v>14473</v>
      </c>
      <c r="L2746" t="s">
        <v>19690</v>
      </c>
    </row>
    <row r="2747" spans="1:12">
      <c r="A2747" t="s">
        <v>14475</v>
      </c>
      <c r="B2747" s="1" t="s">
        <v>14472</v>
      </c>
      <c r="E2747">
        <v>1</v>
      </c>
      <c r="G2747" t="str">
        <f>HYPERLINK("http://babel.hathitrust.org/cgi/pt?id=mdp.39015008380902")</f>
        <v>http://babel.hathitrust.org/cgi/pt?id=mdp.39015008380902</v>
      </c>
      <c r="H2747" t="str">
        <f>HYPERLINK("http://catalog.hathitrust.org/Record/002302398")</f>
        <v>http://catalog.hathitrust.org/Record/002302398</v>
      </c>
      <c r="I2747" s="1" t="s">
        <v>14533</v>
      </c>
      <c r="J2747" s="1">
        <v>1900</v>
      </c>
      <c r="K2747" t="s">
        <v>14473</v>
      </c>
      <c r="L2747" t="s">
        <v>19690</v>
      </c>
    </row>
    <row r="2748" spans="1:12">
      <c r="A2748" t="s">
        <v>14476</v>
      </c>
      <c r="B2748" s="1" t="s">
        <v>14477</v>
      </c>
      <c r="E2748">
        <v>1</v>
      </c>
      <c r="G2748" t="str">
        <f>HYPERLINK("http://babel.hathitrust.org/cgi/pt?id=mdp.39015039333698")</f>
        <v>http://babel.hathitrust.org/cgi/pt?id=mdp.39015039333698</v>
      </c>
      <c r="H2748" t="str">
        <f>HYPERLINK("http://catalog.hathitrust.org/Record/002302499")</f>
        <v>http://catalog.hathitrust.org/Record/002302499</v>
      </c>
      <c r="I2748" s="1" t="s">
        <v>14410</v>
      </c>
      <c r="J2748" s="1">
        <v>1852</v>
      </c>
      <c r="K2748" t="s">
        <v>14409</v>
      </c>
      <c r="L2748" t="s">
        <v>14411</v>
      </c>
    </row>
    <row r="2749" spans="1:12">
      <c r="A2749" t="s">
        <v>14412</v>
      </c>
      <c r="B2749" s="1" t="s">
        <v>14477</v>
      </c>
      <c r="E2749">
        <v>1</v>
      </c>
      <c r="G2749" t="str">
        <f>HYPERLINK("http://babel.hathitrust.org/cgi/pt?id=mdp.39015039333706")</f>
        <v>http://babel.hathitrust.org/cgi/pt?id=mdp.39015039333706</v>
      </c>
      <c r="H2749" t="str">
        <f>HYPERLINK("http://catalog.hathitrust.org/Record/002302499")</f>
        <v>http://catalog.hathitrust.org/Record/002302499</v>
      </c>
      <c r="I2749" s="1" t="s">
        <v>14413</v>
      </c>
      <c r="J2749" s="1">
        <v>1852</v>
      </c>
      <c r="K2749" t="s">
        <v>14409</v>
      </c>
      <c r="L2749" t="s">
        <v>14411</v>
      </c>
    </row>
    <row r="2750" spans="1:12">
      <c r="A2750" t="s">
        <v>14414</v>
      </c>
      <c r="B2750" s="1" t="s">
        <v>14415</v>
      </c>
      <c r="F2750">
        <v>1</v>
      </c>
      <c r="G2750" t="str">
        <f>HYPERLINK("http://babel.hathitrust.org/cgi/pt?id=hvd.32044088290994")</f>
        <v>http://babel.hathitrust.org/cgi/pt?id=hvd.32044088290994</v>
      </c>
      <c r="H2750" t="str">
        <f>HYPERLINK("http://catalog.hathitrust.org/Record/002380574")</f>
        <v>http://catalog.hathitrust.org/Record/002380574</v>
      </c>
      <c r="J2750" s="1">
        <v>1840</v>
      </c>
      <c r="K2750" t="s">
        <v>14416</v>
      </c>
      <c r="L2750" t="s">
        <v>14417</v>
      </c>
    </row>
    <row r="2751" spans="1:12">
      <c r="A2751" t="s">
        <v>14418</v>
      </c>
      <c r="B2751" s="1" t="s">
        <v>14419</v>
      </c>
      <c r="F2751">
        <v>1</v>
      </c>
      <c r="G2751" t="str">
        <f>HYPERLINK("http://babel.hathitrust.org/cgi/pt?id=hvd.hxgevq")</f>
        <v>http://babel.hathitrust.org/cgi/pt?id=hvd.hxgevq</v>
      </c>
      <c r="H2751" t="str">
        <f>HYPERLINK("http://catalog.hathitrust.org/Record/002380586")</f>
        <v>http://catalog.hathitrust.org/Record/002380586</v>
      </c>
      <c r="J2751" s="1">
        <v>1810</v>
      </c>
      <c r="K2751" t="s">
        <v>14420</v>
      </c>
      <c r="L2751" t="s">
        <v>16265</v>
      </c>
    </row>
    <row r="2752" spans="1:12">
      <c r="A2752" t="s">
        <v>14421</v>
      </c>
      <c r="B2752" s="1" t="s">
        <v>14422</v>
      </c>
      <c r="D2752">
        <v>1</v>
      </c>
      <c r="G2752" t="str">
        <f>HYPERLINK("http://babel.hathitrust.org/cgi/pt?id=hvd.32044097056550")</f>
        <v>http://babel.hathitrust.org/cgi/pt?id=hvd.32044097056550</v>
      </c>
      <c r="H2752" t="str">
        <f>HYPERLINK("http://catalog.hathitrust.org/Record/002381501")</f>
        <v>http://catalog.hathitrust.org/Record/002381501</v>
      </c>
      <c r="J2752" s="1">
        <v>1808</v>
      </c>
      <c r="K2752" t="s">
        <v>14423</v>
      </c>
      <c r="L2752" t="s">
        <v>20043</v>
      </c>
    </row>
    <row r="2753" spans="1:12">
      <c r="A2753" t="s">
        <v>14424</v>
      </c>
      <c r="B2753" s="1" t="s">
        <v>14425</v>
      </c>
      <c r="D2753">
        <v>1</v>
      </c>
      <c r="G2753" t="str">
        <f>HYPERLINK("http://babel.hathitrust.org/cgi/pt?id=hvd.ah65vy")</f>
        <v>http://babel.hathitrust.org/cgi/pt?id=hvd.ah65vy</v>
      </c>
      <c r="H2753" t="str">
        <f>HYPERLINK("http://catalog.hathitrust.org/Record/002382923")</f>
        <v>http://catalog.hathitrust.org/Record/002382923</v>
      </c>
      <c r="J2753" s="1">
        <v>1812</v>
      </c>
      <c r="K2753" t="s">
        <v>14426</v>
      </c>
      <c r="L2753" t="s">
        <v>19694</v>
      </c>
    </row>
    <row r="2754" spans="1:12">
      <c r="A2754" t="s">
        <v>14427</v>
      </c>
      <c r="B2754" s="1" t="s">
        <v>14428</v>
      </c>
      <c r="D2754">
        <v>1</v>
      </c>
      <c r="G2754" t="str">
        <f>HYPERLINK("http://babel.hathitrust.org/cgi/pt?id=hvd.32044102845773")</f>
        <v>http://babel.hathitrust.org/cgi/pt?id=hvd.32044102845773</v>
      </c>
      <c r="H2754" t="str">
        <f>HYPERLINK("http://catalog.hathitrust.org/Record/002383309")</f>
        <v>http://catalog.hathitrust.org/Record/002383309</v>
      </c>
      <c r="J2754" s="1">
        <v>1818</v>
      </c>
      <c r="K2754" t="s">
        <v>14429</v>
      </c>
      <c r="L2754" t="s">
        <v>19694</v>
      </c>
    </row>
    <row r="2755" spans="1:12">
      <c r="A2755" t="s">
        <v>14430</v>
      </c>
      <c r="B2755" s="1" t="s">
        <v>14431</v>
      </c>
      <c r="F2755">
        <v>1</v>
      </c>
      <c r="G2755" t="str">
        <f>HYPERLINK("http://babel.hathitrust.org/cgi/pt?id=hvd.32044038404133")</f>
        <v>http://babel.hathitrust.org/cgi/pt?id=hvd.32044038404133</v>
      </c>
      <c r="H2755" t="str">
        <f>HYPERLINK("http://catalog.hathitrust.org/Record/002384704")</f>
        <v>http://catalog.hathitrust.org/Record/002384704</v>
      </c>
      <c r="J2755" s="1">
        <v>1808</v>
      </c>
      <c r="K2755" t="s">
        <v>14432</v>
      </c>
      <c r="L2755" t="s">
        <v>20043</v>
      </c>
    </row>
    <row r="2756" spans="1:12">
      <c r="A2756" t="s">
        <v>14433</v>
      </c>
      <c r="B2756" s="1" t="s">
        <v>14434</v>
      </c>
      <c r="D2756">
        <v>1</v>
      </c>
      <c r="G2756" t="str">
        <f>HYPERLINK("http://babel.hathitrust.org/cgi/pt?id=hvd.32044097056626")</f>
        <v>http://babel.hathitrust.org/cgi/pt?id=hvd.32044097056626</v>
      </c>
      <c r="H2756" t="str">
        <f>HYPERLINK("http://catalog.hathitrust.org/Record/002385447")</f>
        <v>http://catalog.hathitrust.org/Record/002385447</v>
      </c>
      <c r="J2756" s="1">
        <v>1814</v>
      </c>
      <c r="K2756" t="s">
        <v>14435</v>
      </c>
      <c r="L2756" t="s">
        <v>20043</v>
      </c>
    </row>
    <row r="2757" spans="1:12">
      <c r="A2757" t="s">
        <v>14436</v>
      </c>
      <c r="B2757" s="1" t="s">
        <v>14437</v>
      </c>
      <c r="D2757">
        <v>1</v>
      </c>
      <c r="G2757" t="str">
        <f>HYPERLINK("http://babel.hathitrust.org/cgi/pt?id=hvd.32044102845765")</f>
        <v>http://babel.hathitrust.org/cgi/pt?id=hvd.32044102845765</v>
      </c>
      <c r="H2757" t="str">
        <f>HYPERLINK("http://catalog.hathitrust.org/Record/002386551")</f>
        <v>http://catalog.hathitrust.org/Record/002386551</v>
      </c>
      <c r="J2757" s="1">
        <v>1802</v>
      </c>
      <c r="K2757" t="s">
        <v>14438</v>
      </c>
      <c r="L2757" t="s">
        <v>19694</v>
      </c>
    </row>
    <row r="2758" spans="1:12">
      <c r="A2758" t="s">
        <v>14439</v>
      </c>
      <c r="B2758" s="1" t="s">
        <v>14440</v>
      </c>
      <c r="F2758">
        <v>1</v>
      </c>
      <c r="G2758" t="str">
        <f>HYPERLINK("http://babel.hathitrust.org/cgi/pt?id=hvd.32044102845872")</f>
        <v>http://babel.hathitrust.org/cgi/pt?id=hvd.32044102845872</v>
      </c>
      <c r="H2758" t="str">
        <f>HYPERLINK("http://catalog.hathitrust.org/Record/002388481")</f>
        <v>http://catalog.hathitrust.org/Record/002388481</v>
      </c>
      <c r="J2758" s="1">
        <v>1819</v>
      </c>
      <c r="K2758" t="s">
        <v>14426</v>
      </c>
      <c r="L2758" t="s">
        <v>19694</v>
      </c>
    </row>
    <row r="2759" spans="1:12">
      <c r="A2759" t="s">
        <v>14441</v>
      </c>
      <c r="B2759" s="1" t="s">
        <v>14442</v>
      </c>
      <c r="F2759">
        <v>1</v>
      </c>
      <c r="G2759" t="str">
        <f>HYPERLINK("http://babel.hathitrust.org/cgi/pt?id=hvd.32044038403333")</f>
        <v>http://babel.hathitrust.org/cgi/pt?id=hvd.32044038403333</v>
      </c>
      <c r="H2759" t="str">
        <f>HYPERLINK("http://catalog.hathitrust.org/Record/002390413")</f>
        <v>http://catalog.hathitrust.org/Record/002390413</v>
      </c>
      <c r="J2759" s="1">
        <v>1818</v>
      </c>
      <c r="K2759" t="s">
        <v>14443</v>
      </c>
      <c r="L2759" t="s">
        <v>14444</v>
      </c>
    </row>
    <row r="2760" spans="1:12">
      <c r="A2760" t="s">
        <v>14445</v>
      </c>
      <c r="B2760" s="1" t="s">
        <v>14446</v>
      </c>
      <c r="F2760">
        <v>1</v>
      </c>
      <c r="G2760" t="str">
        <f>HYPERLINK("http://babel.hathitrust.org/cgi/pt?id=hvd.hxg8hg")</f>
        <v>http://babel.hathitrust.org/cgi/pt?id=hvd.hxg8hg</v>
      </c>
      <c r="H2760" t="str">
        <f>HYPERLINK("http://catalog.hathitrust.org/Record/002390594")</f>
        <v>http://catalog.hathitrust.org/Record/002390594</v>
      </c>
      <c r="I2760" s="1" t="s">
        <v>20916</v>
      </c>
      <c r="J2760" s="1">
        <v>1810</v>
      </c>
      <c r="K2760" t="s">
        <v>14364</v>
      </c>
      <c r="L2760" t="s">
        <v>20086</v>
      </c>
    </row>
    <row r="2761" spans="1:12">
      <c r="A2761" t="s">
        <v>14365</v>
      </c>
      <c r="B2761" s="1" t="s">
        <v>14446</v>
      </c>
      <c r="F2761">
        <v>1</v>
      </c>
      <c r="G2761" t="str">
        <f>HYPERLINK("http://babel.hathitrust.org/cgi/pt?id=hvd.hxg8hh")</f>
        <v>http://babel.hathitrust.org/cgi/pt?id=hvd.hxg8hh</v>
      </c>
      <c r="H2761" t="str">
        <f>HYPERLINK("http://catalog.hathitrust.org/Record/002390594")</f>
        <v>http://catalog.hathitrust.org/Record/002390594</v>
      </c>
      <c r="I2761" s="1" t="s">
        <v>20755</v>
      </c>
      <c r="J2761" s="1">
        <v>1810</v>
      </c>
      <c r="K2761" t="s">
        <v>14364</v>
      </c>
      <c r="L2761" t="s">
        <v>20086</v>
      </c>
    </row>
    <row r="2762" spans="1:12">
      <c r="A2762" t="s">
        <v>14366</v>
      </c>
      <c r="B2762" s="1" t="s">
        <v>14367</v>
      </c>
      <c r="F2762">
        <v>1</v>
      </c>
      <c r="G2762" t="str">
        <f>HYPERLINK("http://babel.hathitrust.org/cgi/pt?id=hvd.32044097056634")</f>
        <v>http://babel.hathitrust.org/cgi/pt?id=hvd.32044097056634</v>
      </c>
      <c r="H2762" t="str">
        <f>HYPERLINK("http://catalog.hathitrust.org/Record/002391066")</f>
        <v>http://catalog.hathitrust.org/Record/002391066</v>
      </c>
      <c r="J2762" s="1">
        <v>1814</v>
      </c>
      <c r="K2762" t="s">
        <v>14368</v>
      </c>
      <c r="L2762" t="s">
        <v>20043</v>
      </c>
    </row>
    <row r="2763" spans="1:12">
      <c r="A2763" t="s">
        <v>14369</v>
      </c>
      <c r="B2763" s="1" t="s">
        <v>14370</v>
      </c>
      <c r="F2763">
        <v>1</v>
      </c>
      <c r="G2763" t="str">
        <f>HYPERLINK("http://babel.hathitrust.org/cgi/pt?id=hvd.32044097056600")</f>
        <v>http://babel.hathitrust.org/cgi/pt?id=hvd.32044097056600</v>
      </c>
      <c r="H2763" t="str">
        <f>HYPERLINK("http://catalog.hathitrust.org/Record/002394574")</f>
        <v>http://catalog.hathitrust.org/Record/002394574</v>
      </c>
      <c r="J2763" s="1">
        <v>1812</v>
      </c>
      <c r="K2763" t="s">
        <v>14371</v>
      </c>
      <c r="L2763" t="s">
        <v>14372</v>
      </c>
    </row>
    <row r="2764" spans="1:12">
      <c r="A2764" t="s">
        <v>14373</v>
      </c>
      <c r="B2764" s="1" t="s">
        <v>14374</v>
      </c>
      <c r="F2764">
        <v>1</v>
      </c>
      <c r="G2764" t="str">
        <f>HYPERLINK("http://babel.hathitrust.org/cgi/pt?id=hvd.32044097056576")</f>
        <v>http://babel.hathitrust.org/cgi/pt?id=hvd.32044097056576</v>
      </c>
      <c r="H2764" t="str">
        <f>HYPERLINK("http://catalog.hathitrust.org/Record/002396416")</f>
        <v>http://catalog.hathitrust.org/Record/002396416</v>
      </c>
      <c r="J2764" s="1">
        <v>1810</v>
      </c>
      <c r="K2764" t="s">
        <v>14375</v>
      </c>
      <c r="L2764" t="s">
        <v>20043</v>
      </c>
    </row>
    <row r="2765" spans="1:12">
      <c r="A2765" t="s">
        <v>14376</v>
      </c>
      <c r="B2765" s="1" t="s">
        <v>14377</v>
      </c>
      <c r="F2765">
        <v>1</v>
      </c>
      <c r="G2765" t="str">
        <f>HYPERLINK("http://babel.hathitrust.org/cgi/pt?id=hvd.32044097065973")</f>
        <v>http://babel.hathitrust.org/cgi/pt?id=hvd.32044097065973</v>
      </c>
      <c r="H2765" t="str">
        <f>HYPERLINK("http://catalog.hathitrust.org/Record/002397844")</f>
        <v>http://catalog.hathitrust.org/Record/002397844</v>
      </c>
      <c r="J2765" s="1">
        <v>1812</v>
      </c>
      <c r="K2765" t="s">
        <v>14443</v>
      </c>
      <c r="L2765" t="s">
        <v>14444</v>
      </c>
    </row>
    <row r="2766" spans="1:12">
      <c r="A2766" t="s">
        <v>14378</v>
      </c>
      <c r="B2766" s="1" t="s">
        <v>14379</v>
      </c>
      <c r="F2766">
        <v>1</v>
      </c>
      <c r="G2766" t="str">
        <f>HYPERLINK("http://babel.hathitrust.org/cgi/pt?id=hvd.32044097056618")</f>
        <v>http://babel.hathitrust.org/cgi/pt?id=hvd.32044097056618</v>
      </c>
      <c r="H2766" t="str">
        <f>HYPERLINK("http://catalog.hathitrust.org/Record/002398324")</f>
        <v>http://catalog.hathitrust.org/Record/002398324</v>
      </c>
      <c r="J2766" s="1">
        <v>1814</v>
      </c>
      <c r="K2766" t="s">
        <v>14380</v>
      </c>
    </row>
    <row r="2767" spans="1:12">
      <c r="A2767" t="s">
        <v>14381</v>
      </c>
      <c r="B2767" s="1" t="s">
        <v>14382</v>
      </c>
      <c r="F2767">
        <v>1</v>
      </c>
      <c r="G2767" t="str">
        <f>HYPERLINK("http://babel.hathitrust.org/cgi/pt?id=hvd.32044097056592")</f>
        <v>http://babel.hathitrust.org/cgi/pt?id=hvd.32044097056592</v>
      </c>
      <c r="H2767" t="str">
        <f>HYPERLINK("http://catalog.hathitrust.org/Record/002399063")</f>
        <v>http://catalog.hathitrust.org/Record/002399063</v>
      </c>
      <c r="J2767" s="1">
        <v>1811</v>
      </c>
      <c r="K2767" t="s">
        <v>14375</v>
      </c>
      <c r="L2767" t="s">
        <v>20043</v>
      </c>
    </row>
    <row r="2768" spans="1:12">
      <c r="A2768" t="s">
        <v>14383</v>
      </c>
      <c r="B2768" s="1" t="s">
        <v>14384</v>
      </c>
      <c r="F2768">
        <v>1</v>
      </c>
      <c r="G2768" t="str">
        <f>HYPERLINK("http://babel.hathitrust.org/cgi/pt?id=hvd.hn1uep")</f>
        <v>http://babel.hathitrust.org/cgi/pt?id=hvd.hn1uep</v>
      </c>
      <c r="H2768" t="str">
        <f>HYPERLINK("http://catalog.hathitrust.org/Record/002404289")</f>
        <v>http://catalog.hathitrust.org/Record/002404289</v>
      </c>
      <c r="J2768" s="1">
        <v>1816</v>
      </c>
      <c r="K2768" t="s">
        <v>14375</v>
      </c>
      <c r="L2768" t="s">
        <v>20043</v>
      </c>
    </row>
    <row r="2769" spans="1:12">
      <c r="A2769" t="s">
        <v>14385</v>
      </c>
      <c r="B2769" s="1" t="s">
        <v>14386</v>
      </c>
      <c r="D2769">
        <v>1</v>
      </c>
      <c r="G2769" t="str">
        <f>HYPERLINK("http://babel.hathitrust.org/cgi/pt?id=hvd.32044038404075")</f>
        <v>http://babel.hathitrust.org/cgi/pt?id=hvd.32044038404075</v>
      </c>
      <c r="H2769" t="str">
        <f>HYPERLINK("http://catalog.hathitrust.org/Record/002406207")</f>
        <v>http://catalog.hathitrust.org/Record/002406207</v>
      </c>
      <c r="J2769" s="1">
        <v>1805</v>
      </c>
      <c r="K2769" t="s">
        <v>14375</v>
      </c>
      <c r="L2769" t="s">
        <v>20043</v>
      </c>
    </row>
    <row r="2770" spans="1:12">
      <c r="A2770" t="s">
        <v>14387</v>
      </c>
      <c r="B2770" s="1" t="s">
        <v>14388</v>
      </c>
      <c r="F2770">
        <v>1</v>
      </c>
      <c r="G2770" t="str">
        <f>HYPERLINK("http://babel.hathitrust.org/cgi/pt?id=hvd.32044096982236")</f>
        <v>http://babel.hathitrust.org/cgi/pt?id=hvd.32044096982236</v>
      </c>
      <c r="H2770" t="str">
        <f>HYPERLINK("http://catalog.hathitrust.org/Record/002416318")</f>
        <v>http://catalog.hathitrust.org/Record/002416318</v>
      </c>
      <c r="J2770" s="1">
        <v>1816</v>
      </c>
      <c r="K2770" t="s">
        <v>14389</v>
      </c>
      <c r="L2770" t="s">
        <v>14390</v>
      </c>
    </row>
    <row r="2771" spans="1:12">
      <c r="A2771" t="s">
        <v>14391</v>
      </c>
      <c r="B2771" s="1" t="s">
        <v>14392</v>
      </c>
      <c r="E2771">
        <v>1</v>
      </c>
      <c r="G2771" t="str">
        <f>HYPERLINK("http://babel.hathitrust.org/cgi/pt?id=mdp.39015012278431")</f>
        <v>http://babel.hathitrust.org/cgi/pt?id=mdp.39015012278431</v>
      </c>
      <c r="H2771" t="str">
        <f>HYPERLINK("http://catalog.hathitrust.org/Record/002425820")</f>
        <v>http://catalog.hathitrust.org/Record/002425820</v>
      </c>
      <c r="J2771" s="1">
        <v>1877</v>
      </c>
      <c r="K2771" t="s">
        <v>14393</v>
      </c>
      <c r="L2771" t="s">
        <v>18160</v>
      </c>
    </row>
    <row r="2772" spans="1:12">
      <c r="A2772" t="s">
        <v>14394</v>
      </c>
      <c r="B2772" s="1" t="s">
        <v>14395</v>
      </c>
      <c r="F2772">
        <v>1</v>
      </c>
      <c r="G2772" t="str">
        <f>HYPERLINK("http://babel.hathitrust.org/cgi/pt?id=mdp.39015065774658")</f>
        <v>http://babel.hathitrust.org/cgi/pt?id=mdp.39015065774658</v>
      </c>
      <c r="H2772" t="str">
        <f>HYPERLINK("http://catalog.hathitrust.org/Record/002429196")</f>
        <v>http://catalog.hathitrust.org/Record/002429196</v>
      </c>
      <c r="J2772" s="1">
        <v>1911</v>
      </c>
      <c r="K2772" t="s">
        <v>14396</v>
      </c>
      <c r="L2772" t="s">
        <v>14397</v>
      </c>
    </row>
    <row r="2773" spans="1:12">
      <c r="A2773" t="s">
        <v>14398</v>
      </c>
      <c r="B2773" s="1" t="s">
        <v>14399</v>
      </c>
      <c r="F2773">
        <v>1</v>
      </c>
      <c r="G2773" t="str">
        <f>HYPERLINK("http://babel.hathitrust.org/cgi/pt?id=mdp.39015031072674")</f>
        <v>http://babel.hathitrust.org/cgi/pt?id=mdp.39015031072674</v>
      </c>
      <c r="H2773" t="str">
        <f>HYPERLINK("http://catalog.hathitrust.org/Record/002433543")</f>
        <v>http://catalog.hathitrust.org/Record/002433543</v>
      </c>
      <c r="J2773" s="1">
        <v>1892</v>
      </c>
      <c r="K2773" t="s">
        <v>14400</v>
      </c>
      <c r="L2773" t="s">
        <v>18477</v>
      </c>
    </row>
    <row r="2774" spans="1:12">
      <c r="A2774" t="s">
        <v>14401</v>
      </c>
      <c r="B2774" s="1" t="s">
        <v>14402</v>
      </c>
      <c r="F2774">
        <v>1</v>
      </c>
      <c r="G2774" t="str">
        <f>HYPERLINK("http://babel.hathitrust.org/cgi/pt?id=mdp.39015004199744")</f>
        <v>http://babel.hathitrust.org/cgi/pt?id=mdp.39015004199744</v>
      </c>
      <c r="H2774" t="str">
        <f>HYPERLINK("http://catalog.hathitrust.org/Record/002435941")</f>
        <v>http://catalog.hathitrust.org/Record/002435941</v>
      </c>
      <c r="J2774" s="1">
        <v>1960</v>
      </c>
      <c r="K2774" t="s">
        <v>14403</v>
      </c>
      <c r="L2774" t="s">
        <v>17788</v>
      </c>
    </row>
    <row r="2775" spans="1:12">
      <c r="A2775" t="s">
        <v>14404</v>
      </c>
      <c r="B2775" s="1" t="s">
        <v>14405</v>
      </c>
      <c r="E2775">
        <v>1</v>
      </c>
      <c r="G2775" t="str">
        <f>HYPERLINK("http://babel.hathitrust.org/cgi/pt?id=mdp.39015022463007")</f>
        <v>http://babel.hathitrust.org/cgi/pt?id=mdp.39015022463007</v>
      </c>
      <c r="H2775" t="str">
        <f>HYPERLINK("http://catalog.hathitrust.org/Record/002481460")</f>
        <v>http://catalog.hathitrust.org/Record/002481460</v>
      </c>
      <c r="J2775" s="1">
        <v>1861</v>
      </c>
      <c r="K2775" t="s">
        <v>14406</v>
      </c>
      <c r="L2775" t="s">
        <v>14407</v>
      </c>
    </row>
    <row r="2776" spans="1:12">
      <c r="A2776" t="s">
        <v>14408</v>
      </c>
      <c r="B2776" s="1" t="s">
        <v>14300</v>
      </c>
      <c r="E2776">
        <v>1</v>
      </c>
      <c r="G2776" t="str">
        <f>HYPERLINK("http://babel.hathitrust.org/cgi/pt?id=mdp.39015031032033")</f>
        <v>http://babel.hathitrust.org/cgi/pt?id=mdp.39015031032033</v>
      </c>
      <c r="H2776" t="str">
        <f>HYPERLINK("http://catalog.hathitrust.org/Record/002490061")</f>
        <v>http://catalog.hathitrust.org/Record/002490061</v>
      </c>
      <c r="J2776" s="1">
        <v>1898</v>
      </c>
      <c r="K2776" t="s">
        <v>14301</v>
      </c>
      <c r="L2776" t="s">
        <v>19778</v>
      </c>
    </row>
    <row r="2777" spans="1:12">
      <c r="A2777" t="s">
        <v>14302</v>
      </c>
      <c r="B2777" s="1" t="s">
        <v>14303</v>
      </c>
      <c r="F2777">
        <v>1</v>
      </c>
      <c r="G2777" t="str">
        <f>HYPERLINK("http://babel.hathitrust.org/cgi/pt?id=mdp.39015033502793")</f>
        <v>http://babel.hathitrust.org/cgi/pt?id=mdp.39015033502793</v>
      </c>
      <c r="H2777" t="str">
        <f>HYPERLINK("http://catalog.hathitrust.org/Record/002497077")</f>
        <v>http://catalog.hathitrust.org/Record/002497077</v>
      </c>
      <c r="J2777" s="1">
        <v>1887</v>
      </c>
      <c r="K2777" t="s">
        <v>14304</v>
      </c>
      <c r="L2777" t="s">
        <v>19827</v>
      </c>
    </row>
    <row r="2778" spans="1:12">
      <c r="A2778" t="s">
        <v>14305</v>
      </c>
      <c r="B2778" s="1" t="s">
        <v>14303</v>
      </c>
      <c r="F2778">
        <v>1</v>
      </c>
      <c r="G2778" t="str">
        <f>HYPERLINK("http://babel.hathitrust.org/cgi/pt?id=uc2.ark:/13960/t8gf0qk1m")</f>
        <v>http://babel.hathitrust.org/cgi/pt?id=uc2.ark:/13960/t8gf0qk1m</v>
      </c>
      <c r="H2778" t="str">
        <f>HYPERLINK("http://catalog.hathitrust.org/Record/002497077")</f>
        <v>http://catalog.hathitrust.org/Record/002497077</v>
      </c>
      <c r="J2778" s="1">
        <v>1887</v>
      </c>
      <c r="K2778" t="s">
        <v>14304</v>
      </c>
      <c r="L2778" t="s">
        <v>19827</v>
      </c>
    </row>
    <row r="2779" spans="1:12">
      <c r="A2779" t="s">
        <v>14306</v>
      </c>
      <c r="B2779" s="1" t="s">
        <v>14307</v>
      </c>
      <c r="F2779">
        <v>1</v>
      </c>
      <c r="G2779" t="str">
        <f>HYPERLINK("http://babel.hathitrust.org/cgi/pt?id=mdp.39015025273379")</f>
        <v>http://babel.hathitrust.org/cgi/pt?id=mdp.39015025273379</v>
      </c>
      <c r="H2779" t="str">
        <f>HYPERLINK("http://catalog.hathitrust.org/Record/002553594")</f>
        <v>http://catalog.hathitrust.org/Record/002553594</v>
      </c>
      <c r="J2779" s="1">
        <v>1992</v>
      </c>
      <c r="K2779" t="s">
        <v>14308</v>
      </c>
    </row>
    <row r="2780" spans="1:12">
      <c r="A2780" t="s">
        <v>14309</v>
      </c>
      <c r="B2780" s="1" t="s">
        <v>14310</v>
      </c>
      <c r="F2780">
        <v>1</v>
      </c>
      <c r="G2780" t="str">
        <f>HYPERLINK("http://babel.hathitrust.org/cgi/pt?id=mdp.39015024233465")</f>
        <v>http://babel.hathitrust.org/cgi/pt?id=mdp.39015024233465</v>
      </c>
      <c r="H2780" t="str">
        <f>HYPERLINK("http://catalog.hathitrust.org/Record/002558911")</f>
        <v>http://catalog.hathitrust.org/Record/002558911</v>
      </c>
      <c r="J2780" s="1">
        <v>1922</v>
      </c>
      <c r="K2780" t="s">
        <v>14311</v>
      </c>
    </row>
    <row r="2781" spans="1:12">
      <c r="A2781" t="s">
        <v>14312</v>
      </c>
      <c r="B2781" s="1" t="s">
        <v>14313</v>
      </c>
      <c r="F2781">
        <v>1</v>
      </c>
      <c r="G2781" t="str">
        <f>HYPERLINK("http://babel.hathitrust.org/cgi/pt?id=inu.30000011386830")</f>
        <v>http://babel.hathitrust.org/cgi/pt?id=inu.30000011386830</v>
      </c>
      <c r="H2781" t="str">
        <f>HYPERLINK("http://catalog.hathitrust.org/Record/002644912")</f>
        <v>http://catalog.hathitrust.org/Record/002644912</v>
      </c>
      <c r="I2781" s="1" t="s">
        <v>14315</v>
      </c>
      <c r="J2781" s="1">
        <v>1914</v>
      </c>
      <c r="K2781" t="s">
        <v>14314</v>
      </c>
    </row>
    <row r="2782" spans="1:12">
      <c r="A2782" t="s">
        <v>14316</v>
      </c>
      <c r="B2782" s="1" t="s">
        <v>14317</v>
      </c>
      <c r="F2782">
        <v>1</v>
      </c>
      <c r="G2782" t="str">
        <f>HYPERLINK("http://babel.hathitrust.org/cgi/pt?id=mdp.39015028876251")</f>
        <v>http://babel.hathitrust.org/cgi/pt?id=mdp.39015028876251</v>
      </c>
      <c r="H2782" t="str">
        <f>HYPERLINK("http://catalog.hathitrust.org/Record/002725652")</f>
        <v>http://catalog.hathitrust.org/Record/002725652</v>
      </c>
      <c r="J2782" s="1">
        <v>1985</v>
      </c>
      <c r="K2782" t="s">
        <v>14318</v>
      </c>
    </row>
    <row r="2783" spans="1:12">
      <c r="A2783" t="s">
        <v>14319</v>
      </c>
      <c r="B2783" s="1" t="s">
        <v>14320</v>
      </c>
      <c r="E2783">
        <v>1</v>
      </c>
      <c r="G2783" t="str">
        <f>HYPERLINK("http://babel.hathitrust.org/cgi/pt?id=mdp.39015059901184")</f>
        <v>http://babel.hathitrust.org/cgi/pt?id=mdp.39015059901184</v>
      </c>
      <c r="H2783" t="str">
        <f>HYPERLINK("http://catalog.hathitrust.org/Record/002735812")</f>
        <v>http://catalog.hathitrust.org/Record/002735812</v>
      </c>
      <c r="J2783" s="1">
        <v>1884</v>
      </c>
      <c r="K2783" t="s">
        <v>14321</v>
      </c>
      <c r="L2783" t="s">
        <v>14322</v>
      </c>
    </row>
    <row r="2784" spans="1:12">
      <c r="A2784" t="s">
        <v>14323</v>
      </c>
      <c r="B2784" s="1" t="s">
        <v>14324</v>
      </c>
      <c r="F2784">
        <v>1</v>
      </c>
      <c r="G2784" t="str">
        <f>HYPERLINK("http://babel.hathitrust.org/cgi/pt?id=mdp.39015031370292")</f>
        <v>http://babel.hathitrust.org/cgi/pt?id=mdp.39015031370292</v>
      </c>
      <c r="H2784" t="str">
        <f>HYPERLINK("http://catalog.hathitrust.org/Record/002781659")</f>
        <v>http://catalog.hathitrust.org/Record/002781659</v>
      </c>
      <c r="J2784" s="1">
        <v>1914</v>
      </c>
      <c r="K2784" t="s">
        <v>14325</v>
      </c>
      <c r="L2784" t="s">
        <v>14326</v>
      </c>
    </row>
    <row r="2785" spans="1:12">
      <c r="A2785" t="s">
        <v>14327</v>
      </c>
      <c r="B2785" s="1" t="s">
        <v>14324</v>
      </c>
      <c r="F2785">
        <v>1</v>
      </c>
      <c r="G2785" t="str">
        <f>HYPERLINK("http://babel.hathitrust.org/cgi/pt?id=uc2.ark:/13960/t4vh5pv82")</f>
        <v>http://babel.hathitrust.org/cgi/pt?id=uc2.ark:/13960/t4vh5pv82</v>
      </c>
      <c r="H2785" t="str">
        <f>HYPERLINK("http://catalog.hathitrust.org/Record/002781659")</f>
        <v>http://catalog.hathitrust.org/Record/002781659</v>
      </c>
      <c r="J2785" s="1">
        <v>1914</v>
      </c>
      <c r="K2785" t="s">
        <v>14325</v>
      </c>
      <c r="L2785" t="s">
        <v>14326</v>
      </c>
    </row>
    <row r="2786" spans="1:12">
      <c r="A2786" t="s">
        <v>14328</v>
      </c>
      <c r="B2786" s="1" t="s">
        <v>14329</v>
      </c>
      <c r="E2786">
        <v>1</v>
      </c>
      <c r="F2786">
        <v>1</v>
      </c>
      <c r="G2786" t="str">
        <f>HYPERLINK("http://babel.hathitrust.org/cgi/pt?id=inu.30000079250167")</f>
        <v>http://babel.hathitrust.org/cgi/pt?id=inu.30000079250167</v>
      </c>
      <c r="H2786" t="str">
        <f>HYPERLINK("http://catalog.hathitrust.org/Record/002791195")</f>
        <v>http://catalog.hathitrust.org/Record/002791195</v>
      </c>
      <c r="I2786" s="1" t="s">
        <v>14331</v>
      </c>
      <c r="J2786" s="1">
        <v>1956</v>
      </c>
      <c r="K2786" t="s">
        <v>14330</v>
      </c>
      <c r="L2786" t="s">
        <v>19864</v>
      </c>
    </row>
    <row r="2787" spans="1:12">
      <c r="A2787" t="s">
        <v>14332</v>
      </c>
      <c r="B2787" s="1" t="s">
        <v>14329</v>
      </c>
      <c r="F2787">
        <v>1</v>
      </c>
      <c r="G2787" t="str">
        <f>HYPERLINK("http://babel.hathitrust.org/cgi/pt?id=uc1.32106019364493")</f>
        <v>http://babel.hathitrust.org/cgi/pt?id=uc1.32106019364493</v>
      </c>
      <c r="H2787" t="str">
        <f>HYPERLINK("http://catalog.hathitrust.org/Record/002791195")</f>
        <v>http://catalog.hathitrust.org/Record/002791195</v>
      </c>
      <c r="I2787" s="1" t="s">
        <v>14333</v>
      </c>
      <c r="J2787" s="1">
        <v>1956</v>
      </c>
      <c r="K2787" t="s">
        <v>14330</v>
      </c>
      <c r="L2787" t="s">
        <v>19864</v>
      </c>
    </row>
    <row r="2788" spans="1:12">
      <c r="A2788" t="s">
        <v>14334</v>
      </c>
      <c r="B2788" s="1" t="s">
        <v>14335</v>
      </c>
      <c r="F2788">
        <v>1</v>
      </c>
      <c r="G2788" t="str">
        <f>HYPERLINK("http://babel.hathitrust.org/cgi/pt?id=uc1.32106019364378")</f>
        <v>http://babel.hathitrust.org/cgi/pt?id=uc1.32106019364378</v>
      </c>
      <c r="H2788" t="str">
        <f>HYPERLINK("http://catalog.hathitrust.org/Record/002791207")</f>
        <v>http://catalog.hathitrust.org/Record/002791207</v>
      </c>
      <c r="I2788" s="1" t="s">
        <v>14337</v>
      </c>
      <c r="J2788" s="1">
        <v>1953</v>
      </c>
      <c r="K2788" t="s">
        <v>14336</v>
      </c>
      <c r="L2788" t="s">
        <v>17659</v>
      </c>
    </row>
    <row r="2789" spans="1:12">
      <c r="A2789" t="s">
        <v>14338</v>
      </c>
      <c r="B2789" s="1" t="s">
        <v>14339</v>
      </c>
      <c r="E2789">
        <v>1</v>
      </c>
      <c r="G2789" t="str">
        <f>HYPERLINK("http://babel.hathitrust.org/cgi/pt?id=miun.aqa1923.0001.001")</f>
        <v>http://babel.hathitrust.org/cgi/pt?id=miun.aqa1923.0001.001</v>
      </c>
      <c r="H2789" t="str">
        <f>HYPERLINK("http://catalog.hathitrust.org/Record/002865774")</f>
        <v>http://catalog.hathitrust.org/Record/002865774</v>
      </c>
      <c r="J2789" s="1">
        <v>1868</v>
      </c>
      <c r="K2789" t="s">
        <v>14340</v>
      </c>
      <c r="L2789" t="s">
        <v>15662</v>
      </c>
    </row>
    <row r="2790" spans="1:12">
      <c r="A2790" t="s">
        <v>14341</v>
      </c>
      <c r="B2790" s="1" t="s">
        <v>14342</v>
      </c>
      <c r="D2790">
        <v>1</v>
      </c>
      <c r="G2790" t="str">
        <f>HYPERLINK("http://babel.hathitrust.org/cgi/pt?id=mdp.39015030121050")</f>
        <v>http://babel.hathitrust.org/cgi/pt?id=mdp.39015030121050</v>
      </c>
      <c r="H2790" t="str">
        <f>HYPERLINK("http://catalog.hathitrust.org/Record/002902819")</f>
        <v>http://catalog.hathitrust.org/Record/002902819</v>
      </c>
      <c r="J2790" s="1">
        <v>1895</v>
      </c>
      <c r="K2790" t="s">
        <v>14343</v>
      </c>
      <c r="L2790" t="s">
        <v>14549</v>
      </c>
    </row>
    <row r="2791" spans="1:12">
      <c r="A2791" t="s">
        <v>14344</v>
      </c>
      <c r="B2791" s="1" t="s">
        <v>14345</v>
      </c>
      <c r="F2791">
        <v>1</v>
      </c>
      <c r="G2791" t="str">
        <f>HYPERLINK("http://babel.hathitrust.org/cgi/pt?id=mdp.39015030712775")</f>
        <v>http://babel.hathitrust.org/cgi/pt?id=mdp.39015030712775</v>
      </c>
      <c r="H2791" t="str">
        <f>HYPERLINK("http://catalog.hathitrust.org/Record/002903150")</f>
        <v>http://catalog.hathitrust.org/Record/002903150</v>
      </c>
      <c r="J2791" s="1">
        <v>1909</v>
      </c>
      <c r="K2791" t="s">
        <v>14346</v>
      </c>
      <c r="L2791" t="s">
        <v>18516</v>
      </c>
    </row>
    <row r="2792" spans="1:12">
      <c r="A2792" t="s">
        <v>14347</v>
      </c>
      <c r="B2792" s="1" t="s">
        <v>14345</v>
      </c>
      <c r="F2792">
        <v>1</v>
      </c>
      <c r="G2792" t="str">
        <f>HYPERLINK("http://babel.hathitrust.org/cgi/pt?id=nyp.33433069254476")</f>
        <v>http://babel.hathitrust.org/cgi/pt?id=nyp.33433069254476</v>
      </c>
      <c r="H2792" t="str">
        <f>HYPERLINK("http://catalog.hathitrust.org/Record/002903150")</f>
        <v>http://catalog.hathitrust.org/Record/002903150</v>
      </c>
      <c r="J2792" s="1">
        <v>1909</v>
      </c>
      <c r="K2792" t="s">
        <v>14346</v>
      </c>
      <c r="L2792" t="s">
        <v>18516</v>
      </c>
    </row>
    <row r="2793" spans="1:12">
      <c r="A2793" t="s">
        <v>14348</v>
      </c>
      <c r="B2793" s="1" t="s">
        <v>14345</v>
      </c>
      <c r="F2793">
        <v>1</v>
      </c>
      <c r="G2793" t="str">
        <f>HYPERLINK("http://babel.hathitrust.org/cgi/pt?id=uc1.b616462")</f>
        <v>http://babel.hathitrust.org/cgi/pt?id=uc1.b616462</v>
      </c>
      <c r="H2793" t="str">
        <f>HYPERLINK("http://catalog.hathitrust.org/Record/002903150")</f>
        <v>http://catalog.hathitrust.org/Record/002903150</v>
      </c>
      <c r="J2793" s="1">
        <v>1909</v>
      </c>
      <c r="K2793" t="s">
        <v>14346</v>
      </c>
      <c r="L2793" t="s">
        <v>18516</v>
      </c>
    </row>
    <row r="2794" spans="1:12">
      <c r="A2794" t="s">
        <v>14349</v>
      </c>
      <c r="B2794" s="1" t="s">
        <v>14345</v>
      </c>
      <c r="F2794">
        <v>1</v>
      </c>
      <c r="G2794" t="str">
        <f>HYPERLINK("http://babel.hathitrust.org/cgi/pt?id=uc2.ark:/13960/t8tb18h66")</f>
        <v>http://babel.hathitrust.org/cgi/pt?id=uc2.ark:/13960/t8tb18h66</v>
      </c>
      <c r="H2794" t="str">
        <f>HYPERLINK("http://catalog.hathitrust.org/Record/002903150")</f>
        <v>http://catalog.hathitrust.org/Record/002903150</v>
      </c>
      <c r="J2794" s="1">
        <v>1909</v>
      </c>
      <c r="K2794" t="s">
        <v>14346</v>
      </c>
      <c r="L2794" t="s">
        <v>18516</v>
      </c>
    </row>
    <row r="2795" spans="1:12">
      <c r="A2795" t="s">
        <v>14350</v>
      </c>
      <c r="B2795" s="1" t="s">
        <v>14351</v>
      </c>
      <c r="F2795">
        <v>1</v>
      </c>
      <c r="G2795" t="str">
        <f>HYPERLINK("http://babel.hathitrust.org/cgi/pt?id=mdp.39015005599363")</f>
        <v>http://babel.hathitrust.org/cgi/pt?id=mdp.39015005599363</v>
      </c>
      <c r="H2795" t="str">
        <f>HYPERLINK("http://catalog.hathitrust.org/Record/002903169")</f>
        <v>http://catalog.hathitrust.org/Record/002903169</v>
      </c>
      <c r="I2795" s="1" t="s">
        <v>20916</v>
      </c>
      <c r="J2795" s="1">
        <v>1908</v>
      </c>
      <c r="K2795" t="s">
        <v>14352</v>
      </c>
      <c r="L2795" t="s">
        <v>19204</v>
      </c>
    </row>
    <row r="2796" spans="1:12">
      <c r="A2796" t="s">
        <v>14353</v>
      </c>
      <c r="B2796" s="1" t="s">
        <v>14351</v>
      </c>
      <c r="F2796">
        <v>1</v>
      </c>
      <c r="G2796" t="str">
        <f>HYPERLINK("http://babel.hathitrust.org/cgi/pt?id=mdp.39015030709417")</f>
        <v>http://babel.hathitrust.org/cgi/pt?id=mdp.39015030709417</v>
      </c>
      <c r="H2796" t="str">
        <f>HYPERLINK("http://catalog.hathitrust.org/Record/002903169")</f>
        <v>http://catalog.hathitrust.org/Record/002903169</v>
      </c>
      <c r="I2796" s="1" t="s">
        <v>20755</v>
      </c>
      <c r="J2796" s="1">
        <v>1908</v>
      </c>
      <c r="K2796" t="s">
        <v>14352</v>
      </c>
      <c r="L2796" t="s">
        <v>19204</v>
      </c>
    </row>
    <row r="2797" spans="1:12">
      <c r="A2797" t="s">
        <v>14354</v>
      </c>
      <c r="B2797" s="1" t="s">
        <v>14351</v>
      </c>
      <c r="F2797">
        <v>1</v>
      </c>
      <c r="G2797" t="str">
        <f>HYPERLINK("http://babel.hathitrust.org/cgi/pt?id=uc1.b3479482")</f>
        <v>http://babel.hathitrust.org/cgi/pt?id=uc1.b3479482</v>
      </c>
      <c r="H2797" t="str">
        <f>HYPERLINK("http://catalog.hathitrust.org/Record/002903169")</f>
        <v>http://catalog.hathitrust.org/Record/002903169</v>
      </c>
      <c r="I2797" s="1" t="s">
        <v>20916</v>
      </c>
      <c r="J2797" s="1">
        <v>1908</v>
      </c>
      <c r="K2797" t="s">
        <v>14352</v>
      </c>
      <c r="L2797" t="s">
        <v>19204</v>
      </c>
    </row>
    <row r="2798" spans="1:12">
      <c r="A2798" t="s">
        <v>14355</v>
      </c>
      <c r="B2798" s="1" t="s">
        <v>14351</v>
      </c>
      <c r="F2798">
        <v>1</v>
      </c>
      <c r="G2798" t="str">
        <f>HYPERLINK("http://babel.hathitrust.org/cgi/pt?id=uc1.b3479483")</f>
        <v>http://babel.hathitrust.org/cgi/pt?id=uc1.b3479483</v>
      </c>
      <c r="H2798" t="str">
        <f>HYPERLINK("http://catalog.hathitrust.org/Record/002903169")</f>
        <v>http://catalog.hathitrust.org/Record/002903169</v>
      </c>
      <c r="I2798" s="1" t="s">
        <v>20755</v>
      </c>
      <c r="J2798" s="1">
        <v>1908</v>
      </c>
      <c r="K2798" t="s">
        <v>14352</v>
      </c>
      <c r="L2798" t="s">
        <v>19204</v>
      </c>
    </row>
    <row r="2799" spans="1:12">
      <c r="A2799" t="s">
        <v>14356</v>
      </c>
      <c r="B2799" s="1" t="s">
        <v>14357</v>
      </c>
      <c r="F2799">
        <v>1</v>
      </c>
      <c r="G2799" t="str">
        <f>HYPERLINK("http://babel.hathitrust.org/cgi/pt?id=mdp.39015030712858")</f>
        <v>http://babel.hathitrust.org/cgi/pt?id=mdp.39015030712858</v>
      </c>
      <c r="H2799" t="str">
        <f>HYPERLINK("http://catalog.hathitrust.org/Record/002903264")</f>
        <v>http://catalog.hathitrust.org/Record/002903264</v>
      </c>
      <c r="J2799" s="1">
        <v>1921</v>
      </c>
      <c r="K2799" t="s">
        <v>19033</v>
      </c>
      <c r="L2799" t="s">
        <v>20331</v>
      </c>
    </row>
    <row r="2800" spans="1:12">
      <c r="A2800" t="s">
        <v>14358</v>
      </c>
      <c r="B2800" s="1" t="s">
        <v>14359</v>
      </c>
      <c r="F2800">
        <v>1</v>
      </c>
      <c r="G2800" t="str">
        <f>HYPERLINK("http://babel.hathitrust.org/cgi/pt?id=mdp.39015011025973")</f>
        <v>http://babel.hathitrust.org/cgi/pt?id=mdp.39015011025973</v>
      </c>
      <c r="H2800" t="str">
        <f>HYPERLINK("http://catalog.hathitrust.org/Record/002903268")</f>
        <v>http://catalog.hathitrust.org/Record/002903268</v>
      </c>
      <c r="J2800" s="1">
        <v>1788</v>
      </c>
      <c r="K2800" t="s">
        <v>14360</v>
      </c>
      <c r="L2800" t="s">
        <v>14361</v>
      </c>
    </row>
    <row r="2801" spans="1:12">
      <c r="A2801" t="s">
        <v>14362</v>
      </c>
      <c r="B2801" s="1" t="s">
        <v>14363</v>
      </c>
      <c r="E2801">
        <v>1</v>
      </c>
      <c r="G2801" t="str">
        <f>HYPERLINK("http://babel.hathitrust.org/cgi/pt?id=mdp.39015030712783")</f>
        <v>http://babel.hathitrust.org/cgi/pt?id=mdp.39015030712783</v>
      </c>
      <c r="H2801" t="str">
        <f>HYPERLINK("http://catalog.hathitrust.org/Record/002903281")</f>
        <v>http://catalog.hathitrust.org/Record/002903281</v>
      </c>
      <c r="J2801" s="1">
        <v>1894</v>
      </c>
      <c r="K2801" t="s">
        <v>14243</v>
      </c>
      <c r="L2801" t="s">
        <v>14244</v>
      </c>
    </row>
    <row r="2802" spans="1:12">
      <c r="A2802" t="s">
        <v>14245</v>
      </c>
      <c r="B2802" s="1" t="s">
        <v>14246</v>
      </c>
      <c r="F2802">
        <v>1</v>
      </c>
      <c r="G2802" t="str">
        <f>HYPERLINK("http://babel.hathitrust.org/cgi/pt?id=mdp.39015030713237")</f>
        <v>http://babel.hathitrust.org/cgi/pt?id=mdp.39015030713237</v>
      </c>
      <c r="H2802" t="str">
        <f>HYPERLINK("http://catalog.hathitrust.org/Record/002904321")</f>
        <v>http://catalog.hathitrust.org/Record/002904321</v>
      </c>
      <c r="J2802" s="1">
        <v>1924</v>
      </c>
      <c r="K2802" t="s">
        <v>14247</v>
      </c>
      <c r="L2802" t="s">
        <v>16360</v>
      </c>
    </row>
    <row r="2803" spans="1:12">
      <c r="A2803" t="s">
        <v>14248</v>
      </c>
      <c r="B2803" s="1" t="s">
        <v>14249</v>
      </c>
      <c r="E2803">
        <v>1</v>
      </c>
      <c r="G2803" t="str">
        <f>HYPERLINK("http://babel.hathitrust.org/cgi/pt?id=miun.aqh7146.0001.001")</f>
        <v>http://babel.hathitrust.org/cgi/pt?id=miun.aqh7146.0001.001</v>
      </c>
      <c r="H2803" t="str">
        <f>HYPERLINK("http://catalog.hathitrust.org/Record/002904428")</f>
        <v>http://catalog.hathitrust.org/Record/002904428</v>
      </c>
      <c r="J2803" s="1">
        <v>1863</v>
      </c>
      <c r="K2803" t="s">
        <v>14250</v>
      </c>
    </row>
    <row r="2804" spans="1:12">
      <c r="A2804" t="s">
        <v>14251</v>
      </c>
      <c r="B2804" s="1" t="s">
        <v>14252</v>
      </c>
      <c r="D2804">
        <v>1</v>
      </c>
      <c r="G2804" t="str">
        <f>HYPERLINK("http://babel.hathitrust.org/cgi/pt?id=mdp.39015013245199")</f>
        <v>http://babel.hathitrust.org/cgi/pt?id=mdp.39015013245199</v>
      </c>
      <c r="H2804" t="str">
        <f>HYPERLINK("http://catalog.hathitrust.org/Record/002904807")</f>
        <v>http://catalog.hathitrust.org/Record/002904807</v>
      </c>
      <c r="J2804" s="1">
        <v>1866</v>
      </c>
      <c r="K2804" t="s">
        <v>14253</v>
      </c>
      <c r="L2804" t="s">
        <v>20331</v>
      </c>
    </row>
    <row r="2805" spans="1:12">
      <c r="A2805" t="s">
        <v>14254</v>
      </c>
      <c r="B2805" s="1" t="s">
        <v>14255</v>
      </c>
      <c r="F2805">
        <v>1</v>
      </c>
      <c r="G2805" t="str">
        <f>HYPERLINK("http://babel.hathitrust.org/cgi/pt?id=mdp.39015030120235")</f>
        <v>http://babel.hathitrust.org/cgi/pt?id=mdp.39015030120235</v>
      </c>
      <c r="H2805" t="str">
        <f>HYPERLINK("http://catalog.hathitrust.org/Record/002904845")</f>
        <v>http://catalog.hathitrust.org/Record/002904845</v>
      </c>
      <c r="J2805" s="1">
        <v>1886</v>
      </c>
      <c r="K2805" t="s">
        <v>14256</v>
      </c>
      <c r="L2805" t="s">
        <v>14257</v>
      </c>
    </row>
    <row r="2806" spans="1:12">
      <c r="A2806" t="s">
        <v>14258</v>
      </c>
      <c r="B2806" s="1" t="s">
        <v>14255</v>
      </c>
      <c r="F2806">
        <v>1</v>
      </c>
      <c r="G2806" t="str">
        <f>HYPERLINK("http://babel.hathitrust.org/cgi/pt?id=uc1.b51283")</f>
        <v>http://babel.hathitrust.org/cgi/pt?id=uc1.b51283</v>
      </c>
      <c r="H2806" t="str">
        <f>HYPERLINK("http://catalog.hathitrust.org/Record/002904845")</f>
        <v>http://catalog.hathitrust.org/Record/002904845</v>
      </c>
      <c r="J2806" s="1">
        <v>1886</v>
      </c>
      <c r="K2806" t="s">
        <v>14256</v>
      </c>
      <c r="L2806" t="s">
        <v>14257</v>
      </c>
    </row>
    <row r="2807" spans="1:12">
      <c r="A2807" t="s">
        <v>14259</v>
      </c>
      <c r="B2807" s="1" t="s">
        <v>14255</v>
      </c>
      <c r="F2807">
        <v>1</v>
      </c>
      <c r="G2807" t="str">
        <f>HYPERLINK("http://babel.hathitrust.org/cgi/pt?id=uc2.ark:/13960/t0pr83n2b")</f>
        <v>http://babel.hathitrust.org/cgi/pt?id=uc2.ark:/13960/t0pr83n2b</v>
      </c>
      <c r="H2807" t="str">
        <f>HYPERLINK("http://catalog.hathitrust.org/Record/002904845")</f>
        <v>http://catalog.hathitrust.org/Record/002904845</v>
      </c>
      <c r="J2807" s="1">
        <v>1886</v>
      </c>
      <c r="K2807" t="s">
        <v>14256</v>
      </c>
      <c r="L2807" t="s">
        <v>14257</v>
      </c>
    </row>
    <row r="2808" spans="1:12">
      <c r="A2808" t="s">
        <v>14260</v>
      </c>
      <c r="B2808" s="1" t="s">
        <v>14261</v>
      </c>
      <c r="F2808">
        <v>1</v>
      </c>
      <c r="G2808" t="str">
        <f>HYPERLINK("http://babel.hathitrust.org/cgi/pt?id=mdp.39015030713062")</f>
        <v>http://babel.hathitrust.org/cgi/pt?id=mdp.39015030713062</v>
      </c>
      <c r="H2808" t="str">
        <f>HYPERLINK("http://catalog.hathitrust.org/Record/002905058")</f>
        <v>http://catalog.hathitrust.org/Record/002905058</v>
      </c>
      <c r="J2808" s="1">
        <v>1894</v>
      </c>
      <c r="K2808" t="s">
        <v>18769</v>
      </c>
      <c r="L2808" t="s">
        <v>19211</v>
      </c>
    </row>
    <row r="2809" spans="1:12">
      <c r="A2809" t="s">
        <v>14262</v>
      </c>
      <c r="B2809" s="1" t="s">
        <v>14263</v>
      </c>
      <c r="F2809">
        <v>1</v>
      </c>
      <c r="G2809" t="str">
        <f>HYPERLINK("http://babel.hathitrust.org/cgi/pt?id=loc.ark:/13960/t47p9k81g")</f>
        <v>http://babel.hathitrust.org/cgi/pt?id=loc.ark:/13960/t47p9k81g</v>
      </c>
      <c r="H2809" t="str">
        <f>HYPERLINK("http://catalog.hathitrust.org/Record/002906094")</f>
        <v>http://catalog.hathitrust.org/Record/002906094</v>
      </c>
      <c r="J2809" s="1">
        <v>1908</v>
      </c>
      <c r="K2809" t="s">
        <v>14264</v>
      </c>
      <c r="L2809" t="s">
        <v>19015</v>
      </c>
    </row>
    <row r="2810" spans="1:12">
      <c r="A2810" t="s">
        <v>14265</v>
      </c>
      <c r="B2810" s="1" t="s">
        <v>14263</v>
      </c>
      <c r="F2810">
        <v>1</v>
      </c>
      <c r="G2810" t="str">
        <f>HYPERLINK("http://babel.hathitrust.org/cgi/pt?id=mdp.39015031808879")</f>
        <v>http://babel.hathitrust.org/cgi/pt?id=mdp.39015031808879</v>
      </c>
      <c r="H2810" t="str">
        <f>HYPERLINK("http://catalog.hathitrust.org/Record/002906094")</f>
        <v>http://catalog.hathitrust.org/Record/002906094</v>
      </c>
      <c r="J2810" s="1">
        <v>1908</v>
      </c>
      <c r="K2810" t="s">
        <v>14264</v>
      </c>
      <c r="L2810" t="s">
        <v>19015</v>
      </c>
    </row>
    <row r="2811" spans="1:12">
      <c r="A2811" t="s">
        <v>14266</v>
      </c>
      <c r="B2811" s="1" t="s">
        <v>14263</v>
      </c>
      <c r="F2811">
        <v>1</v>
      </c>
      <c r="G2811" t="str">
        <f>HYPERLINK("http://babel.hathitrust.org/cgi/pt?id=nyp.33433074906441")</f>
        <v>http://babel.hathitrust.org/cgi/pt?id=nyp.33433074906441</v>
      </c>
      <c r="H2811" t="str">
        <f>HYPERLINK("http://catalog.hathitrust.org/Record/002906094")</f>
        <v>http://catalog.hathitrust.org/Record/002906094</v>
      </c>
      <c r="J2811" s="1">
        <v>1908</v>
      </c>
      <c r="K2811" t="s">
        <v>14264</v>
      </c>
      <c r="L2811" t="s">
        <v>19015</v>
      </c>
    </row>
    <row r="2812" spans="1:12">
      <c r="A2812" t="s">
        <v>14267</v>
      </c>
      <c r="B2812" s="1" t="s">
        <v>14263</v>
      </c>
      <c r="F2812">
        <v>1</v>
      </c>
      <c r="G2812" t="str">
        <f>HYPERLINK("http://babel.hathitrust.org/cgi/pt?id=uc2.ark:/13960/t8z89ff9d")</f>
        <v>http://babel.hathitrust.org/cgi/pt?id=uc2.ark:/13960/t8z89ff9d</v>
      </c>
      <c r="H2812" t="str">
        <f>HYPERLINK("http://catalog.hathitrust.org/Record/002906094")</f>
        <v>http://catalog.hathitrust.org/Record/002906094</v>
      </c>
      <c r="J2812" s="1">
        <v>1908</v>
      </c>
      <c r="K2812" t="s">
        <v>14264</v>
      </c>
      <c r="L2812" t="s">
        <v>19015</v>
      </c>
    </row>
    <row r="2813" spans="1:12">
      <c r="A2813" t="s">
        <v>14268</v>
      </c>
      <c r="B2813" s="1" t="s">
        <v>14269</v>
      </c>
      <c r="F2813">
        <v>1</v>
      </c>
      <c r="G2813" t="str">
        <f>HYPERLINK("http://babel.hathitrust.org/cgi/pt?id=mdp.39015030120938")</f>
        <v>http://babel.hathitrust.org/cgi/pt?id=mdp.39015030120938</v>
      </c>
      <c r="H2813" t="str">
        <f>HYPERLINK("http://catalog.hathitrust.org/Record/002906299")</f>
        <v>http://catalog.hathitrust.org/Record/002906299</v>
      </c>
      <c r="J2813" s="1">
        <v>1913</v>
      </c>
      <c r="K2813" t="s">
        <v>14270</v>
      </c>
      <c r="L2813" t="s">
        <v>14271</v>
      </c>
    </row>
    <row r="2814" spans="1:12">
      <c r="A2814" t="s">
        <v>14272</v>
      </c>
      <c r="B2814" s="1" t="s">
        <v>14269</v>
      </c>
      <c r="F2814">
        <v>1</v>
      </c>
      <c r="G2814" t="str">
        <f>HYPERLINK("http://babel.hathitrust.org/cgi/pt?id=uc2.ark:/13960/t4zg6k22k")</f>
        <v>http://babel.hathitrust.org/cgi/pt?id=uc2.ark:/13960/t4zg6k22k</v>
      </c>
      <c r="H2814" t="str">
        <f>HYPERLINK("http://catalog.hathitrust.org/Record/002906299")</f>
        <v>http://catalog.hathitrust.org/Record/002906299</v>
      </c>
      <c r="J2814" s="1">
        <v>1913</v>
      </c>
      <c r="K2814" t="s">
        <v>14270</v>
      </c>
      <c r="L2814" t="s">
        <v>14271</v>
      </c>
    </row>
    <row r="2815" spans="1:12">
      <c r="A2815" t="s">
        <v>14273</v>
      </c>
      <c r="B2815" s="1" t="s">
        <v>14274</v>
      </c>
      <c r="F2815">
        <v>1</v>
      </c>
      <c r="G2815" t="str">
        <f>HYPERLINK("http://babel.hathitrust.org/cgi/pt?id=mdp.39015030120730")</f>
        <v>http://babel.hathitrust.org/cgi/pt?id=mdp.39015030120730</v>
      </c>
      <c r="H2815" t="str">
        <f>HYPERLINK("http://catalog.hathitrust.org/Record/002907707")</f>
        <v>http://catalog.hathitrust.org/Record/002907707</v>
      </c>
      <c r="J2815" s="1">
        <v>1940</v>
      </c>
      <c r="K2815" t="s">
        <v>14275</v>
      </c>
      <c r="L2815" t="s">
        <v>16417</v>
      </c>
    </row>
    <row r="2816" spans="1:12">
      <c r="A2816" t="s">
        <v>14276</v>
      </c>
      <c r="B2816" s="1" t="s">
        <v>14274</v>
      </c>
      <c r="F2816">
        <v>1</v>
      </c>
      <c r="G2816" t="str">
        <f>HYPERLINK("http://babel.hathitrust.org/cgi/pt?id=mdp.39015066084834")</f>
        <v>http://babel.hathitrust.org/cgi/pt?id=mdp.39015066084834</v>
      </c>
      <c r="H2816" t="str">
        <f>HYPERLINK("http://catalog.hathitrust.org/Record/002907707")</f>
        <v>http://catalog.hathitrust.org/Record/002907707</v>
      </c>
      <c r="J2816" s="1">
        <v>1940</v>
      </c>
      <c r="K2816" t="s">
        <v>14275</v>
      </c>
      <c r="L2816" t="s">
        <v>16417</v>
      </c>
    </row>
    <row r="2817" spans="1:12">
      <c r="A2817" t="s">
        <v>14277</v>
      </c>
      <c r="B2817" s="1" t="s">
        <v>14278</v>
      </c>
      <c r="F2817">
        <v>1</v>
      </c>
      <c r="G2817" t="str">
        <f>HYPERLINK("http://babel.hathitrust.org/cgi/pt?id=mdp.39015019078172")</f>
        <v>http://babel.hathitrust.org/cgi/pt?id=mdp.39015019078172</v>
      </c>
      <c r="H2817" t="str">
        <f>HYPERLINK("http://catalog.hathitrust.org/Record/002965746")</f>
        <v>http://catalog.hathitrust.org/Record/002965746</v>
      </c>
      <c r="J2817" s="1">
        <v>1892</v>
      </c>
      <c r="K2817" t="s">
        <v>14279</v>
      </c>
      <c r="L2817" t="s">
        <v>20937</v>
      </c>
    </row>
    <row r="2818" spans="1:12">
      <c r="A2818" t="s">
        <v>14280</v>
      </c>
      <c r="B2818" s="1" t="s">
        <v>14278</v>
      </c>
      <c r="F2818">
        <v>1</v>
      </c>
      <c r="G2818" t="str">
        <f>HYPERLINK("http://babel.hathitrust.org/cgi/pt?id=uc1.$b623743")</f>
        <v>http://babel.hathitrust.org/cgi/pt?id=uc1.$b623743</v>
      </c>
      <c r="H2818" t="str">
        <f>HYPERLINK("http://catalog.hathitrust.org/Record/002965746")</f>
        <v>http://catalog.hathitrust.org/Record/002965746</v>
      </c>
      <c r="J2818" s="1">
        <v>1892</v>
      </c>
      <c r="K2818" t="s">
        <v>14279</v>
      </c>
      <c r="L2818" t="s">
        <v>20937</v>
      </c>
    </row>
    <row r="2819" spans="1:12">
      <c r="A2819" t="s">
        <v>14281</v>
      </c>
      <c r="B2819" s="1" t="s">
        <v>14278</v>
      </c>
      <c r="F2819">
        <v>1</v>
      </c>
      <c r="G2819" t="str">
        <f>HYPERLINK("http://babel.hathitrust.org/cgi/pt?id=uc2.ark:/13960/t6qz2505v")</f>
        <v>http://babel.hathitrust.org/cgi/pt?id=uc2.ark:/13960/t6qz2505v</v>
      </c>
      <c r="H2819" t="str">
        <f>HYPERLINK("http://catalog.hathitrust.org/Record/002965746")</f>
        <v>http://catalog.hathitrust.org/Record/002965746</v>
      </c>
      <c r="J2819" s="1">
        <v>1892</v>
      </c>
      <c r="K2819" t="s">
        <v>14279</v>
      </c>
      <c r="L2819" t="s">
        <v>20937</v>
      </c>
    </row>
    <row r="2820" spans="1:12">
      <c r="A2820" t="s">
        <v>14282</v>
      </c>
      <c r="B2820" s="1" t="s">
        <v>14283</v>
      </c>
      <c r="D2820">
        <v>1</v>
      </c>
      <c r="G2820" t="str">
        <f>HYPERLINK("http://babel.hathitrust.org/cgi/pt?id=nyp.33433082515622")</f>
        <v>http://babel.hathitrust.org/cgi/pt?id=nyp.33433082515622</v>
      </c>
      <c r="H2820" t="str">
        <f>HYPERLINK("http://catalog.hathitrust.org/Record/002990437")</f>
        <v>http://catalog.hathitrust.org/Record/002990437</v>
      </c>
      <c r="J2820" s="1">
        <v>1822</v>
      </c>
      <c r="K2820" t="s">
        <v>14284</v>
      </c>
      <c r="L2820" t="s">
        <v>19694</v>
      </c>
    </row>
    <row r="2821" spans="1:12">
      <c r="A2821" t="s">
        <v>14285</v>
      </c>
      <c r="B2821" s="1" t="s">
        <v>14286</v>
      </c>
      <c r="F2821">
        <v>1</v>
      </c>
      <c r="G2821" t="str">
        <f>HYPERLINK("http://babel.hathitrust.org/cgi/pt?id=mdp.39015034603848")</f>
        <v>http://babel.hathitrust.org/cgi/pt?id=mdp.39015034603848</v>
      </c>
      <c r="H2821" t="str">
        <f>HYPERLINK("http://catalog.hathitrust.org/Record/002995468")</f>
        <v>http://catalog.hathitrust.org/Record/002995468</v>
      </c>
      <c r="J2821" s="1">
        <v>1921</v>
      </c>
      <c r="K2821" t="s">
        <v>14287</v>
      </c>
      <c r="L2821" t="s">
        <v>18708</v>
      </c>
    </row>
    <row r="2822" spans="1:12">
      <c r="A2822" t="s">
        <v>14288</v>
      </c>
      <c r="B2822" s="1" t="s">
        <v>14289</v>
      </c>
      <c r="F2822">
        <v>1</v>
      </c>
      <c r="G2822" t="str">
        <f>HYPERLINK("http://babel.hathitrust.org/cgi/pt?id=mdp.39015034600240")</f>
        <v>http://babel.hathitrust.org/cgi/pt?id=mdp.39015034600240</v>
      </c>
      <c r="H2822" t="str">
        <f>HYPERLINK("http://catalog.hathitrust.org/Record/003000319")</f>
        <v>http://catalog.hathitrust.org/Record/003000319</v>
      </c>
      <c r="J2822" s="1">
        <v>1892</v>
      </c>
      <c r="K2822" t="s">
        <v>14290</v>
      </c>
      <c r="L2822" t="s">
        <v>18627</v>
      </c>
    </row>
    <row r="2823" spans="1:12">
      <c r="A2823" t="s">
        <v>14291</v>
      </c>
      <c r="B2823" s="1" t="s">
        <v>14289</v>
      </c>
      <c r="F2823">
        <v>1</v>
      </c>
      <c r="G2823" t="str">
        <f>HYPERLINK("http://babel.hathitrust.org/cgi/pt?id=nyp.33433074796776")</f>
        <v>http://babel.hathitrust.org/cgi/pt?id=nyp.33433074796776</v>
      </c>
      <c r="H2823" t="str">
        <f>HYPERLINK("http://catalog.hathitrust.org/Record/003000319")</f>
        <v>http://catalog.hathitrust.org/Record/003000319</v>
      </c>
      <c r="J2823" s="1">
        <v>1892</v>
      </c>
      <c r="K2823" t="s">
        <v>14290</v>
      </c>
      <c r="L2823" t="s">
        <v>18627</v>
      </c>
    </row>
    <row r="2824" spans="1:12">
      <c r="A2824" t="s">
        <v>14292</v>
      </c>
      <c r="B2824" s="1" t="s">
        <v>14289</v>
      </c>
      <c r="F2824">
        <v>1</v>
      </c>
      <c r="G2824" t="str">
        <f>HYPERLINK("http://babel.hathitrust.org/cgi/pt?id=uc2.ark:/13960/t1xd12x2v")</f>
        <v>http://babel.hathitrust.org/cgi/pt?id=uc2.ark:/13960/t1xd12x2v</v>
      </c>
      <c r="H2824" t="str">
        <f>HYPERLINK("http://catalog.hathitrust.org/Record/003000319")</f>
        <v>http://catalog.hathitrust.org/Record/003000319</v>
      </c>
      <c r="J2824" s="1">
        <v>1892</v>
      </c>
      <c r="K2824" t="s">
        <v>14290</v>
      </c>
      <c r="L2824" t="s">
        <v>18627</v>
      </c>
    </row>
    <row r="2825" spans="1:12">
      <c r="A2825" t="s">
        <v>14293</v>
      </c>
      <c r="B2825" s="1" t="s">
        <v>14294</v>
      </c>
      <c r="F2825">
        <v>1</v>
      </c>
      <c r="G2825" t="str">
        <f>HYPERLINK("http://babel.hathitrust.org/cgi/pt?id=mdp.39015034599996")</f>
        <v>http://babel.hathitrust.org/cgi/pt?id=mdp.39015034599996</v>
      </c>
      <c r="H2825" t="str">
        <f>HYPERLINK("http://catalog.hathitrust.org/Record/003000335")</f>
        <v>http://catalog.hathitrust.org/Record/003000335</v>
      </c>
      <c r="J2825" s="1">
        <v>1887</v>
      </c>
      <c r="K2825" t="s">
        <v>14295</v>
      </c>
      <c r="L2825" t="s">
        <v>18627</v>
      </c>
    </row>
    <row r="2826" spans="1:12">
      <c r="A2826" t="s">
        <v>14296</v>
      </c>
      <c r="B2826" s="1" t="s">
        <v>14294</v>
      </c>
      <c r="F2826">
        <v>1</v>
      </c>
      <c r="G2826" t="str">
        <f>HYPERLINK("http://babel.hathitrust.org/cgi/pt?id=uc2.ark:/13960/t8nc64v4r")</f>
        <v>http://babel.hathitrust.org/cgi/pt?id=uc2.ark:/13960/t8nc64v4r</v>
      </c>
      <c r="H2826" t="str">
        <f>HYPERLINK("http://catalog.hathitrust.org/Record/003000335")</f>
        <v>http://catalog.hathitrust.org/Record/003000335</v>
      </c>
      <c r="J2826" s="1">
        <v>1887</v>
      </c>
      <c r="K2826" t="s">
        <v>14295</v>
      </c>
      <c r="L2826" t="s">
        <v>18627</v>
      </c>
    </row>
    <row r="2827" spans="1:12">
      <c r="A2827" t="s">
        <v>14297</v>
      </c>
      <c r="B2827" s="1" t="s">
        <v>14298</v>
      </c>
      <c r="F2827">
        <v>1</v>
      </c>
      <c r="G2827" t="str">
        <f>HYPERLINK("http://babel.hathitrust.org/cgi/pt?id=mdp.39015034600364")</f>
        <v>http://babel.hathitrust.org/cgi/pt?id=mdp.39015034600364</v>
      </c>
      <c r="H2827" t="str">
        <f>HYPERLINK("http://catalog.hathitrust.org/Record/003000336")</f>
        <v>http://catalog.hathitrust.org/Record/003000336</v>
      </c>
      <c r="J2827" s="1">
        <v>1889</v>
      </c>
      <c r="K2827" t="s">
        <v>14299</v>
      </c>
      <c r="L2827" t="s">
        <v>18627</v>
      </c>
    </row>
    <row r="2828" spans="1:12">
      <c r="A2828" t="s">
        <v>14202</v>
      </c>
      <c r="B2828" s="1" t="s">
        <v>14298</v>
      </c>
      <c r="F2828">
        <v>1</v>
      </c>
      <c r="G2828" t="str">
        <f>HYPERLINK("http://babel.hathitrust.org/cgi/pt?id=nyp.33433074796784")</f>
        <v>http://babel.hathitrust.org/cgi/pt?id=nyp.33433074796784</v>
      </c>
      <c r="H2828" t="str">
        <f>HYPERLINK("http://catalog.hathitrust.org/Record/003000336")</f>
        <v>http://catalog.hathitrust.org/Record/003000336</v>
      </c>
      <c r="I2828" s="1" t="s">
        <v>20796</v>
      </c>
      <c r="J2828" s="1">
        <v>1889</v>
      </c>
      <c r="K2828" t="s">
        <v>14299</v>
      </c>
      <c r="L2828" t="s">
        <v>18627</v>
      </c>
    </row>
    <row r="2829" spans="1:12">
      <c r="A2829" t="s">
        <v>14203</v>
      </c>
      <c r="B2829" s="1" t="s">
        <v>14298</v>
      </c>
      <c r="F2829">
        <v>1</v>
      </c>
      <c r="G2829" t="str">
        <f>HYPERLINK("http://babel.hathitrust.org/cgi/pt?id=uc2.ark:/13960/t7wm1g658")</f>
        <v>http://babel.hathitrust.org/cgi/pt?id=uc2.ark:/13960/t7wm1g658</v>
      </c>
      <c r="H2829" t="str">
        <f>HYPERLINK("http://catalog.hathitrust.org/Record/003000336")</f>
        <v>http://catalog.hathitrust.org/Record/003000336</v>
      </c>
      <c r="J2829" s="1">
        <v>1889</v>
      </c>
      <c r="K2829" t="s">
        <v>14299</v>
      </c>
      <c r="L2829" t="s">
        <v>18627</v>
      </c>
    </row>
    <row r="2830" spans="1:12">
      <c r="A2830" t="s">
        <v>14204</v>
      </c>
      <c r="B2830" s="1" t="s">
        <v>14205</v>
      </c>
      <c r="E2830">
        <v>1</v>
      </c>
      <c r="F2830">
        <v>1</v>
      </c>
      <c r="G2830" t="str">
        <f>HYPERLINK("http://babel.hathitrust.org/cgi/pt?id=mdp.39015037316273")</f>
        <v>http://babel.hathitrust.org/cgi/pt?id=mdp.39015037316273</v>
      </c>
      <c r="H2830" t="str">
        <f>HYPERLINK("http://catalog.hathitrust.org/Record/003047198")</f>
        <v>http://catalog.hathitrust.org/Record/003047198</v>
      </c>
      <c r="J2830" s="1">
        <v>1710</v>
      </c>
      <c r="K2830" t="s">
        <v>14206</v>
      </c>
      <c r="L2830" t="s">
        <v>14207</v>
      </c>
    </row>
    <row r="2831" spans="1:12">
      <c r="A2831" t="s">
        <v>14208</v>
      </c>
      <c r="B2831" s="1" t="s">
        <v>14209</v>
      </c>
      <c r="F2831">
        <v>1</v>
      </c>
      <c r="G2831" t="str">
        <f>HYPERLINK("http://babel.hathitrust.org/cgi/pt?id=mdp.39015037316174")</f>
        <v>http://babel.hathitrust.org/cgi/pt?id=mdp.39015037316174</v>
      </c>
      <c r="H2831" t="str">
        <f>HYPERLINK("http://catalog.hathitrust.org/Record/003050853")</f>
        <v>http://catalog.hathitrust.org/Record/003050853</v>
      </c>
      <c r="I2831" s="1" t="s">
        <v>20916</v>
      </c>
      <c r="J2831" s="1">
        <v>1669</v>
      </c>
      <c r="K2831" t="s">
        <v>14210</v>
      </c>
      <c r="L2831" t="s">
        <v>14211</v>
      </c>
    </row>
    <row r="2832" spans="1:12">
      <c r="A2832" t="s">
        <v>14212</v>
      </c>
      <c r="B2832" s="1" t="s">
        <v>14209</v>
      </c>
      <c r="F2832">
        <v>1</v>
      </c>
      <c r="G2832" t="str">
        <f>HYPERLINK("http://babel.hathitrust.org/cgi/pt?id=mdp.39015037316182")</f>
        <v>http://babel.hathitrust.org/cgi/pt?id=mdp.39015037316182</v>
      </c>
      <c r="H2832" t="str">
        <f>HYPERLINK("http://catalog.hathitrust.org/Record/003050853")</f>
        <v>http://catalog.hathitrust.org/Record/003050853</v>
      </c>
      <c r="I2832" s="1" t="s">
        <v>20755</v>
      </c>
      <c r="J2832" s="1">
        <v>1669</v>
      </c>
      <c r="K2832" t="s">
        <v>14210</v>
      </c>
      <c r="L2832" t="s">
        <v>14211</v>
      </c>
    </row>
    <row r="2833" spans="1:12">
      <c r="A2833" t="s">
        <v>14213</v>
      </c>
      <c r="B2833" s="1" t="s">
        <v>14214</v>
      </c>
      <c r="E2833">
        <v>1</v>
      </c>
      <c r="F2833">
        <v>1</v>
      </c>
      <c r="G2833" t="str">
        <f>HYPERLINK("http://babel.hathitrust.org/cgi/pt?id=mdp.39015037316166")</f>
        <v>http://babel.hathitrust.org/cgi/pt?id=mdp.39015037316166</v>
      </c>
      <c r="H2833" t="str">
        <f>HYPERLINK("http://catalog.hathitrust.org/Record/003050854")</f>
        <v>http://catalog.hathitrust.org/Record/003050854</v>
      </c>
      <c r="J2833" s="1">
        <v>1737</v>
      </c>
      <c r="K2833" t="s">
        <v>14215</v>
      </c>
      <c r="L2833" t="s">
        <v>20944</v>
      </c>
    </row>
    <row r="2834" spans="1:12" ht="15">
      <c r="A2834" t="s">
        <v>14216</v>
      </c>
      <c r="B2834" s="1" t="s">
        <v>14217</v>
      </c>
      <c r="F2834">
        <v>1</v>
      </c>
      <c r="G2834" t="str">
        <f>HYPERLINK("http://babel.hathitrust.org/cgi/pt?id=mdp.39015038023233")</f>
        <v>http://babel.hathitrust.org/cgi/pt?id=mdp.39015038023233</v>
      </c>
      <c r="H2834" t="str">
        <f>HYPERLINK("http://catalog.hathitrust.org/Record/003096846")</f>
        <v>http://catalog.hathitrust.org/Record/003096846</v>
      </c>
      <c r="J2834" s="1">
        <v>1915</v>
      </c>
      <c r="K2834" t="s">
        <v>14218</v>
      </c>
      <c r="L2834" t="s">
        <v>14219</v>
      </c>
    </row>
    <row r="2835" spans="1:12">
      <c r="A2835" t="s">
        <v>14220</v>
      </c>
      <c r="B2835" s="1" t="s">
        <v>14221</v>
      </c>
      <c r="F2835">
        <v>1</v>
      </c>
      <c r="G2835" t="str">
        <f>HYPERLINK("http://babel.hathitrust.org/cgi/pt?id=mdp.39015016916929")</f>
        <v>http://babel.hathitrust.org/cgi/pt?id=mdp.39015016916929</v>
      </c>
      <c r="H2835" t="str">
        <f>HYPERLINK("http://catalog.hathitrust.org/Record/003123963")</f>
        <v>http://catalog.hathitrust.org/Record/003123963</v>
      </c>
      <c r="J2835" s="1">
        <v>1890</v>
      </c>
      <c r="K2835" t="s">
        <v>14222</v>
      </c>
      <c r="L2835" t="s">
        <v>14223</v>
      </c>
    </row>
    <row r="2836" spans="1:12">
      <c r="A2836" t="s">
        <v>14224</v>
      </c>
      <c r="B2836" s="1" t="s">
        <v>14221</v>
      </c>
      <c r="F2836">
        <v>1</v>
      </c>
      <c r="G2836" t="str">
        <f>HYPERLINK("http://babel.hathitrust.org/cgi/pt?id=nyp.33433005948926")</f>
        <v>http://babel.hathitrust.org/cgi/pt?id=nyp.33433005948926</v>
      </c>
      <c r="H2836" t="str">
        <f>HYPERLINK("http://catalog.hathitrust.org/Record/003123963")</f>
        <v>http://catalog.hathitrust.org/Record/003123963</v>
      </c>
      <c r="J2836" s="1">
        <v>1890</v>
      </c>
      <c r="K2836" t="s">
        <v>14222</v>
      </c>
      <c r="L2836" t="s">
        <v>14223</v>
      </c>
    </row>
    <row r="2837" spans="1:12">
      <c r="A2837" t="s">
        <v>14225</v>
      </c>
      <c r="B2837" s="1" t="s">
        <v>14226</v>
      </c>
      <c r="F2837">
        <v>1</v>
      </c>
      <c r="G2837" t="str">
        <f>HYPERLINK("http://babel.hathitrust.org/cgi/pt?id=uc2.ark:/13960/t14m9400k")</f>
        <v>http://babel.hathitrust.org/cgi/pt?id=uc2.ark:/13960/t14m9400k</v>
      </c>
      <c r="H2837" t="str">
        <f>HYPERLINK("http://catalog.hathitrust.org/Record/003149209")</f>
        <v>http://catalog.hathitrust.org/Record/003149209</v>
      </c>
      <c r="J2837" s="1">
        <v>1896</v>
      </c>
      <c r="K2837" t="s">
        <v>14227</v>
      </c>
      <c r="L2837" t="s">
        <v>14228</v>
      </c>
    </row>
    <row r="2838" spans="1:12">
      <c r="A2838" t="s">
        <v>14229</v>
      </c>
      <c r="B2838" s="1" t="s">
        <v>14230</v>
      </c>
      <c r="F2838">
        <v>1</v>
      </c>
      <c r="G2838" t="str">
        <f>HYPERLINK("http://babel.hathitrust.org/cgi/pt?id=mdp.39015071613603")</f>
        <v>http://babel.hathitrust.org/cgi/pt?id=mdp.39015071613603</v>
      </c>
      <c r="H2838" t="str">
        <f>HYPERLINK("http://catalog.hathitrust.org/Record/003149227")</f>
        <v>http://catalog.hathitrust.org/Record/003149227</v>
      </c>
      <c r="J2838" s="1">
        <v>1893</v>
      </c>
      <c r="K2838" t="s">
        <v>14231</v>
      </c>
      <c r="L2838" t="s">
        <v>20859</v>
      </c>
    </row>
    <row r="2839" spans="1:12">
      <c r="A2839" t="s">
        <v>14232</v>
      </c>
      <c r="B2839" s="1" t="s">
        <v>14233</v>
      </c>
      <c r="F2839">
        <v>1</v>
      </c>
      <c r="G2839" t="str">
        <f>HYPERLINK("http://babel.hathitrust.org/cgi/pt?id=hvd.32044102769726")</f>
        <v>http://babel.hathitrust.org/cgi/pt?id=hvd.32044102769726</v>
      </c>
      <c r="H2839" t="str">
        <f>HYPERLINK("http://catalog.hathitrust.org/Record/003149356")</f>
        <v>http://catalog.hathitrust.org/Record/003149356</v>
      </c>
      <c r="J2839" s="1">
        <v>1869</v>
      </c>
      <c r="K2839" t="s">
        <v>14234</v>
      </c>
      <c r="L2839" t="s">
        <v>14235</v>
      </c>
    </row>
    <row r="2840" spans="1:12">
      <c r="A2840" t="s">
        <v>14236</v>
      </c>
      <c r="B2840" s="1" t="s">
        <v>14233</v>
      </c>
      <c r="F2840">
        <v>1</v>
      </c>
      <c r="G2840" t="str">
        <f>HYPERLINK("http://babel.hathitrust.org/cgi/pt?id=uc1.$b663305")</f>
        <v>http://babel.hathitrust.org/cgi/pt?id=uc1.$b663305</v>
      </c>
      <c r="H2840" t="str">
        <f>HYPERLINK("http://catalog.hathitrust.org/Record/003149356")</f>
        <v>http://catalog.hathitrust.org/Record/003149356</v>
      </c>
      <c r="J2840" s="1">
        <v>1869</v>
      </c>
      <c r="K2840" t="s">
        <v>14234</v>
      </c>
      <c r="L2840" t="s">
        <v>14235</v>
      </c>
    </row>
    <row r="2841" spans="1:12">
      <c r="A2841" t="s">
        <v>14237</v>
      </c>
      <c r="B2841" s="1" t="s">
        <v>14233</v>
      </c>
      <c r="F2841">
        <v>1</v>
      </c>
      <c r="G2841" t="str">
        <f>HYPERLINK("http://babel.hathitrust.org/cgi/pt?id=uc1.b258618")</f>
        <v>http://babel.hathitrust.org/cgi/pt?id=uc1.b258618</v>
      </c>
      <c r="H2841" t="str">
        <f>HYPERLINK("http://catalog.hathitrust.org/Record/003149356")</f>
        <v>http://catalog.hathitrust.org/Record/003149356</v>
      </c>
      <c r="J2841" s="1">
        <v>1869</v>
      </c>
      <c r="K2841" t="s">
        <v>14234</v>
      </c>
      <c r="L2841" t="s">
        <v>14235</v>
      </c>
    </row>
    <row r="2842" spans="1:12">
      <c r="A2842" t="s">
        <v>14238</v>
      </c>
      <c r="B2842" s="1" t="s">
        <v>14233</v>
      </c>
      <c r="F2842">
        <v>1</v>
      </c>
      <c r="G2842" t="str">
        <f>HYPERLINK("http://babel.hathitrust.org/cgi/pt?id=uc2.ark:/13960/t13n2314x")</f>
        <v>http://babel.hathitrust.org/cgi/pt?id=uc2.ark:/13960/t13n2314x</v>
      </c>
      <c r="H2842" t="str">
        <f>HYPERLINK("http://catalog.hathitrust.org/Record/003149356")</f>
        <v>http://catalog.hathitrust.org/Record/003149356</v>
      </c>
      <c r="J2842" s="1">
        <v>1869</v>
      </c>
      <c r="K2842" t="s">
        <v>14234</v>
      </c>
      <c r="L2842" t="s">
        <v>14235</v>
      </c>
    </row>
    <row r="2843" spans="1:12">
      <c r="A2843" t="s">
        <v>14239</v>
      </c>
      <c r="B2843" s="1" t="s">
        <v>14240</v>
      </c>
      <c r="F2843">
        <v>1</v>
      </c>
      <c r="G2843" t="str">
        <f>HYPERLINK("http://babel.hathitrust.org/cgi/pt?id=mdp.39015071613611")</f>
        <v>http://babel.hathitrust.org/cgi/pt?id=mdp.39015071613611</v>
      </c>
      <c r="H2843" t="str">
        <f>HYPERLINK("http://catalog.hathitrust.org/Record/003149442")</f>
        <v>http://catalog.hathitrust.org/Record/003149442</v>
      </c>
      <c r="J2843" s="1">
        <v>1912</v>
      </c>
      <c r="K2843" t="s">
        <v>14241</v>
      </c>
      <c r="L2843" t="s">
        <v>20859</v>
      </c>
    </row>
    <row r="2844" spans="1:12">
      <c r="A2844" t="s">
        <v>14242</v>
      </c>
      <c r="B2844" s="1" t="s">
        <v>14240</v>
      </c>
      <c r="F2844">
        <v>1</v>
      </c>
      <c r="G2844" t="str">
        <f>HYPERLINK("http://babel.hathitrust.org/cgi/pt?id=uc2.ark:/13960/t9765qg5s")</f>
        <v>http://babel.hathitrust.org/cgi/pt?id=uc2.ark:/13960/t9765qg5s</v>
      </c>
      <c r="H2844" t="str">
        <f>HYPERLINK("http://catalog.hathitrust.org/Record/003149442")</f>
        <v>http://catalog.hathitrust.org/Record/003149442</v>
      </c>
      <c r="J2844" s="1">
        <v>1912</v>
      </c>
      <c r="K2844" t="s">
        <v>14241</v>
      </c>
      <c r="L2844" t="s">
        <v>20859</v>
      </c>
    </row>
    <row r="2845" spans="1:12">
      <c r="A2845" t="s">
        <v>14134</v>
      </c>
      <c r="B2845" s="1" t="s">
        <v>14135</v>
      </c>
      <c r="F2845">
        <v>1</v>
      </c>
      <c r="G2845" t="str">
        <f>HYPERLINK("http://babel.hathitrust.org/cgi/pt?id=nyp.33433069247785")</f>
        <v>http://babel.hathitrust.org/cgi/pt?id=nyp.33433069247785</v>
      </c>
      <c r="H2845" t="str">
        <f>HYPERLINK("http://catalog.hathitrust.org/Record/003150993")</f>
        <v>http://catalog.hathitrust.org/Record/003150993</v>
      </c>
      <c r="J2845" s="1">
        <v>1880</v>
      </c>
      <c r="K2845" t="s">
        <v>14136</v>
      </c>
      <c r="L2845" t="s">
        <v>14137</v>
      </c>
    </row>
    <row r="2846" spans="1:12">
      <c r="A2846" t="s">
        <v>14138</v>
      </c>
      <c r="B2846" s="1" t="s">
        <v>14139</v>
      </c>
      <c r="F2846">
        <v>1</v>
      </c>
      <c r="G2846" t="str">
        <f>HYPERLINK("http://babel.hathitrust.org/cgi/pt?id=mdp.39015034354269")</f>
        <v>http://babel.hathitrust.org/cgi/pt?id=mdp.39015034354269</v>
      </c>
      <c r="H2846" t="str">
        <f>HYPERLINK("http://catalog.hathitrust.org/Record/003162564")</f>
        <v>http://catalog.hathitrust.org/Record/003162564</v>
      </c>
      <c r="J2846" s="1">
        <v>1907</v>
      </c>
      <c r="K2846" t="s">
        <v>14140</v>
      </c>
      <c r="L2846" t="s">
        <v>14141</v>
      </c>
    </row>
    <row r="2847" spans="1:12">
      <c r="A2847" t="s">
        <v>14142</v>
      </c>
      <c r="B2847" s="1" t="s">
        <v>14143</v>
      </c>
      <c r="F2847">
        <v>1</v>
      </c>
      <c r="G2847" t="str">
        <f>HYPERLINK("http://babel.hathitrust.org/cgi/pt?id=nyp.33433082513692")</f>
        <v>http://babel.hathitrust.org/cgi/pt?id=nyp.33433082513692</v>
      </c>
      <c r="H2847" t="str">
        <f>HYPERLINK("http://catalog.hathitrust.org/Record/003162607")</f>
        <v>http://catalog.hathitrust.org/Record/003162607</v>
      </c>
      <c r="J2847" s="1">
        <v>1902</v>
      </c>
      <c r="K2847" t="s">
        <v>14144</v>
      </c>
      <c r="L2847" t="s">
        <v>16984</v>
      </c>
    </row>
    <row r="2848" spans="1:12">
      <c r="A2848" t="s">
        <v>14145</v>
      </c>
      <c r="B2848" s="1" t="s">
        <v>14143</v>
      </c>
      <c r="F2848">
        <v>1</v>
      </c>
      <c r="G2848" t="str">
        <f>HYPERLINK("http://babel.hathitrust.org/cgi/pt?id=uc1.b258217")</f>
        <v>http://babel.hathitrust.org/cgi/pt?id=uc1.b258217</v>
      </c>
      <c r="H2848" t="str">
        <f>HYPERLINK("http://catalog.hathitrust.org/Record/003162607")</f>
        <v>http://catalog.hathitrust.org/Record/003162607</v>
      </c>
      <c r="J2848" s="1">
        <v>1902</v>
      </c>
      <c r="K2848" t="s">
        <v>14144</v>
      </c>
      <c r="L2848" t="s">
        <v>16984</v>
      </c>
    </row>
    <row r="2849" spans="1:12">
      <c r="A2849" t="s">
        <v>14146</v>
      </c>
      <c r="B2849" s="1" t="s">
        <v>14143</v>
      </c>
      <c r="F2849">
        <v>1</v>
      </c>
      <c r="G2849" t="str">
        <f>HYPERLINK("http://babel.hathitrust.org/cgi/pt?id=uc2.ark:/13960/t1gh9dv7j")</f>
        <v>http://babel.hathitrust.org/cgi/pt?id=uc2.ark:/13960/t1gh9dv7j</v>
      </c>
      <c r="H2849" t="str">
        <f>HYPERLINK("http://catalog.hathitrust.org/Record/003162607")</f>
        <v>http://catalog.hathitrust.org/Record/003162607</v>
      </c>
      <c r="J2849" s="1">
        <v>1902</v>
      </c>
      <c r="K2849" t="s">
        <v>14144</v>
      </c>
      <c r="L2849" t="s">
        <v>16984</v>
      </c>
    </row>
    <row r="2850" spans="1:12">
      <c r="A2850" t="s">
        <v>14147</v>
      </c>
      <c r="B2850" s="1" t="s">
        <v>14148</v>
      </c>
      <c r="F2850">
        <v>1</v>
      </c>
      <c r="G2850" t="str">
        <f>HYPERLINK("http://babel.hathitrust.org/cgi/pt?id=uc1.b258218")</f>
        <v>http://babel.hathitrust.org/cgi/pt?id=uc1.b258218</v>
      </c>
      <c r="H2850" t="str">
        <f>HYPERLINK("http://catalog.hathitrust.org/Record/003162688")</f>
        <v>http://catalog.hathitrust.org/Record/003162688</v>
      </c>
      <c r="J2850" s="1">
        <v>1893</v>
      </c>
      <c r="K2850" t="s">
        <v>14149</v>
      </c>
      <c r="L2850" t="s">
        <v>16984</v>
      </c>
    </row>
    <row r="2851" spans="1:12">
      <c r="A2851" t="s">
        <v>14150</v>
      </c>
      <c r="B2851" s="1" t="s">
        <v>14148</v>
      </c>
      <c r="F2851">
        <v>1</v>
      </c>
      <c r="G2851" t="str">
        <f>HYPERLINK("http://babel.hathitrust.org/cgi/pt?id=uc2.ark:/13960/t3pv6dw9p")</f>
        <v>http://babel.hathitrust.org/cgi/pt?id=uc2.ark:/13960/t3pv6dw9p</v>
      </c>
      <c r="H2851" t="str">
        <f>HYPERLINK("http://catalog.hathitrust.org/Record/003162688")</f>
        <v>http://catalog.hathitrust.org/Record/003162688</v>
      </c>
      <c r="J2851" s="1">
        <v>1893</v>
      </c>
      <c r="K2851" t="s">
        <v>14149</v>
      </c>
      <c r="L2851" t="s">
        <v>16984</v>
      </c>
    </row>
    <row r="2852" spans="1:12">
      <c r="A2852" t="s">
        <v>14151</v>
      </c>
      <c r="B2852" s="1" t="s">
        <v>14152</v>
      </c>
      <c r="F2852">
        <v>1</v>
      </c>
      <c r="G2852" t="str">
        <f>HYPERLINK("http://babel.hathitrust.org/cgi/pt?id=mdp.39015071697879")</f>
        <v>http://babel.hathitrust.org/cgi/pt?id=mdp.39015071697879</v>
      </c>
      <c r="H2852" t="str">
        <f t="shared" ref="H2852:H2857" si="42">HYPERLINK("http://catalog.hathitrust.org/Record/003162704")</f>
        <v>http://catalog.hathitrust.org/Record/003162704</v>
      </c>
      <c r="I2852" s="1" t="s">
        <v>20916</v>
      </c>
      <c r="J2852" s="1">
        <v>1911</v>
      </c>
      <c r="K2852" t="s">
        <v>14153</v>
      </c>
      <c r="L2852" t="s">
        <v>14154</v>
      </c>
    </row>
    <row r="2853" spans="1:12">
      <c r="A2853" t="s">
        <v>14155</v>
      </c>
      <c r="B2853" s="1" t="s">
        <v>14152</v>
      </c>
      <c r="F2853">
        <v>1</v>
      </c>
      <c r="G2853" t="str">
        <f>HYPERLINK("http://babel.hathitrust.org/cgi/pt?id=mdp.39015071697887")</f>
        <v>http://babel.hathitrust.org/cgi/pt?id=mdp.39015071697887</v>
      </c>
      <c r="H2853" t="str">
        <f t="shared" si="42"/>
        <v>http://catalog.hathitrust.org/Record/003162704</v>
      </c>
      <c r="I2853" s="1" t="s">
        <v>20755</v>
      </c>
      <c r="J2853" s="1">
        <v>1911</v>
      </c>
      <c r="K2853" t="s">
        <v>14153</v>
      </c>
      <c r="L2853" t="s">
        <v>14154</v>
      </c>
    </row>
    <row r="2854" spans="1:12">
      <c r="A2854" t="s">
        <v>14156</v>
      </c>
      <c r="B2854" s="1" t="s">
        <v>14152</v>
      </c>
      <c r="F2854">
        <v>1</v>
      </c>
      <c r="G2854" t="str">
        <f>HYPERLINK("http://babel.hathitrust.org/cgi/pt?id=nyp.33433082512298")</f>
        <v>http://babel.hathitrust.org/cgi/pt?id=nyp.33433082512298</v>
      </c>
      <c r="H2854" t="str">
        <f t="shared" si="42"/>
        <v>http://catalog.hathitrust.org/Record/003162704</v>
      </c>
      <c r="I2854" s="1" t="s">
        <v>20799</v>
      </c>
      <c r="J2854" s="1">
        <v>1911</v>
      </c>
      <c r="K2854" t="s">
        <v>14153</v>
      </c>
      <c r="L2854" t="s">
        <v>14154</v>
      </c>
    </row>
    <row r="2855" spans="1:12">
      <c r="A2855" t="s">
        <v>14157</v>
      </c>
      <c r="B2855" s="1" t="s">
        <v>14152</v>
      </c>
      <c r="F2855">
        <v>1</v>
      </c>
      <c r="G2855" t="str">
        <f>HYPERLINK("http://babel.hathitrust.org/cgi/pt?id=uc1.b258159")</f>
        <v>http://babel.hathitrust.org/cgi/pt?id=uc1.b258159</v>
      </c>
      <c r="H2855" t="str">
        <f t="shared" si="42"/>
        <v>http://catalog.hathitrust.org/Record/003162704</v>
      </c>
      <c r="I2855" s="1" t="s">
        <v>20916</v>
      </c>
      <c r="J2855" s="1">
        <v>1911</v>
      </c>
      <c r="K2855" t="s">
        <v>14153</v>
      </c>
      <c r="L2855" t="s">
        <v>14154</v>
      </c>
    </row>
    <row r="2856" spans="1:12">
      <c r="A2856" t="s">
        <v>14158</v>
      </c>
      <c r="B2856" s="1" t="s">
        <v>14152</v>
      </c>
      <c r="F2856">
        <v>1</v>
      </c>
      <c r="G2856" t="str">
        <f>HYPERLINK("http://babel.hathitrust.org/cgi/pt?id=uc1.b258160")</f>
        <v>http://babel.hathitrust.org/cgi/pt?id=uc1.b258160</v>
      </c>
      <c r="H2856" t="str">
        <f t="shared" si="42"/>
        <v>http://catalog.hathitrust.org/Record/003162704</v>
      </c>
      <c r="I2856" s="1" t="s">
        <v>20755</v>
      </c>
      <c r="J2856" s="1">
        <v>1911</v>
      </c>
      <c r="K2856" t="s">
        <v>14153</v>
      </c>
      <c r="L2856" t="s">
        <v>14154</v>
      </c>
    </row>
    <row r="2857" spans="1:12">
      <c r="A2857" t="s">
        <v>14159</v>
      </c>
      <c r="B2857" s="1" t="s">
        <v>14152</v>
      </c>
      <c r="F2857">
        <v>1</v>
      </c>
      <c r="G2857" t="str">
        <f>HYPERLINK("http://babel.hathitrust.org/cgi/pt?id=uc1.b307919")</f>
        <v>http://babel.hathitrust.org/cgi/pt?id=uc1.b307919</v>
      </c>
      <c r="H2857" t="str">
        <f t="shared" si="42"/>
        <v>http://catalog.hathitrust.org/Record/003162704</v>
      </c>
      <c r="I2857" s="1" t="s">
        <v>20755</v>
      </c>
      <c r="J2857" s="1">
        <v>1911</v>
      </c>
      <c r="K2857" t="s">
        <v>14153</v>
      </c>
      <c r="L2857" t="s">
        <v>14154</v>
      </c>
    </row>
    <row r="2858" spans="1:12">
      <c r="A2858" t="s">
        <v>14160</v>
      </c>
      <c r="B2858" s="1" t="s">
        <v>14161</v>
      </c>
      <c r="F2858">
        <v>1</v>
      </c>
      <c r="G2858" t="str">
        <f>HYPERLINK("http://babel.hathitrust.org/cgi/pt?id=uc1.b252431")</f>
        <v>http://babel.hathitrust.org/cgi/pt?id=uc1.b252431</v>
      </c>
      <c r="H2858" t="str">
        <f>HYPERLINK("http://catalog.hathitrust.org/Record/003162752")</f>
        <v>http://catalog.hathitrust.org/Record/003162752</v>
      </c>
      <c r="J2858" s="1">
        <v>1896</v>
      </c>
      <c r="K2858" t="s">
        <v>14162</v>
      </c>
      <c r="L2858" t="s">
        <v>14163</v>
      </c>
    </row>
    <row r="2859" spans="1:12">
      <c r="A2859" t="s">
        <v>14164</v>
      </c>
      <c r="B2859" s="1" t="s">
        <v>14161</v>
      </c>
      <c r="F2859">
        <v>1</v>
      </c>
      <c r="G2859" t="str">
        <f>HYPERLINK("http://babel.hathitrust.org/cgi/pt?id=uc2.ark:/13960/t26972j7b")</f>
        <v>http://babel.hathitrust.org/cgi/pt?id=uc2.ark:/13960/t26972j7b</v>
      </c>
      <c r="H2859" t="str">
        <f>HYPERLINK("http://catalog.hathitrust.org/Record/003162752")</f>
        <v>http://catalog.hathitrust.org/Record/003162752</v>
      </c>
      <c r="J2859" s="1">
        <v>1896</v>
      </c>
      <c r="K2859" t="s">
        <v>14162</v>
      </c>
      <c r="L2859" t="s">
        <v>14163</v>
      </c>
    </row>
    <row r="2860" spans="1:12">
      <c r="A2860" t="s">
        <v>14165</v>
      </c>
      <c r="B2860" s="1" t="s">
        <v>14166</v>
      </c>
      <c r="F2860">
        <v>1</v>
      </c>
      <c r="G2860" t="str">
        <f>HYPERLINK("http://babel.hathitrust.org/cgi/pt?id=mdp.39015071694231")</f>
        <v>http://babel.hathitrust.org/cgi/pt?id=mdp.39015071694231</v>
      </c>
      <c r="H2860" t="str">
        <f>HYPERLINK("http://catalog.hathitrust.org/Record/003162874")</f>
        <v>http://catalog.hathitrust.org/Record/003162874</v>
      </c>
      <c r="I2860" s="1" t="s">
        <v>20916</v>
      </c>
      <c r="J2860" s="1">
        <v>1916</v>
      </c>
      <c r="K2860" t="s">
        <v>14167</v>
      </c>
      <c r="L2860" t="s">
        <v>16984</v>
      </c>
    </row>
    <row r="2861" spans="1:12">
      <c r="A2861" t="s">
        <v>14168</v>
      </c>
      <c r="B2861" s="1" t="s">
        <v>14166</v>
      </c>
      <c r="F2861">
        <v>1</v>
      </c>
      <c r="G2861" t="str">
        <f>HYPERLINK("http://babel.hathitrust.org/cgi/pt?id=mdp.39015071694249")</f>
        <v>http://babel.hathitrust.org/cgi/pt?id=mdp.39015071694249</v>
      </c>
      <c r="H2861" t="str">
        <f>HYPERLINK("http://catalog.hathitrust.org/Record/003162874")</f>
        <v>http://catalog.hathitrust.org/Record/003162874</v>
      </c>
      <c r="I2861" s="1" t="s">
        <v>20755</v>
      </c>
      <c r="J2861" s="1">
        <v>1916</v>
      </c>
      <c r="K2861" t="s">
        <v>14167</v>
      </c>
      <c r="L2861" t="s">
        <v>16984</v>
      </c>
    </row>
    <row r="2862" spans="1:12">
      <c r="A2862" t="s">
        <v>14169</v>
      </c>
      <c r="B2862" s="1" t="s">
        <v>14170</v>
      </c>
      <c r="F2862">
        <v>1</v>
      </c>
      <c r="G2862" t="str">
        <f>HYPERLINK("http://babel.hathitrust.org/cgi/pt?id=mdp.39015071698901")</f>
        <v>http://babel.hathitrust.org/cgi/pt?id=mdp.39015071698901</v>
      </c>
      <c r="H2862" t="str">
        <f>HYPERLINK("http://catalog.hathitrust.org/Record/003166254")</f>
        <v>http://catalog.hathitrust.org/Record/003166254</v>
      </c>
      <c r="J2862" s="1">
        <v>1911</v>
      </c>
      <c r="K2862" t="s">
        <v>14171</v>
      </c>
      <c r="L2862" t="s">
        <v>14172</v>
      </c>
    </row>
    <row r="2863" spans="1:12">
      <c r="A2863" t="s">
        <v>14173</v>
      </c>
      <c r="B2863" s="1" t="s">
        <v>14170</v>
      </c>
      <c r="F2863">
        <v>1</v>
      </c>
      <c r="G2863" t="str">
        <f>HYPERLINK("http://babel.hathitrust.org/cgi/pt?id=mdp.39015071822303")</f>
        <v>http://babel.hathitrust.org/cgi/pt?id=mdp.39015071822303</v>
      </c>
      <c r="H2863" t="str">
        <f>HYPERLINK("http://catalog.hathitrust.org/Record/003166254")</f>
        <v>http://catalog.hathitrust.org/Record/003166254</v>
      </c>
      <c r="J2863" s="1">
        <v>1911</v>
      </c>
      <c r="K2863" t="s">
        <v>14171</v>
      </c>
      <c r="L2863" t="s">
        <v>14172</v>
      </c>
    </row>
    <row r="2864" spans="1:12">
      <c r="A2864" t="s">
        <v>14174</v>
      </c>
      <c r="B2864" s="1" t="s">
        <v>14175</v>
      </c>
      <c r="F2864">
        <v>1</v>
      </c>
      <c r="G2864" t="str">
        <f>HYPERLINK("http://babel.hathitrust.org/cgi/pt?id=mdp.39015066193643")</f>
        <v>http://babel.hathitrust.org/cgi/pt?id=mdp.39015066193643</v>
      </c>
      <c r="H2864" t="str">
        <f>HYPERLINK("http://catalog.hathitrust.org/Record/003185853")</f>
        <v>http://catalog.hathitrust.org/Record/003185853</v>
      </c>
      <c r="J2864" s="1">
        <v>1953</v>
      </c>
      <c r="K2864" t="s">
        <v>14176</v>
      </c>
      <c r="L2864" t="s">
        <v>14177</v>
      </c>
    </row>
    <row r="2865" spans="1:12">
      <c r="A2865" t="s">
        <v>14178</v>
      </c>
      <c r="B2865" s="1" t="s">
        <v>14179</v>
      </c>
      <c r="F2865">
        <v>1</v>
      </c>
      <c r="G2865" t="str">
        <f>HYPERLINK("http://babel.hathitrust.org/cgi/pt?id=uc1.b275423")</f>
        <v>http://babel.hathitrust.org/cgi/pt?id=uc1.b275423</v>
      </c>
      <c r="H2865" t="str">
        <f>HYPERLINK("http://catalog.hathitrust.org/Record/003191673")</f>
        <v>http://catalog.hathitrust.org/Record/003191673</v>
      </c>
      <c r="J2865" s="1">
        <v>1906</v>
      </c>
      <c r="K2865" t="s">
        <v>14180</v>
      </c>
      <c r="L2865" t="s">
        <v>15418</v>
      </c>
    </row>
    <row r="2866" spans="1:12">
      <c r="A2866" t="s">
        <v>14181</v>
      </c>
      <c r="B2866" s="1" t="s">
        <v>14182</v>
      </c>
      <c r="F2866">
        <v>1</v>
      </c>
      <c r="G2866" t="str">
        <f>HYPERLINK("http://babel.hathitrust.org/cgi/pt?id=mdp.39015071602059")</f>
        <v>http://babel.hathitrust.org/cgi/pt?id=mdp.39015071602059</v>
      </c>
      <c r="H2866" t="str">
        <f>HYPERLINK("http://catalog.hathitrust.org/Record/003194505")</f>
        <v>http://catalog.hathitrust.org/Record/003194505</v>
      </c>
      <c r="J2866" s="1">
        <v>1897</v>
      </c>
      <c r="K2866" t="s">
        <v>16453</v>
      </c>
      <c r="L2866" t="s">
        <v>18304</v>
      </c>
    </row>
    <row r="2867" spans="1:12">
      <c r="A2867" t="s">
        <v>14183</v>
      </c>
      <c r="B2867" s="1" t="s">
        <v>14184</v>
      </c>
      <c r="F2867">
        <v>1</v>
      </c>
      <c r="G2867" t="str">
        <f>HYPERLINK("http://babel.hathitrust.org/cgi/pt?id=mdp.39015071613587")</f>
        <v>http://babel.hathitrust.org/cgi/pt?id=mdp.39015071613587</v>
      </c>
      <c r="H2867" t="str">
        <f>HYPERLINK("http://catalog.hathitrust.org/Record/003195786")</f>
        <v>http://catalog.hathitrust.org/Record/003195786</v>
      </c>
      <c r="J2867" s="1">
        <v>1901</v>
      </c>
      <c r="K2867" t="s">
        <v>14241</v>
      </c>
      <c r="L2867" t="s">
        <v>20859</v>
      </c>
    </row>
    <row r="2868" spans="1:12">
      <c r="A2868" t="s">
        <v>14185</v>
      </c>
      <c r="B2868" s="1" t="s">
        <v>14186</v>
      </c>
      <c r="F2868">
        <v>1</v>
      </c>
      <c r="G2868" t="str">
        <f>HYPERLINK("http://babel.hathitrust.org/cgi/pt?id=mdp.39015071613629")</f>
        <v>http://babel.hathitrust.org/cgi/pt?id=mdp.39015071613629</v>
      </c>
      <c r="H2868" t="str">
        <f>HYPERLINK("http://catalog.hathitrust.org/Record/003195787")</f>
        <v>http://catalog.hathitrust.org/Record/003195787</v>
      </c>
      <c r="J2868" s="1">
        <v>1924</v>
      </c>
      <c r="K2868" t="s">
        <v>14241</v>
      </c>
      <c r="L2868" t="s">
        <v>20859</v>
      </c>
    </row>
    <row r="2869" spans="1:12">
      <c r="A2869" t="s">
        <v>14187</v>
      </c>
      <c r="B2869" s="1" t="s">
        <v>14188</v>
      </c>
      <c r="F2869">
        <v>1</v>
      </c>
      <c r="G2869" t="str">
        <f>HYPERLINK("http://babel.hathitrust.org/cgi/pt?id=mdp.39015071589694")</f>
        <v>http://babel.hathitrust.org/cgi/pt?id=mdp.39015071589694</v>
      </c>
      <c r="H2869" t="str">
        <f>HYPERLINK("http://catalog.hathitrust.org/Record/003204630")</f>
        <v>http://catalog.hathitrust.org/Record/003204630</v>
      </c>
      <c r="J2869" s="1">
        <v>1901</v>
      </c>
      <c r="K2869" t="s">
        <v>14189</v>
      </c>
      <c r="L2869" t="s">
        <v>15418</v>
      </c>
    </row>
    <row r="2870" spans="1:12">
      <c r="A2870" t="s">
        <v>14190</v>
      </c>
      <c r="B2870" s="1" t="s">
        <v>14191</v>
      </c>
      <c r="F2870">
        <v>1</v>
      </c>
      <c r="G2870" t="str">
        <f>HYPERLINK("http://babel.hathitrust.org/cgi/pt?id=mdp.39015041742746")</f>
        <v>http://babel.hathitrust.org/cgi/pt?id=mdp.39015041742746</v>
      </c>
      <c r="H2870" t="str">
        <f>HYPERLINK("http://catalog.hathitrust.org/Record/003242639")</f>
        <v>http://catalog.hathitrust.org/Record/003242639</v>
      </c>
      <c r="J2870" s="1">
        <v>1862</v>
      </c>
      <c r="K2870" t="s">
        <v>14192</v>
      </c>
    </row>
    <row r="2871" spans="1:12">
      <c r="A2871" t="s">
        <v>14193</v>
      </c>
      <c r="B2871" s="1" t="s">
        <v>14194</v>
      </c>
      <c r="F2871">
        <v>1</v>
      </c>
      <c r="G2871" t="str">
        <f>HYPERLINK("http://babel.hathitrust.org/cgi/pt?id=hvd.hxjgcd")</f>
        <v>http://babel.hathitrust.org/cgi/pt?id=hvd.hxjgcd</v>
      </c>
      <c r="H2871" t="str">
        <f>HYPERLINK("http://catalog.hathitrust.org/Record/003246040")</f>
        <v>http://catalog.hathitrust.org/Record/003246040</v>
      </c>
      <c r="J2871" s="1">
        <v>1811</v>
      </c>
      <c r="K2871" t="s">
        <v>14195</v>
      </c>
      <c r="L2871" t="s">
        <v>14196</v>
      </c>
    </row>
    <row r="2872" spans="1:12">
      <c r="A2872" t="s">
        <v>14197</v>
      </c>
      <c r="B2872" s="1" t="s">
        <v>14198</v>
      </c>
      <c r="F2872">
        <v>1</v>
      </c>
      <c r="G2872" t="str">
        <f>HYPERLINK("http://babel.hathitrust.org/cgi/pt?id=mdp.39015071506474")</f>
        <v>http://babel.hathitrust.org/cgi/pt?id=mdp.39015071506474</v>
      </c>
      <c r="H2872" t="str">
        <f>HYPERLINK("http://catalog.hathitrust.org/Record/003265950")</f>
        <v>http://catalog.hathitrust.org/Record/003265950</v>
      </c>
      <c r="I2872" s="1">
        <v>1897</v>
      </c>
      <c r="K2872" t="s">
        <v>14199</v>
      </c>
    </row>
    <row r="2873" spans="1:12">
      <c r="A2873" t="s">
        <v>14200</v>
      </c>
      <c r="B2873" s="1" t="s">
        <v>14201</v>
      </c>
      <c r="F2873">
        <v>1</v>
      </c>
      <c r="G2873" t="str">
        <f>HYPERLINK("http://babel.hathitrust.org/cgi/pt?id=mdp.39015041914238")</f>
        <v>http://babel.hathitrust.org/cgi/pt?id=mdp.39015041914238</v>
      </c>
      <c r="H2873" t="str">
        <f>HYPERLINK("http://catalog.hathitrust.org/Record/003290159")</f>
        <v>http://catalog.hathitrust.org/Record/003290159</v>
      </c>
      <c r="J2873" s="1">
        <v>1896</v>
      </c>
      <c r="K2873" t="s">
        <v>14086</v>
      </c>
      <c r="L2873" t="s">
        <v>14087</v>
      </c>
    </row>
    <row r="2874" spans="1:12">
      <c r="A2874" t="s">
        <v>14088</v>
      </c>
      <c r="B2874" s="1" t="s">
        <v>14201</v>
      </c>
      <c r="F2874">
        <v>1</v>
      </c>
      <c r="G2874" t="str">
        <f>HYPERLINK("http://babel.hathitrust.org/cgi/pt?id=uc2.ark:/13960/t92806d8c")</f>
        <v>http://babel.hathitrust.org/cgi/pt?id=uc2.ark:/13960/t92806d8c</v>
      </c>
      <c r="H2874" t="str">
        <f>HYPERLINK("http://catalog.hathitrust.org/Record/003290159")</f>
        <v>http://catalog.hathitrust.org/Record/003290159</v>
      </c>
      <c r="J2874" s="1">
        <v>1896</v>
      </c>
      <c r="K2874" t="s">
        <v>14086</v>
      </c>
      <c r="L2874" t="s">
        <v>14087</v>
      </c>
    </row>
    <row r="2875" spans="1:12">
      <c r="A2875" t="s">
        <v>14089</v>
      </c>
      <c r="B2875" s="1" t="s">
        <v>14090</v>
      </c>
      <c r="F2875">
        <v>1</v>
      </c>
      <c r="G2875" t="str">
        <f>HYPERLINK("http://babel.hathitrust.org/cgi/pt?id=mdp.39015041478259")</f>
        <v>http://babel.hathitrust.org/cgi/pt?id=mdp.39015041478259</v>
      </c>
      <c r="H2875" t="str">
        <f>HYPERLINK("http://catalog.hathitrust.org/Record/003311828")</f>
        <v>http://catalog.hathitrust.org/Record/003311828</v>
      </c>
      <c r="J2875" s="1">
        <v>1907</v>
      </c>
      <c r="K2875" t="s">
        <v>14091</v>
      </c>
      <c r="L2875" t="s">
        <v>14092</v>
      </c>
    </row>
    <row r="2876" spans="1:12">
      <c r="A2876" t="s">
        <v>14093</v>
      </c>
      <c r="B2876" s="1" t="s">
        <v>14094</v>
      </c>
      <c r="F2876">
        <v>1</v>
      </c>
      <c r="G2876" t="str">
        <f>HYPERLINK("http://babel.hathitrust.org/cgi/pt?id=inu.30000035051881")</f>
        <v>http://babel.hathitrust.org/cgi/pt?id=inu.30000035051881</v>
      </c>
      <c r="H2876" t="str">
        <f>HYPERLINK("http://catalog.hathitrust.org/Record/003311921")</f>
        <v>http://catalog.hathitrust.org/Record/003311921</v>
      </c>
      <c r="J2876" s="1">
        <v>1821</v>
      </c>
      <c r="K2876" t="s">
        <v>14095</v>
      </c>
      <c r="L2876" t="s">
        <v>14096</v>
      </c>
    </row>
    <row r="2877" spans="1:12">
      <c r="A2877" t="s">
        <v>14097</v>
      </c>
      <c r="B2877" s="1" t="s">
        <v>14098</v>
      </c>
      <c r="F2877">
        <v>1</v>
      </c>
      <c r="G2877" t="str">
        <f>HYPERLINK("http://babel.hathitrust.org/cgi/pt?id=mdp.39015071698497")</f>
        <v>http://babel.hathitrust.org/cgi/pt?id=mdp.39015071698497</v>
      </c>
      <c r="H2877" t="str">
        <f>HYPERLINK("http://catalog.hathitrust.org/Record/003317286")</f>
        <v>http://catalog.hathitrust.org/Record/003317286</v>
      </c>
      <c r="J2877" s="1">
        <v>1911</v>
      </c>
      <c r="K2877" t="s">
        <v>14099</v>
      </c>
      <c r="L2877" t="s">
        <v>16979</v>
      </c>
    </row>
    <row r="2878" spans="1:12">
      <c r="A2878" t="s">
        <v>14100</v>
      </c>
      <c r="B2878" s="1" t="s">
        <v>14101</v>
      </c>
      <c r="F2878">
        <v>1</v>
      </c>
      <c r="G2878" t="str">
        <f>HYPERLINK("http://babel.hathitrust.org/cgi/pt?id=mdp.39015071701671")</f>
        <v>http://babel.hathitrust.org/cgi/pt?id=mdp.39015071701671</v>
      </c>
      <c r="H2878" t="str">
        <f>HYPERLINK("http://catalog.hathitrust.org/Record/003318202")</f>
        <v>http://catalog.hathitrust.org/Record/003318202</v>
      </c>
      <c r="J2878" s="1">
        <v>1935</v>
      </c>
      <c r="K2878" t="s">
        <v>14102</v>
      </c>
      <c r="L2878" t="s">
        <v>14103</v>
      </c>
    </row>
    <row r="2879" spans="1:12">
      <c r="A2879" t="s">
        <v>14104</v>
      </c>
      <c r="B2879" s="1" t="s">
        <v>14105</v>
      </c>
      <c r="F2879">
        <v>1</v>
      </c>
      <c r="G2879" t="str">
        <f>HYPERLINK("http://babel.hathitrust.org/cgi/pt?id=mdp.39015071702588")</f>
        <v>http://babel.hathitrust.org/cgi/pt?id=mdp.39015071702588</v>
      </c>
      <c r="H2879" t="str">
        <f>HYPERLINK("http://catalog.hathitrust.org/Record/003318204")</f>
        <v>http://catalog.hathitrust.org/Record/003318204</v>
      </c>
      <c r="J2879" s="1">
        <v>1936</v>
      </c>
      <c r="K2879" t="s">
        <v>14106</v>
      </c>
      <c r="L2879" t="s">
        <v>14107</v>
      </c>
    </row>
    <row r="2880" spans="1:12">
      <c r="A2880" t="s">
        <v>14108</v>
      </c>
      <c r="B2880" s="1" t="s">
        <v>14109</v>
      </c>
      <c r="F2880">
        <v>1</v>
      </c>
      <c r="G2880" t="str">
        <f>HYPERLINK("http://babel.hathitrust.org/cgi/pt?id=mdp.39015071701663")</f>
        <v>http://babel.hathitrust.org/cgi/pt?id=mdp.39015071701663</v>
      </c>
      <c r="H2880" t="str">
        <f>HYPERLINK("http://catalog.hathitrust.org/Record/003318206")</f>
        <v>http://catalog.hathitrust.org/Record/003318206</v>
      </c>
      <c r="J2880" s="1">
        <v>1934</v>
      </c>
      <c r="K2880" t="s">
        <v>14110</v>
      </c>
      <c r="L2880" t="s">
        <v>14103</v>
      </c>
    </row>
    <row r="2881" spans="1:12">
      <c r="A2881" t="s">
        <v>14111</v>
      </c>
      <c r="B2881" s="1" t="s">
        <v>14112</v>
      </c>
      <c r="F2881">
        <v>1</v>
      </c>
      <c r="G2881" t="str">
        <f>HYPERLINK("http://babel.hathitrust.org/cgi/pt?id=mdp.39015071689025")</f>
        <v>http://babel.hathitrust.org/cgi/pt?id=mdp.39015071689025</v>
      </c>
      <c r="H2881" t="str">
        <f>HYPERLINK("http://catalog.hathitrust.org/Record/003319167")</f>
        <v>http://catalog.hathitrust.org/Record/003319167</v>
      </c>
      <c r="J2881" s="1">
        <v>1928</v>
      </c>
      <c r="K2881" t="s">
        <v>14113</v>
      </c>
      <c r="L2881" t="s">
        <v>14114</v>
      </c>
    </row>
    <row r="2882" spans="1:12">
      <c r="A2882" t="s">
        <v>14115</v>
      </c>
      <c r="B2882" s="1" t="s">
        <v>14116</v>
      </c>
      <c r="F2882">
        <v>1</v>
      </c>
      <c r="G2882" t="str">
        <f>HYPERLINK("http://babel.hathitrust.org/cgi/pt?id=miun.asj7483.0001.001")</f>
        <v>http://babel.hathitrust.org/cgi/pt?id=miun.asj7483.0001.001</v>
      </c>
      <c r="H2882" t="str">
        <f>HYPERLINK("http://catalog.hathitrust.org/Record/003340112")</f>
        <v>http://catalog.hathitrust.org/Record/003340112</v>
      </c>
      <c r="J2882" s="1">
        <v>1945</v>
      </c>
      <c r="K2882" t="s">
        <v>14117</v>
      </c>
    </row>
    <row r="2883" spans="1:12">
      <c r="A2883" t="s">
        <v>14118</v>
      </c>
      <c r="B2883" s="1" t="s">
        <v>14119</v>
      </c>
      <c r="F2883">
        <v>1</v>
      </c>
      <c r="G2883" t="str">
        <f>HYPERLINK("http://babel.hathitrust.org/cgi/pt?id=mdp.39015043208811")</f>
        <v>http://babel.hathitrust.org/cgi/pt?id=mdp.39015043208811</v>
      </c>
      <c r="H2883" t="str">
        <f>HYPERLINK("http://catalog.hathitrust.org/Record/003342606")</f>
        <v>http://catalog.hathitrust.org/Record/003342606</v>
      </c>
      <c r="J2883" s="1">
        <v>1934</v>
      </c>
      <c r="K2883" t="s">
        <v>14120</v>
      </c>
    </row>
    <row r="2884" spans="1:12">
      <c r="A2884" t="s">
        <v>14121</v>
      </c>
      <c r="B2884" s="1" t="s">
        <v>14122</v>
      </c>
      <c r="F2884">
        <v>1</v>
      </c>
      <c r="G2884" t="str">
        <f>HYPERLINK("http://babel.hathitrust.org/cgi/pt?id=mdp.39015041474365")</f>
        <v>http://babel.hathitrust.org/cgi/pt?id=mdp.39015041474365</v>
      </c>
      <c r="H2884" t="str">
        <f>HYPERLINK("http://catalog.hathitrust.org/Record/003350453")</f>
        <v>http://catalog.hathitrust.org/Record/003350453</v>
      </c>
      <c r="J2884" s="1">
        <v>1901</v>
      </c>
      <c r="K2884" t="s">
        <v>14123</v>
      </c>
      <c r="L2884" t="s">
        <v>14124</v>
      </c>
    </row>
    <row r="2885" spans="1:12">
      <c r="A2885" t="s">
        <v>14125</v>
      </c>
      <c r="B2885" s="1" t="s">
        <v>14126</v>
      </c>
      <c r="F2885">
        <v>1</v>
      </c>
      <c r="G2885" t="str">
        <f>HYPERLINK("http://babel.hathitrust.org/cgi/pt?id=mdp.39015042080138")</f>
        <v>http://babel.hathitrust.org/cgi/pt?id=mdp.39015042080138</v>
      </c>
      <c r="H2885" t="str">
        <f>HYPERLINK("http://catalog.hathitrust.org/Record/003350940")</f>
        <v>http://catalog.hathitrust.org/Record/003350940</v>
      </c>
      <c r="J2885" s="1">
        <v>1939</v>
      </c>
      <c r="K2885" t="s">
        <v>14127</v>
      </c>
      <c r="L2885" t="s">
        <v>19375</v>
      </c>
    </row>
    <row r="2886" spans="1:12" ht="15">
      <c r="A2886" t="s">
        <v>14128</v>
      </c>
      <c r="B2886" s="1" t="s">
        <v>14129</v>
      </c>
      <c r="F2886">
        <v>1</v>
      </c>
      <c r="G2886" t="str">
        <f>HYPERLINK("http://babel.hathitrust.org/cgi/pt?id=mdp.39015041467922")</f>
        <v>http://babel.hathitrust.org/cgi/pt?id=mdp.39015041467922</v>
      </c>
      <c r="H2886" t="str">
        <f>HYPERLINK("http://catalog.hathitrust.org/Record/003438663")</f>
        <v>http://catalog.hathitrust.org/Record/003438663</v>
      </c>
      <c r="I2886" s="1" t="s">
        <v>20755</v>
      </c>
      <c r="J2886" s="1">
        <v>1800</v>
      </c>
      <c r="K2886" t="s">
        <v>14130</v>
      </c>
      <c r="L2886" t="s">
        <v>14131</v>
      </c>
    </row>
    <row r="2887" spans="1:12">
      <c r="A2887" t="s">
        <v>14132</v>
      </c>
      <c r="B2887" s="1" t="s">
        <v>14133</v>
      </c>
      <c r="E2887">
        <v>1</v>
      </c>
      <c r="G2887" t="str">
        <f>HYPERLINK("http://babel.hathitrust.org/cgi/pt?id=mdp.39015049745113")</f>
        <v>http://babel.hathitrust.org/cgi/pt?id=mdp.39015049745113</v>
      </c>
      <c r="H2887" t="str">
        <f>HYPERLINK("http://catalog.hathitrust.org/Record/003542164")</f>
        <v>http://catalog.hathitrust.org/Record/003542164</v>
      </c>
      <c r="J2887" s="1">
        <v>1925</v>
      </c>
      <c r="K2887" t="s">
        <v>14025</v>
      </c>
    </row>
    <row r="2888" spans="1:12">
      <c r="A2888" t="s">
        <v>14026</v>
      </c>
      <c r="B2888" s="1" t="s">
        <v>14027</v>
      </c>
      <c r="F2888">
        <v>1</v>
      </c>
      <c r="G2888" t="str">
        <f>HYPERLINK("http://babel.hathitrust.org/cgi/pt?id=mdp.39015008864681")</f>
        <v>http://babel.hathitrust.org/cgi/pt?id=mdp.39015008864681</v>
      </c>
      <c r="H2888" t="str">
        <f>HYPERLINK("http://catalog.hathitrust.org/Record/003569673")</f>
        <v>http://catalog.hathitrust.org/Record/003569673</v>
      </c>
      <c r="J2888" s="1">
        <v>1905</v>
      </c>
      <c r="K2888" t="s">
        <v>14028</v>
      </c>
      <c r="L2888" t="s">
        <v>14029</v>
      </c>
    </row>
    <row r="2889" spans="1:12">
      <c r="A2889" t="s">
        <v>14030</v>
      </c>
      <c r="B2889" s="1" t="s">
        <v>14031</v>
      </c>
      <c r="F2889">
        <v>1</v>
      </c>
      <c r="G2889" t="str">
        <f>HYPERLINK("http://babel.hathitrust.org/cgi/pt?id=mdp.39015053481746")</f>
        <v>http://babel.hathitrust.org/cgi/pt?id=mdp.39015053481746</v>
      </c>
      <c r="H2889" t="str">
        <f>HYPERLINK("http://catalog.hathitrust.org/Record/003581245")</f>
        <v>http://catalog.hathitrust.org/Record/003581245</v>
      </c>
      <c r="J2889" s="1">
        <v>1808</v>
      </c>
      <c r="K2889" t="s">
        <v>14032</v>
      </c>
      <c r="L2889" t="s">
        <v>14033</v>
      </c>
    </row>
    <row r="2890" spans="1:12">
      <c r="A2890" t="s">
        <v>14034</v>
      </c>
      <c r="B2890" s="1" t="s">
        <v>14035</v>
      </c>
      <c r="E2890">
        <v>1</v>
      </c>
      <c r="G2890" t="str">
        <f>HYPERLINK("http://babel.hathitrust.org/cgi/pt?id=mdp.39015054109569")</f>
        <v>http://babel.hathitrust.org/cgi/pt?id=mdp.39015054109569</v>
      </c>
      <c r="H2890" t="str">
        <f>HYPERLINK("http://catalog.hathitrust.org/Record/003596114")</f>
        <v>http://catalog.hathitrust.org/Record/003596114</v>
      </c>
      <c r="J2890" s="1">
        <v>1921</v>
      </c>
      <c r="K2890" t="s">
        <v>14036</v>
      </c>
    </row>
    <row r="2891" spans="1:12">
      <c r="A2891" t="s">
        <v>14037</v>
      </c>
      <c r="B2891" s="1" t="s">
        <v>14038</v>
      </c>
      <c r="F2891">
        <v>1</v>
      </c>
      <c r="G2891" t="str">
        <f>HYPERLINK("http://babel.hathitrust.org/cgi/pt?id=mdp.39015013275113")</f>
        <v>http://babel.hathitrust.org/cgi/pt?id=mdp.39015013275113</v>
      </c>
      <c r="H2891" t="str">
        <f>HYPERLINK("http://catalog.hathitrust.org/Record/003600711")</f>
        <v>http://catalog.hathitrust.org/Record/003600711</v>
      </c>
      <c r="J2891" s="1">
        <v>1897</v>
      </c>
      <c r="K2891" t="s">
        <v>14039</v>
      </c>
      <c r="L2891" t="s">
        <v>14040</v>
      </c>
    </row>
    <row r="2892" spans="1:12">
      <c r="A2892" t="s">
        <v>14041</v>
      </c>
      <c r="B2892" s="1" t="s">
        <v>14038</v>
      </c>
      <c r="F2892">
        <v>1</v>
      </c>
      <c r="G2892" t="str">
        <f>HYPERLINK("http://babel.hathitrust.org/cgi/pt?id=nyp.33433074391412")</f>
        <v>http://babel.hathitrust.org/cgi/pt?id=nyp.33433074391412</v>
      </c>
      <c r="H2892" t="str">
        <f>HYPERLINK("http://catalog.hathitrust.org/Record/003600711")</f>
        <v>http://catalog.hathitrust.org/Record/003600711</v>
      </c>
      <c r="J2892" s="1">
        <v>1897</v>
      </c>
      <c r="K2892" t="s">
        <v>14039</v>
      </c>
      <c r="L2892" t="s">
        <v>14040</v>
      </c>
    </row>
    <row r="2893" spans="1:12">
      <c r="A2893" t="s">
        <v>14042</v>
      </c>
      <c r="B2893" s="1" t="s">
        <v>14038</v>
      </c>
      <c r="F2893">
        <v>1</v>
      </c>
      <c r="G2893" t="str">
        <f>HYPERLINK("http://babel.hathitrust.org/cgi/pt?id=uc1.b64568")</f>
        <v>http://babel.hathitrust.org/cgi/pt?id=uc1.b64568</v>
      </c>
      <c r="H2893" t="str">
        <f>HYPERLINK("http://catalog.hathitrust.org/Record/003600711")</f>
        <v>http://catalog.hathitrust.org/Record/003600711</v>
      </c>
      <c r="J2893" s="1">
        <v>1897</v>
      </c>
      <c r="K2893" t="s">
        <v>14039</v>
      </c>
      <c r="L2893" t="s">
        <v>14040</v>
      </c>
    </row>
    <row r="2894" spans="1:12">
      <c r="A2894" t="s">
        <v>14043</v>
      </c>
      <c r="B2894" s="1" t="s">
        <v>14038</v>
      </c>
      <c r="F2894">
        <v>1</v>
      </c>
      <c r="G2894" t="str">
        <f>HYPERLINK("http://babel.hathitrust.org/cgi/pt?id=uc2.ark:/13960/t8jd4s52b")</f>
        <v>http://babel.hathitrust.org/cgi/pt?id=uc2.ark:/13960/t8jd4s52b</v>
      </c>
      <c r="H2894" t="str">
        <f>HYPERLINK("http://catalog.hathitrust.org/Record/003600711")</f>
        <v>http://catalog.hathitrust.org/Record/003600711</v>
      </c>
      <c r="J2894" s="1">
        <v>1897</v>
      </c>
      <c r="K2894" t="s">
        <v>14039</v>
      </c>
      <c r="L2894" t="s">
        <v>14040</v>
      </c>
    </row>
    <row r="2895" spans="1:12">
      <c r="A2895" t="s">
        <v>14044</v>
      </c>
      <c r="B2895" s="1" t="s">
        <v>14045</v>
      </c>
      <c r="F2895">
        <v>1</v>
      </c>
      <c r="G2895" t="str">
        <f>HYPERLINK("http://babel.hathitrust.org/cgi/pt?id=uc1.b3548829")</f>
        <v>http://babel.hathitrust.org/cgi/pt?id=uc1.b3548829</v>
      </c>
      <c r="H2895" t="str">
        <f>HYPERLINK("http://catalog.hathitrust.org/Record/003706632")</f>
        <v>http://catalog.hathitrust.org/Record/003706632</v>
      </c>
      <c r="J2895" s="1">
        <v>1897</v>
      </c>
      <c r="K2895" t="s">
        <v>14046</v>
      </c>
      <c r="L2895" t="s">
        <v>14047</v>
      </c>
    </row>
    <row r="2896" spans="1:12">
      <c r="A2896" t="s">
        <v>14048</v>
      </c>
      <c r="B2896" s="1" t="s">
        <v>14045</v>
      </c>
      <c r="F2896">
        <v>1</v>
      </c>
      <c r="G2896" t="str">
        <f>HYPERLINK("http://babel.hathitrust.org/cgi/pt?id=uc2.ark:/13960/t6g163q21")</f>
        <v>http://babel.hathitrust.org/cgi/pt?id=uc2.ark:/13960/t6g163q21</v>
      </c>
      <c r="H2896" t="str">
        <f>HYPERLINK("http://catalog.hathitrust.org/Record/003706632")</f>
        <v>http://catalog.hathitrust.org/Record/003706632</v>
      </c>
      <c r="J2896" s="1">
        <v>1897</v>
      </c>
      <c r="K2896" t="s">
        <v>14046</v>
      </c>
      <c r="L2896" t="s">
        <v>14047</v>
      </c>
    </row>
    <row r="2897" spans="1:12">
      <c r="A2897" t="s">
        <v>14049</v>
      </c>
      <c r="B2897" s="1" t="s">
        <v>14050</v>
      </c>
      <c r="F2897">
        <v>1</v>
      </c>
      <c r="G2897" t="str">
        <f>HYPERLINK("http://babel.hathitrust.org/cgi/pt?id=mdp.39015055435716")</f>
        <v>http://babel.hathitrust.org/cgi/pt?id=mdp.39015055435716</v>
      </c>
      <c r="H2897" t="str">
        <f>HYPERLINK("http://catalog.hathitrust.org/Record/003783706")</f>
        <v>http://catalog.hathitrust.org/Record/003783706</v>
      </c>
      <c r="J2897" s="1">
        <v>1917</v>
      </c>
      <c r="K2897" t="s">
        <v>14051</v>
      </c>
      <c r="L2897" t="s">
        <v>14052</v>
      </c>
    </row>
    <row r="2898" spans="1:12">
      <c r="A2898" t="s">
        <v>14053</v>
      </c>
      <c r="B2898" s="1" t="s">
        <v>14050</v>
      </c>
      <c r="F2898">
        <v>1</v>
      </c>
      <c r="G2898" t="str">
        <f>HYPERLINK("http://babel.hathitrust.org/cgi/pt?id=nyp.33433069253502")</f>
        <v>http://babel.hathitrust.org/cgi/pt?id=nyp.33433069253502</v>
      </c>
      <c r="H2898" t="str">
        <f>HYPERLINK("http://catalog.hathitrust.org/Record/003783706")</f>
        <v>http://catalog.hathitrust.org/Record/003783706</v>
      </c>
      <c r="J2898" s="1">
        <v>1917</v>
      </c>
      <c r="K2898" t="s">
        <v>14051</v>
      </c>
      <c r="L2898" t="s">
        <v>14052</v>
      </c>
    </row>
    <row r="2899" spans="1:12">
      <c r="A2899" t="s">
        <v>14054</v>
      </c>
      <c r="B2899" s="1" t="s">
        <v>14050</v>
      </c>
      <c r="F2899">
        <v>1</v>
      </c>
      <c r="G2899" t="str">
        <f>HYPERLINK("http://babel.hathitrust.org/cgi/pt?id=uc1.b301264")</f>
        <v>http://babel.hathitrust.org/cgi/pt?id=uc1.b301264</v>
      </c>
      <c r="H2899" t="str">
        <f>HYPERLINK("http://catalog.hathitrust.org/Record/003783706")</f>
        <v>http://catalog.hathitrust.org/Record/003783706</v>
      </c>
      <c r="J2899" s="1">
        <v>1917</v>
      </c>
      <c r="K2899" t="s">
        <v>14051</v>
      </c>
      <c r="L2899" t="s">
        <v>14052</v>
      </c>
    </row>
    <row r="2900" spans="1:12">
      <c r="A2900" t="s">
        <v>14055</v>
      </c>
      <c r="B2900" s="1" t="s">
        <v>14050</v>
      </c>
      <c r="F2900">
        <v>1</v>
      </c>
      <c r="G2900" t="str">
        <f>HYPERLINK("http://babel.hathitrust.org/cgi/pt?id=uc2.ark:/13960/t5h992z92")</f>
        <v>http://babel.hathitrust.org/cgi/pt?id=uc2.ark:/13960/t5h992z92</v>
      </c>
      <c r="H2900" t="str">
        <f>HYPERLINK("http://catalog.hathitrust.org/Record/003783706")</f>
        <v>http://catalog.hathitrust.org/Record/003783706</v>
      </c>
      <c r="J2900" s="1">
        <v>1917</v>
      </c>
      <c r="K2900" t="s">
        <v>14051</v>
      </c>
      <c r="L2900" t="s">
        <v>14052</v>
      </c>
    </row>
    <row r="2901" spans="1:12">
      <c r="A2901" t="s">
        <v>14056</v>
      </c>
      <c r="B2901" s="1" t="s">
        <v>14057</v>
      </c>
      <c r="F2901">
        <v>1</v>
      </c>
      <c r="G2901" t="str">
        <f>HYPERLINK("http://babel.hathitrust.org/cgi/pt?id=mdp.39015003959361")</f>
        <v>http://babel.hathitrust.org/cgi/pt?id=mdp.39015003959361</v>
      </c>
      <c r="H2901" t="str">
        <f>HYPERLINK("http://catalog.hathitrust.org/Record/003787171")</f>
        <v>http://catalog.hathitrust.org/Record/003787171</v>
      </c>
      <c r="J2901" s="1">
        <v>1924</v>
      </c>
      <c r="K2901" t="s">
        <v>14058</v>
      </c>
      <c r="L2901" t="s">
        <v>19271</v>
      </c>
    </row>
    <row r="2902" spans="1:12">
      <c r="A2902" t="s">
        <v>14059</v>
      </c>
      <c r="B2902" s="1" t="s">
        <v>14057</v>
      </c>
      <c r="F2902">
        <v>1</v>
      </c>
      <c r="G2902" t="str">
        <f>HYPERLINK("http://babel.hathitrust.org/cgi/pt?id=miun.auh9586.0001.001")</f>
        <v>http://babel.hathitrust.org/cgi/pt?id=miun.auh9586.0001.001</v>
      </c>
      <c r="H2902" t="str">
        <f>HYPERLINK("http://catalog.hathitrust.org/Record/003787171")</f>
        <v>http://catalog.hathitrust.org/Record/003787171</v>
      </c>
      <c r="J2902" s="1">
        <v>1924</v>
      </c>
      <c r="K2902" t="s">
        <v>14058</v>
      </c>
      <c r="L2902" t="s">
        <v>19271</v>
      </c>
    </row>
    <row r="2903" spans="1:12">
      <c r="A2903" t="s">
        <v>14060</v>
      </c>
      <c r="B2903" s="1" t="s">
        <v>14061</v>
      </c>
      <c r="F2903">
        <v>1</v>
      </c>
      <c r="G2903" t="str">
        <f>HYPERLINK("http://babel.hathitrust.org/cgi/pt?id=uc1.b14724")</f>
        <v>http://babel.hathitrust.org/cgi/pt?id=uc1.b14724</v>
      </c>
      <c r="H2903" t="str">
        <f>HYPERLINK("http://catalog.hathitrust.org/Record/003792671")</f>
        <v>http://catalog.hathitrust.org/Record/003792671</v>
      </c>
      <c r="J2903" s="1">
        <v>1910</v>
      </c>
      <c r="K2903" t="s">
        <v>14062</v>
      </c>
      <c r="L2903" t="s">
        <v>14063</v>
      </c>
    </row>
    <row r="2904" spans="1:12">
      <c r="A2904" t="s">
        <v>14064</v>
      </c>
      <c r="B2904" s="1" t="s">
        <v>14061</v>
      </c>
      <c r="F2904">
        <v>1</v>
      </c>
      <c r="G2904" t="str">
        <f>HYPERLINK("http://babel.hathitrust.org/cgi/pt?id=uc2.ark:/13960/t9h41mw6p")</f>
        <v>http://babel.hathitrust.org/cgi/pt?id=uc2.ark:/13960/t9h41mw6p</v>
      </c>
      <c r="H2904" t="str">
        <f>HYPERLINK("http://catalog.hathitrust.org/Record/003792671")</f>
        <v>http://catalog.hathitrust.org/Record/003792671</v>
      </c>
      <c r="J2904" s="1">
        <v>1910</v>
      </c>
      <c r="K2904" t="s">
        <v>14062</v>
      </c>
      <c r="L2904" t="s">
        <v>14063</v>
      </c>
    </row>
    <row r="2905" spans="1:12">
      <c r="A2905" t="s">
        <v>14065</v>
      </c>
      <c r="B2905" s="1" t="s">
        <v>14066</v>
      </c>
      <c r="F2905">
        <v>1</v>
      </c>
      <c r="G2905" t="str">
        <f>HYPERLINK("http://babel.hathitrust.org/cgi/pt?id=mdp.39015014594579")</f>
        <v>http://babel.hathitrust.org/cgi/pt?id=mdp.39015014594579</v>
      </c>
      <c r="H2905" t="str">
        <f>HYPERLINK("http://catalog.hathitrust.org/Record/003797275")</f>
        <v>http://catalog.hathitrust.org/Record/003797275</v>
      </c>
      <c r="J2905" s="1">
        <v>1901</v>
      </c>
      <c r="K2905" t="s">
        <v>14067</v>
      </c>
      <c r="L2905" t="s">
        <v>14068</v>
      </c>
    </row>
    <row r="2906" spans="1:12">
      <c r="A2906" t="s">
        <v>14069</v>
      </c>
      <c r="B2906" s="1" t="s">
        <v>14070</v>
      </c>
      <c r="F2906">
        <v>1</v>
      </c>
      <c r="G2906" t="str">
        <f>HYPERLINK("http://babel.hathitrust.org/cgi/pt?id=uc1.b14620")</f>
        <v>http://babel.hathitrust.org/cgi/pt?id=uc1.b14620</v>
      </c>
      <c r="H2906" t="str">
        <f>HYPERLINK("http://catalog.hathitrust.org/Record/003841448")</f>
        <v>http://catalog.hathitrust.org/Record/003841448</v>
      </c>
      <c r="J2906" s="1">
        <v>1922</v>
      </c>
      <c r="K2906" t="s">
        <v>14071</v>
      </c>
      <c r="L2906" t="s">
        <v>14072</v>
      </c>
    </row>
    <row r="2907" spans="1:12">
      <c r="A2907" t="s">
        <v>14073</v>
      </c>
      <c r="B2907" s="1" t="s">
        <v>14070</v>
      </c>
      <c r="F2907">
        <v>1</v>
      </c>
      <c r="G2907" t="str">
        <f>HYPERLINK("http://babel.hathitrust.org/cgi/pt?id=uc2.ark:/13960/t7br8p47w")</f>
        <v>http://babel.hathitrust.org/cgi/pt?id=uc2.ark:/13960/t7br8p47w</v>
      </c>
      <c r="H2907" t="str">
        <f>HYPERLINK("http://catalog.hathitrust.org/Record/003841448")</f>
        <v>http://catalog.hathitrust.org/Record/003841448</v>
      </c>
      <c r="J2907" s="1">
        <v>1922</v>
      </c>
      <c r="K2907" t="s">
        <v>14071</v>
      </c>
      <c r="L2907" t="s">
        <v>14072</v>
      </c>
    </row>
    <row r="2908" spans="1:12">
      <c r="A2908" t="s">
        <v>14074</v>
      </c>
      <c r="B2908" s="1" t="s">
        <v>14075</v>
      </c>
      <c r="F2908">
        <v>1</v>
      </c>
      <c r="G2908" t="str">
        <f>HYPERLINK("http://babel.hathitrust.org/cgi/pt?id=mdp.39015071619915")</f>
        <v>http://babel.hathitrust.org/cgi/pt?id=mdp.39015071619915</v>
      </c>
      <c r="H2908" t="str">
        <f>HYPERLINK("http://catalog.hathitrust.org/Record/003842153")</f>
        <v>http://catalog.hathitrust.org/Record/003842153</v>
      </c>
      <c r="J2908" s="1">
        <v>1875</v>
      </c>
      <c r="K2908" t="s">
        <v>14076</v>
      </c>
      <c r="L2908" t="s">
        <v>14137</v>
      </c>
    </row>
    <row r="2909" spans="1:12">
      <c r="A2909" t="s">
        <v>14077</v>
      </c>
      <c r="B2909" s="1" t="s">
        <v>14078</v>
      </c>
      <c r="F2909">
        <v>1</v>
      </c>
      <c r="G2909" t="str">
        <f>HYPERLINK("http://babel.hathitrust.org/cgi/pt?id=mdp.39015057088216")</f>
        <v>http://babel.hathitrust.org/cgi/pt?id=mdp.39015057088216</v>
      </c>
      <c r="H2909" t="str">
        <f>HYPERLINK("http://catalog.hathitrust.org/Record/003860159")</f>
        <v>http://catalog.hathitrust.org/Record/003860159</v>
      </c>
      <c r="I2909" s="1">
        <v>1897</v>
      </c>
      <c r="K2909" t="s">
        <v>14199</v>
      </c>
    </row>
    <row r="2910" spans="1:12">
      <c r="A2910" t="s">
        <v>14079</v>
      </c>
      <c r="B2910" s="1" t="s">
        <v>14080</v>
      </c>
      <c r="F2910">
        <v>1</v>
      </c>
      <c r="G2910" t="str">
        <f>HYPERLINK("http://babel.hathitrust.org/cgi/pt?id=mdp.39015056848602")</f>
        <v>http://babel.hathitrust.org/cgi/pt?id=mdp.39015056848602</v>
      </c>
      <c r="H2910" t="str">
        <f>HYPERLINK("http://catalog.hathitrust.org/Record/003865952")</f>
        <v>http://catalog.hathitrust.org/Record/003865952</v>
      </c>
      <c r="J2910" s="1">
        <v>1891</v>
      </c>
      <c r="K2910" t="s">
        <v>14081</v>
      </c>
      <c r="L2910" t="s">
        <v>14082</v>
      </c>
    </row>
    <row r="2911" spans="1:12">
      <c r="A2911" t="s">
        <v>14083</v>
      </c>
      <c r="B2911" s="1" t="s">
        <v>14080</v>
      </c>
      <c r="F2911">
        <v>1</v>
      </c>
      <c r="G2911" t="str">
        <f>HYPERLINK("http://babel.hathitrust.org/cgi/pt?id=uc1.b306945")</f>
        <v>http://babel.hathitrust.org/cgi/pt?id=uc1.b306945</v>
      </c>
      <c r="H2911" t="str">
        <f>HYPERLINK("http://catalog.hathitrust.org/Record/003865952")</f>
        <v>http://catalog.hathitrust.org/Record/003865952</v>
      </c>
      <c r="J2911" s="1">
        <v>1891</v>
      </c>
      <c r="K2911" t="s">
        <v>14081</v>
      </c>
      <c r="L2911" t="s">
        <v>14082</v>
      </c>
    </row>
    <row r="2912" spans="1:12">
      <c r="A2912" t="s">
        <v>14084</v>
      </c>
      <c r="B2912" s="1" t="s">
        <v>14080</v>
      </c>
      <c r="F2912">
        <v>1</v>
      </c>
      <c r="G2912" t="str">
        <f>HYPERLINK("http://babel.hathitrust.org/cgi/pt?id=uc2.ark:/13960/t5p847m8g")</f>
        <v>http://babel.hathitrust.org/cgi/pt?id=uc2.ark:/13960/t5p847m8g</v>
      </c>
      <c r="H2912" t="str">
        <f>HYPERLINK("http://catalog.hathitrust.org/Record/003865952")</f>
        <v>http://catalog.hathitrust.org/Record/003865952</v>
      </c>
      <c r="J2912" s="1">
        <v>1891</v>
      </c>
      <c r="K2912" t="s">
        <v>14081</v>
      </c>
      <c r="L2912" t="s">
        <v>14082</v>
      </c>
    </row>
    <row r="2913" spans="1:12">
      <c r="A2913" t="s">
        <v>14085</v>
      </c>
      <c r="B2913" s="1" t="s">
        <v>13968</v>
      </c>
      <c r="D2913">
        <v>1</v>
      </c>
      <c r="G2913" t="str">
        <f>HYPERLINK("http://babel.hathitrust.org/cgi/pt?id=uc1.b3850894")</f>
        <v>http://babel.hathitrust.org/cgi/pt?id=uc1.b3850894</v>
      </c>
      <c r="H2913" t="str">
        <f>HYPERLINK("http://catalog.hathitrust.org/Record/003887181")</f>
        <v>http://catalog.hathitrust.org/Record/003887181</v>
      </c>
      <c r="J2913" s="1">
        <v>1902</v>
      </c>
      <c r="K2913" t="s">
        <v>13969</v>
      </c>
      <c r="L2913" t="s">
        <v>19015</v>
      </c>
    </row>
    <row r="2914" spans="1:12">
      <c r="A2914" t="s">
        <v>13970</v>
      </c>
      <c r="B2914" s="1" t="s">
        <v>13971</v>
      </c>
      <c r="F2914">
        <v>1</v>
      </c>
      <c r="G2914" t="str">
        <f>HYPERLINK("http://babel.hathitrust.org/cgi/pt?id=mdp.39015033689772")</f>
        <v>http://babel.hathitrust.org/cgi/pt?id=mdp.39015033689772</v>
      </c>
      <c r="H2914" t="str">
        <f>HYPERLINK("http://catalog.hathitrust.org/Record/003915548")</f>
        <v>http://catalog.hathitrust.org/Record/003915548</v>
      </c>
      <c r="J2914" s="1">
        <v>1882</v>
      </c>
      <c r="K2914" t="s">
        <v>13972</v>
      </c>
      <c r="L2914" t="s">
        <v>18627</v>
      </c>
    </row>
    <row r="2915" spans="1:12">
      <c r="A2915" t="s">
        <v>13973</v>
      </c>
      <c r="B2915" s="1" t="s">
        <v>13974</v>
      </c>
      <c r="F2915">
        <v>1</v>
      </c>
      <c r="G2915" t="str">
        <f>HYPERLINK("http://babel.hathitrust.org/cgi/pt?id=uc1.32106002801923")</f>
        <v>http://babel.hathitrust.org/cgi/pt?id=uc1.32106002801923</v>
      </c>
      <c r="H2915" t="str">
        <f>HYPERLINK("http://catalog.hathitrust.org/Record/003915555")</f>
        <v>http://catalog.hathitrust.org/Record/003915555</v>
      </c>
      <c r="J2915" s="1">
        <v>1920</v>
      </c>
      <c r="K2915" t="s">
        <v>13975</v>
      </c>
    </row>
    <row r="2916" spans="1:12">
      <c r="A2916" t="s">
        <v>13976</v>
      </c>
      <c r="B2916" s="1" t="s">
        <v>13977</v>
      </c>
      <c r="F2916">
        <v>1</v>
      </c>
      <c r="G2916" t="str">
        <f>HYPERLINK("http://babel.hathitrust.org/cgi/pt?id=mdp.39015024941562")</f>
        <v>http://babel.hathitrust.org/cgi/pt?id=mdp.39015024941562</v>
      </c>
      <c r="H2916" t="str">
        <f>HYPERLINK("http://catalog.hathitrust.org/Record/003918549")</f>
        <v>http://catalog.hathitrust.org/Record/003918549</v>
      </c>
      <c r="J2916" s="1">
        <v>1900</v>
      </c>
      <c r="K2916" t="s">
        <v>13978</v>
      </c>
    </row>
    <row r="2917" spans="1:12">
      <c r="A2917" t="s">
        <v>13979</v>
      </c>
      <c r="B2917" s="1" t="s">
        <v>13980</v>
      </c>
      <c r="F2917">
        <v>1</v>
      </c>
      <c r="G2917" t="str">
        <f>HYPERLINK("http://babel.hathitrust.org/cgi/pt?id=mdp.39015025255715")</f>
        <v>http://babel.hathitrust.org/cgi/pt?id=mdp.39015025255715</v>
      </c>
      <c r="H2917" t="str">
        <f>HYPERLINK("http://catalog.hathitrust.org/Record/003918707")</f>
        <v>http://catalog.hathitrust.org/Record/003918707</v>
      </c>
      <c r="J2917" s="1">
        <v>1892</v>
      </c>
      <c r="K2917" t="s">
        <v>13981</v>
      </c>
    </row>
    <row r="2918" spans="1:12">
      <c r="A2918" t="s">
        <v>13982</v>
      </c>
      <c r="B2918" s="1" t="s">
        <v>13983</v>
      </c>
      <c r="F2918">
        <v>1</v>
      </c>
      <c r="G2918" t="str">
        <f>HYPERLINK("http://babel.hathitrust.org/cgi/pt?id=mdp.39015025255723")</f>
        <v>http://babel.hathitrust.org/cgi/pt?id=mdp.39015025255723</v>
      </c>
      <c r="H2918" t="str">
        <f>HYPERLINK("http://catalog.hathitrust.org/Record/003918708")</f>
        <v>http://catalog.hathitrust.org/Record/003918708</v>
      </c>
      <c r="J2918" s="1">
        <v>1874</v>
      </c>
      <c r="K2918" t="s">
        <v>13984</v>
      </c>
    </row>
    <row r="2919" spans="1:12">
      <c r="A2919" t="s">
        <v>13985</v>
      </c>
      <c r="B2919" s="1" t="s">
        <v>13986</v>
      </c>
      <c r="F2919">
        <v>1</v>
      </c>
      <c r="G2919" t="str">
        <f>HYPERLINK("http://babel.hathitrust.org/cgi/pt?id=mdp.39015024941133")</f>
        <v>http://babel.hathitrust.org/cgi/pt?id=mdp.39015024941133</v>
      </c>
      <c r="H2919" t="str">
        <f>HYPERLINK("http://catalog.hathitrust.org/Record/003918714")</f>
        <v>http://catalog.hathitrust.org/Record/003918714</v>
      </c>
      <c r="J2919" s="1">
        <v>1911</v>
      </c>
      <c r="K2919" t="s">
        <v>13987</v>
      </c>
    </row>
    <row r="2920" spans="1:12">
      <c r="A2920" t="s">
        <v>13988</v>
      </c>
      <c r="B2920" s="1" t="s">
        <v>13989</v>
      </c>
      <c r="F2920">
        <v>1</v>
      </c>
      <c r="G2920" t="str">
        <f>HYPERLINK("http://babel.hathitrust.org/cgi/pt?id=mdp.39015024941612")</f>
        <v>http://babel.hathitrust.org/cgi/pt?id=mdp.39015024941612</v>
      </c>
      <c r="H2920" t="str">
        <f>HYPERLINK("http://catalog.hathitrust.org/Record/003918721")</f>
        <v>http://catalog.hathitrust.org/Record/003918721</v>
      </c>
      <c r="J2920" s="1">
        <v>1884</v>
      </c>
      <c r="K2920" t="s">
        <v>13990</v>
      </c>
    </row>
    <row r="2921" spans="1:12">
      <c r="A2921" t="s">
        <v>13991</v>
      </c>
      <c r="B2921" s="1" t="s">
        <v>13992</v>
      </c>
      <c r="F2921">
        <v>1</v>
      </c>
      <c r="G2921" t="str">
        <f>HYPERLINK("http://babel.hathitrust.org/cgi/pt?id=mdp.39015024941604")</f>
        <v>http://babel.hathitrust.org/cgi/pt?id=mdp.39015024941604</v>
      </c>
      <c r="H2921" t="str">
        <f>HYPERLINK("http://catalog.hathitrust.org/Record/003918734")</f>
        <v>http://catalog.hathitrust.org/Record/003918734</v>
      </c>
      <c r="J2921" s="1">
        <v>1876</v>
      </c>
      <c r="K2921" t="s">
        <v>13993</v>
      </c>
    </row>
    <row r="2922" spans="1:12">
      <c r="A2922" t="s">
        <v>13994</v>
      </c>
      <c r="B2922" s="1" t="s">
        <v>13995</v>
      </c>
      <c r="F2922">
        <v>1</v>
      </c>
      <c r="G2922" t="str">
        <f>HYPERLINK("http://babel.hathitrust.org/cgi/pt?id=mdp.39015025255731")</f>
        <v>http://babel.hathitrust.org/cgi/pt?id=mdp.39015025255731</v>
      </c>
      <c r="H2922" t="str">
        <f>HYPERLINK("http://catalog.hathitrust.org/Record/003918849")</f>
        <v>http://catalog.hathitrust.org/Record/003918849</v>
      </c>
      <c r="J2922" s="1">
        <v>1893</v>
      </c>
      <c r="K2922" t="s">
        <v>13996</v>
      </c>
    </row>
    <row r="2923" spans="1:12">
      <c r="A2923" t="s">
        <v>13997</v>
      </c>
      <c r="B2923" s="1" t="s">
        <v>13998</v>
      </c>
      <c r="E2923">
        <v>1</v>
      </c>
      <c r="G2923" t="str">
        <f>HYPERLINK("http://babel.hathitrust.org/cgi/pt?id=mdp.39015025255756")</f>
        <v>http://babel.hathitrust.org/cgi/pt?id=mdp.39015025255756</v>
      </c>
      <c r="H2923" t="str">
        <f>HYPERLINK("http://catalog.hathitrust.org/Record/003918876")</f>
        <v>http://catalog.hathitrust.org/Record/003918876</v>
      </c>
      <c r="J2923" s="1">
        <v>1879</v>
      </c>
      <c r="K2923" t="s">
        <v>13999</v>
      </c>
    </row>
    <row r="2924" spans="1:12">
      <c r="A2924" t="s">
        <v>14000</v>
      </c>
      <c r="B2924" s="1" t="s">
        <v>14001</v>
      </c>
      <c r="E2924">
        <v>1</v>
      </c>
      <c r="F2924">
        <v>1</v>
      </c>
      <c r="G2924" t="str">
        <f>HYPERLINK("http://babel.hathitrust.org/cgi/pt?id=mdp.39015025255780")</f>
        <v>http://babel.hathitrust.org/cgi/pt?id=mdp.39015025255780</v>
      </c>
      <c r="H2924" t="str">
        <f>HYPERLINK("http://catalog.hathitrust.org/Record/003918908")</f>
        <v>http://catalog.hathitrust.org/Record/003918908</v>
      </c>
      <c r="J2924" s="1">
        <v>1892</v>
      </c>
      <c r="K2924" t="s">
        <v>14002</v>
      </c>
    </row>
    <row r="2925" spans="1:12">
      <c r="A2925" t="s">
        <v>14003</v>
      </c>
      <c r="B2925" s="1" t="s">
        <v>14004</v>
      </c>
      <c r="F2925">
        <v>1</v>
      </c>
      <c r="G2925" t="str">
        <f>HYPERLINK("http://babel.hathitrust.org/cgi/pt?id=mdp.39015025255798")</f>
        <v>http://babel.hathitrust.org/cgi/pt?id=mdp.39015025255798</v>
      </c>
      <c r="H2925" t="str">
        <f>HYPERLINK("http://catalog.hathitrust.org/Record/003918925")</f>
        <v>http://catalog.hathitrust.org/Record/003918925</v>
      </c>
      <c r="J2925" s="1">
        <v>1887</v>
      </c>
      <c r="K2925" t="s">
        <v>14005</v>
      </c>
    </row>
    <row r="2926" spans="1:12">
      <c r="A2926" t="s">
        <v>14006</v>
      </c>
      <c r="B2926" s="1" t="s">
        <v>14007</v>
      </c>
      <c r="F2926">
        <v>1</v>
      </c>
      <c r="G2926" t="str">
        <f>HYPERLINK("http://babel.hathitrust.org/cgi/pt?id=mdp.39015024941570")</f>
        <v>http://babel.hathitrust.org/cgi/pt?id=mdp.39015024941570</v>
      </c>
      <c r="H2926" t="str">
        <f>HYPERLINK("http://catalog.hathitrust.org/Record/003918953")</f>
        <v>http://catalog.hathitrust.org/Record/003918953</v>
      </c>
      <c r="J2926" s="1">
        <v>1897</v>
      </c>
      <c r="K2926" t="s">
        <v>14008</v>
      </c>
    </row>
    <row r="2927" spans="1:12">
      <c r="A2927" t="s">
        <v>14009</v>
      </c>
      <c r="B2927" s="1" t="s">
        <v>14010</v>
      </c>
      <c r="F2927">
        <v>1</v>
      </c>
      <c r="G2927" t="str">
        <f>HYPERLINK("http://babel.hathitrust.org/cgi/pt?id=mdp.39015009375083")</f>
        <v>http://babel.hathitrust.org/cgi/pt?id=mdp.39015009375083</v>
      </c>
      <c r="H2927" t="str">
        <f>HYPERLINK("http://catalog.hathitrust.org/Record/003922930")</f>
        <v>http://catalog.hathitrust.org/Record/003922930</v>
      </c>
      <c r="J2927" s="1">
        <v>1890</v>
      </c>
      <c r="K2927" t="s">
        <v>14011</v>
      </c>
      <c r="L2927" t="s">
        <v>14012</v>
      </c>
    </row>
    <row r="2928" spans="1:12">
      <c r="A2928" t="s">
        <v>14013</v>
      </c>
      <c r="B2928" s="1" t="s">
        <v>14010</v>
      </c>
      <c r="F2928">
        <v>1</v>
      </c>
      <c r="G2928" t="str">
        <f>HYPERLINK("http://babel.hathitrust.org/cgi/pt?id=mdp.39015013429330")</f>
        <v>http://babel.hathitrust.org/cgi/pt?id=mdp.39015013429330</v>
      </c>
      <c r="H2928" t="str">
        <f>HYPERLINK("http://catalog.hathitrust.org/Record/003922930")</f>
        <v>http://catalog.hathitrust.org/Record/003922930</v>
      </c>
      <c r="J2928" s="1">
        <v>1890</v>
      </c>
      <c r="K2928" t="s">
        <v>14011</v>
      </c>
      <c r="L2928" t="s">
        <v>14012</v>
      </c>
    </row>
    <row r="2929" spans="1:12">
      <c r="A2929" t="s">
        <v>14014</v>
      </c>
      <c r="B2929" s="1" t="s">
        <v>14015</v>
      </c>
      <c r="F2929">
        <v>1</v>
      </c>
      <c r="G2929" t="str">
        <f>HYPERLINK("http://babel.hathitrust.org/cgi/pt?id=miun.bac1501.0009.001")</f>
        <v>http://babel.hathitrust.org/cgi/pt?id=miun.bac1501.0009.001</v>
      </c>
      <c r="H2929" t="str">
        <f>HYPERLINK("http://catalog.hathitrust.org/Record/003925768")</f>
        <v>http://catalog.hathitrust.org/Record/003925768</v>
      </c>
      <c r="J2929" s="1">
        <v>1859</v>
      </c>
      <c r="K2929" t="s">
        <v>14016</v>
      </c>
    </row>
    <row r="2930" spans="1:12">
      <c r="A2930" t="s">
        <v>14017</v>
      </c>
      <c r="B2930" s="1" t="s">
        <v>14018</v>
      </c>
      <c r="F2930">
        <v>1</v>
      </c>
      <c r="G2930" t="str">
        <f>HYPERLINK("http://babel.hathitrust.org/cgi/pt?id=miun.bac1512.0013.001")</f>
        <v>http://babel.hathitrust.org/cgi/pt?id=miun.bac1512.0013.001</v>
      </c>
      <c r="H2930" t="str">
        <f>HYPERLINK("http://catalog.hathitrust.org/Record/003925772")</f>
        <v>http://catalog.hathitrust.org/Record/003925772</v>
      </c>
      <c r="J2930" s="1">
        <v>1844</v>
      </c>
      <c r="K2930" t="s">
        <v>14019</v>
      </c>
    </row>
    <row r="2931" spans="1:12">
      <c r="A2931" t="s">
        <v>14020</v>
      </c>
      <c r="B2931" s="1" t="s">
        <v>14021</v>
      </c>
      <c r="F2931">
        <v>1</v>
      </c>
      <c r="G2931" t="str">
        <f>HYPERLINK("http://babel.hathitrust.org/cgi/pt?id=uc2.ark:/13960/t18k79v00")</f>
        <v>http://babel.hathitrust.org/cgi/pt?id=uc2.ark:/13960/t18k79v00</v>
      </c>
      <c r="H2931" t="str">
        <f>HYPERLINK("http://catalog.hathitrust.org/Record/003929137")</f>
        <v>http://catalog.hathitrust.org/Record/003929137</v>
      </c>
      <c r="J2931" s="1">
        <v>1886</v>
      </c>
      <c r="K2931" t="s">
        <v>14022</v>
      </c>
      <c r="L2931" t="s">
        <v>19557</v>
      </c>
    </row>
    <row r="2932" spans="1:12">
      <c r="A2932" t="s">
        <v>14023</v>
      </c>
      <c r="B2932" s="1" t="s">
        <v>14024</v>
      </c>
      <c r="F2932">
        <v>1</v>
      </c>
      <c r="G2932" t="str">
        <f>HYPERLINK("http://babel.hathitrust.org/cgi/pt?id=njp.32101072898610")</f>
        <v>http://babel.hathitrust.org/cgi/pt?id=njp.32101072898610</v>
      </c>
      <c r="H2932" t="str">
        <f>HYPERLINK("http://catalog.hathitrust.org/Record/003929185")</f>
        <v>http://catalog.hathitrust.org/Record/003929185</v>
      </c>
      <c r="J2932" s="1">
        <v>1896</v>
      </c>
      <c r="K2932" t="s">
        <v>13909</v>
      </c>
      <c r="L2932" t="s">
        <v>13910</v>
      </c>
    </row>
    <row r="2933" spans="1:12">
      <c r="A2933" t="s">
        <v>13911</v>
      </c>
      <c r="B2933" s="1" t="s">
        <v>14024</v>
      </c>
      <c r="F2933">
        <v>1</v>
      </c>
      <c r="G2933" t="str">
        <f>HYPERLINK("http://babel.hathitrust.org/cgi/pt?id=uc2.ark:/13960/t3xs5rv42")</f>
        <v>http://babel.hathitrust.org/cgi/pt?id=uc2.ark:/13960/t3xs5rv42</v>
      </c>
      <c r="H2933" t="str">
        <f>HYPERLINK("http://catalog.hathitrust.org/Record/003929185")</f>
        <v>http://catalog.hathitrust.org/Record/003929185</v>
      </c>
      <c r="J2933" s="1">
        <v>1896</v>
      </c>
      <c r="K2933" t="s">
        <v>13909</v>
      </c>
      <c r="L2933" t="s">
        <v>13910</v>
      </c>
    </row>
    <row r="2934" spans="1:12">
      <c r="A2934" t="s">
        <v>13912</v>
      </c>
      <c r="B2934" s="1" t="s">
        <v>13913</v>
      </c>
      <c r="F2934">
        <v>1</v>
      </c>
      <c r="G2934" t="str">
        <f>HYPERLINK("http://babel.hathitrust.org/cgi/pt?id=mdp.39015071589686")</f>
        <v>http://babel.hathitrust.org/cgi/pt?id=mdp.39015071589686</v>
      </c>
      <c r="H2934" t="str">
        <f>HYPERLINK("http://catalog.hathitrust.org/Record/003935567")</f>
        <v>http://catalog.hathitrust.org/Record/003935567</v>
      </c>
      <c r="J2934" s="1">
        <v>1901</v>
      </c>
      <c r="K2934" t="s">
        <v>13914</v>
      </c>
      <c r="L2934" t="s">
        <v>15418</v>
      </c>
    </row>
    <row r="2935" spans="1:12">
      <c r="A2935" t="s">
        <v>13915</v>
      </c>
      <c r="B2935" s="1" t="s">
        <v>13916</v>
      </c>
      <c r="F2935">
        <v>1</v>
      </c>
      <c r="G2935" t="str">
        <f>HYPERLINK("http://babel.hathitrust.org/cgi/pt?id=mdp.39015071637248")</f>
        <v>http://babel.hathitrust.org/cgi/pt?id=mdp.39015071637248</v>
      </c>
      <c r="H2935" t="str">
        <f>HYPERLINK("http://catalog.hathitrust.org/Record/003937190")</f>
        <v>http://catalog.hathitrust.org/Record/003937190</v>
      </c>
      <c r="J2935" s="1">
        <v>1920</v>
      </c>
      <c r="K2935" t="s">
        <v>13917</v>
      </c>
    </row>
    <row r="2936" spans="1:12">
      <c r="A2936" t="s">
        <v>13918</v>
      </c>
      <c r="B2936" s="1" t="s">
        <v>13919</v>
      </c>
      <c r="E2936">
        <v>1</v>
      </c>
      <c r="G2936" t="str">
        <f>HYPERLINK("http://babel.hathitrust.org/cgi/pt?id=mdp.39015071694207")</f>
        <v>http://babel.hathitrust.org/cgi/pt?id=mdp.39015071694207</v>
      </c>
      <c r="H2936" t="str">
        <f>HYPERLINK("http://catalog.hathitrust.org/Record/003937672")</f>
        <v>http://catalog.hathitrust.org/Record/003937672</v>
      </c>
      <c r="J2936" s="1">
        <v>1899</v>
      </c>
      <c r="K2936" t="s">
        <v>13920</v>
      </c>
      <c r="L2936" t="s">
        <v>19253</v>
      </c>
    </row>
    <row r="2937" spans="1:12">
      <c r="A2937" t="s">
        <v>13921</v>
      </c>
      <c r="B2937" s="1" t="s">
        <v>13922</v>
      </c>
      <c r="F2937">
        <v>1</v>
      </c>
      <c r="G2937" t="str">
        <f>HYPERLINK("http://babel.hathitrust.org/cgi/pt?id=mdp.39015071694132")</f>
        <v>http://babel.hathitrust.org/cgi/pt?id=mdp.39015071694132</v>
      </c>
      <c r="H2937" t="str">
        <f>HYPERLINK("http://catalog.hathitrust.org/Record/003937702")</f>
        <v>http://catalog.hathitrust.org/Record/003937702</v>
      </c>
      <c r="J2937" s="1">
        <v>1898</v>
      </c>
      <c r="K2937" t="s">
        <v>15297</v>
      </c>
      <c r="L2937" t="s">
        <v>16984</v>
      </c>
    </row>
    <row r="2938" spans="1:12">
      <c r="A2938" t="s">
        <v>13923</v>
      </c>
      <c r="B2938" s="1" t="s">
        <v>13924</v>
      </c>
      <c r="F2938">
        <v>1</v>
      </c>
      <c r="G2938" t="str">
        <f>HYPERLINK("http://babel.hathitrust.org/cgi/pt?id=mdp.39015071694215")</f>
        <v>http://babel.hathitrust.org/cgi/pt?id=mdp.39015071694215</v>
      </c>
      <c r="H2938" t="str">
        <f>HYPERLINK("http://catalog.hathitrust.org/Record/003937709")</f>
        <v>http://catalog.hathitrust.org/Record/003937709</v>
      </c>
      <c r="I2938" s="1" t="s">
        <v>20916</v>
      </c>
      <c r="J2938" s="1">
        <v>1906</v>
      </c>
      <c r="K2938" t="s">
        <v>16403</v>
      </c>
      <c r="L2938" t="s">
        <v>16984</v>
      </c>
    </row>
    <row r="2939" spans="1:12">
      <c r="A2939" t="s">
        <v>13925</v>
      </c>
      <c r="B2939" s="1" t="s">
        <v>13924</v>
      </c>
      <c r="F2939">
        <v>1</v>
      </c>
      <c r="G2939" t="str">
        <f>HYPERLINK("http://babel.hathitrust.org/cgi/pt?id=mdp.39015071694223")</f>
        <v>http://babel.hathitrust.org/cgi/pt?id=mdp.39015071694223</v>
      </c>
      <c r="H2939" t="str">
        <f>HYPERLINK("http://catalog.hathitrust.org/Record/003937709")</f>
        <v>http://catalog.hathitrust.org/Record/003937709</v>
      </c>
      <c r="I2939" s="1" t="s">
        <v>20755</v>
      </c>
      <c r="J2939" s="1">
        <v>1906</v>
      </c>
      <c r="K2939" t="s">
        <v>16403</v>
      </c>
      <c r="L2939" t="s">
        <v>16984</v>
      </c>
    </row>
    <row r="2940" spans="1:12">
      <c r="A2940" t="s">
        <v>13926</v>
      </c>
      <c r="B2940" s="1" t="s">
        <v>13927</v>
      </c>
      <c r="F2940">
        <v>1</v>
      </c>
      <c r="G2940" t="str">
        <f>HYPERLINK("http://babel.hathitrust.org/cgi/pt?id=mdp.39015071694272")</f>
        <v>http://babel.hathitrust.org/cgi/pt?id=mdp.39015071694272</v>
      </c>
      <c r="H2940" t="str">
        <f>HYPERLINK("http://catalog.hathitrust.org/Record/003937713")</f>
        <v>http://catalog.hathitrust.org/Record/003937713</v>
      </c>
      <c r="J2940" s="1">
        <v>1891</v>
      </c>
      <c r="K2940" t="s">
        <v>13928</v>
      </c>
      <c r="L2940" t="s">
        <v>16984</v>
      </c>
    </row>
    <row r="2941" spans="1:12">
      <c r="A2941" t="s">
        <v>13929</v>
      </c>
      <c r="B2941" s="1" t="s">
        <v>13930</v>
      </c>
      <c r="F2941">
        <v>1</v>
      </c>
      <c r="G2941" t="str">
        <f>HYPERLINK("http://babel.hathitrust.org/cgi/pt?id=mdp.39015071117785")</f>
        <v>http://babel.hathitrust.org/cgi/pt?id=mdp.39015071117785</v>
      </c>
      <c r="H2941" t="str">
        <f>HYPERLINK("http://catalog.hathitrust.org/Record/004159789")</f>
        <v>http://catalog.hathitrust.org/Record/004159789</v>
      </c>
      <c r="J2941" s="1">
        <v>1906</v>
      </c>
      <c r="K2941" t="s">
        <v>13931</v>
      </c>
      <c r="L2941" t="s">
        <v>17653</v>
      </c>
    </row>
    <row r="2942" spans="1:12">
      <c r="A2942" t="s">
        <v>13932</v>
      </c>
      <c r="B2942" s="1" t="s">
        <v>13933</v>
      </c>
      <c r="E2942">
        <v>1</v>
      </c>
      <c r="F2942">
        <v>1</v>
      </c>
      <c r="G2942" t="str">
        <f>HYPERLINK("http://babel.hathitrust.org/cgi/pt?id=mdp.39015047088870")</f>
        <v>http://babel.hathitrust.org/cgi/pt?id=mdp.39015047088870</v>
      </c>
      <c r="H2942" t="str">
        <f>HYPERLINK("http://catalog.hathitrust.org/Record/004197223")</f>
        <v>http://catalog.hathitrust.org/Record/004197223</v>
      </c>
      <c r="J2942" s="1">
        <v>1899</v>
      </c>
      <c r="K2942" t="s">
        <v>13934</v>
      </c>
      <c r="L2942" t="s">
        <v>13935</v>
      </c>
    </row>
    <row r="2943" spans="1:12">
      <c r="A2943" t="s">
        <v>13936</v>
      </c>
      <c r="B2943" s="1" t="s">
        <v>13937</v>
      </c>
      <c r="F2943">
        <v>1</v>
      </c>
      <c r="G2943" t="str">
        <f>HYPERLINK("http://babel.hathitrust.org/cgi/pt?id=mdp.49015000372020")</f>
        <v>http://babel.hathitrust.org/cgi/pt?id=mdp.49015000372020</v>
      </c>
      <c r="H2943" t="str">
        <f>HYPERLINK("http://catalog.hathitrust.org/Record/004419131")</f>
        <v>http://catalog.hathitrust.org/Record/004419131</v>
      </c>
      <c r="J2943" s="1">
        <v>1956</v>
      </c>
      <c r="K2943" t="s">
        <v>18511</v>
      </c>
      <c r="L2943" t="s">
        <v>20948</v>
      </c>
    </row>
    <row r="2944" spans="1:12">
      <c r="A2944" t="s">
        <v>13938</v>
      </c>
      <c r="B2944" s="1" t="s">
        <v>13939</v>
      </c>
      <c r="F2944">
        <v>1</v>
      </c>
      <c r="G2944" t="str">
        <f>HYPERLINK("http://babel.hathitrust.org/cgi/pt?id=mdp.49015000372442")</f>
        <v>http://babel.hathitrust.org/cgi/pt?id=mdp.49015000372442</v>
      </c>
      <c r="H2944" t="str">
        <f>HYPERLINK("http://catalog.hathitrust.org/Record/004419172")</f>
        <v>http://catalog.hathitrust.org/Record/004419172</v>
      </c>
      <c r="J2944" s="1">
        <v>1919</v>
      </c>
      <c r="K2944" t="s">
        <v>13940</v>
      </c>
      <c r="L2944" t="s">
        <v>18516</v>
      </c>
    </row>
    <row r="2945" spans="1:12">
      <c r="A2945" t="s">
        <v>13941</v>
      </c>
      <c r="B2945" s="1" t="s">
        <v>13942</v>
      </c>
      <c r="F2945">
        <v>1</v>
      </c>
      <c r="G2945" t="str">
        <f>HYPERLINK("http://babel.hathitrust.org/cgi/pt?id=mdp.49015002910405")</f>
        <v>http://babel.hathitrust.org/cgi/pt?id=mdp.49015002910405</v>
      </c>
      <c r="H2945" t="str">
        <f>HYPERLINK("http://catalog.hathitrust.org/Record/004420711")</f>
        <v>http://catalog.hathitrust.org/Record/004420711</v>
      </c>
      <c r="J2945" s="1">
        <v>1924</v>
      </c>
      <c r="K2945" t="s">
        <v>13943</v>
      </c>
      <c r="L2945" t="s">
        <v>20960</v>
      </c>
    </row>
    <row r="2946" spans="1:12">
      <c r="A2946" t="s">
        <v>13944</v>
      </c>
      <c r="B2946" s="1" t="s">
        <v>13945</v>
      </c>
      <c r="F2946">
        <v>1</v>
      </c>
      <c r="G2946" t="str">
        <f>HYPERLINK("http://babel.hathitrust.org/cgi/pt?id=mdp.49015000388034")</f>
        <v>http://babel.hathitrust.org/cgi/pt?id=mdp.49015000388034</v>
      </c>
      <c r="H2946" t="str">
        <f>HYPERLINK("http://catalog.hathitrust.org/Record/004420715")</f>
        <v>http://catalog.hathitrust.org/Record/004420715</v>
      </c>
      <c r="J2946" s="1">
        <v>1943</v>
      </c>
      <c r="K2946" t="s">
        <v>13946</v>
      </c>
      <c r="L2946" t="s">
        <v>13947</v>
      </c>
    </row>
    <row r="2947" spans="1:12">
      <c r="A2947" t="s">
        <v>13948</v>
      </c>
      <c r="B2947" s="1" t="s">
        <v>13945</v>
      </c>
      <c r="F2947">
        <v>1</v>
      </c>
      <c r="G2947" t="str">
        <f>HYPERLINK("http://babel.hathitrust.org/cgi/pt?id=mdp.49015002910413")</f>
        <v>http://babel.hathitrust.org/cgi/pt?id=mdp.49015002910413</v>
      </c>
      <c r="H2947" t="str">
        <f>HYPERLINK("http://catalog.hathitrust.org/Record/004420715")</f>
        <v>http://catalog.hathitrust.org/Record/004420715</v>
      </c>
      <c r="J2947" s="1">
        <v>1943</v>
      </c>
      <c r="K2947" t="s">
        <v>13946</v>
      </c>
      <c r="L2947" t="s">
        <v>13947</v>
      </c>
    </row>
    <row r="2948" spans="1:12">
      <c r="A2948" t="s">
        <v>13949</v>
      </c>
      <c r="B2948" s="1" t="s">
        <v>13950</v>
      </c>
      <c r="E2948">
        <v>1</v>
      </c>
      <c r="G2948" t="str">
        <f>HYPERLINK("http://babel.hathitrust.org/cgi/pt?id=mdp.49015000466566")</f>
        <v>http://babel.hathitrust.org/cgi/pt?id=mdp.49015000466566</v>
      </c>
      <c r="H2948" t="str">
        <f>HYPERLINK("http://catalog.hathitrust.org/Record/004428617")</f>
        <v>http://catalog.hathitrust.org/Record/004428617</v>
      </c>
      <c r="J2948" s="1">
        <v>1920</v>
      </c>
      <c r="K2948" t="s">
        <v>13951</v>
      </c>
      <c r="L2948" t="s">
        <v>19211</v>
      </c>
    </row>
    <row r="2949" spans="1:12">
      <c r="A2949" t="s">
        <v>13952</v>
      </c>
      <c r="B2949" s="1" t="s">
        <v>13953</v>
      </c>
      <c r="F2949">
        <v>1</v>
      </c>
      <c r="G2949" t="str">
        <f>HYPERLINK("http://babel.hathitrust.org/cgi/pt?id=mdp.49015000477258")</f>
        <v>http://babel.hathitrust.org/cgi/pt?id=mdp.49015000477258</v>
      </c>
      <c r="H2949" t="str">
        <f>HYPERLINK("http://catalog.hathitrust.org/Record/004429745")</f>
        <v>http://catalog.hathitrust.org/Record/004429745</v>
      </c>
      <c r="J2949" s="1">
        <v>1912</v>
      </c>
      <c r="K2949" t="s">
        <v>13954</v>
      </c>
      <c r="L2949" t="s">
        <v>19690</v>
      </c>
    </row>
    <row r="2950" spans="1:12">
      <c r="A2950" t="s">
        <v>13955</v>
      </c>
      <c r="B2950" s="1" t="s">
        <v>13956</v>
      </c>
      <c r="F2950">
        <v>1</v>
      </c>
      <c r="G2950" t="str">
        <f>HYPERLINK("http://babel.hathitrust.org/cgi/pt?id=mdp.49015000485749")</f>
        <v>http://babel.hathitrust.org/cgi/pt?id=mdp.49015000485749</v>
      </c>
      <c r="H2950" t="str">
        <f>HYPERLINK("http://catalog.hathitrust.org/Record/004430614")</f>
        <v>http://catalog.hathitrust.org/Record/004430614</v>
      </c>
      <c r="J2950" s="1">
        <v>1976</v>
      </c>
      <c r="K2950" t="s">
        <v>13957</v>
      </c>
    </row>
    <row r="2951" spans="1:12">
      <c r="A2951" t="s">
        <v>13958</v>
      </c>
      <c r="B2951" s="1" t="s">
        <v>13959</v>
      </c>
      <c r="F2951">
        <v>1</v>
      </c>
      <c r="G2951" t="str">
        <f>HYPERLINK("http://babel.hathitrust.org/cgi/pt?id=mdp.49015000495409")</f>
        <v>http://babel.hathitrust.org/cgi/pt?id=mdp.49015000495409</v>
      </c>
      <c r="H2951" t="str">
        <f>HYPERLINK("http://catalog.hathitrust.org/Record/004431604")</f>
        <v>http://catalog.hathitrust.org/Record/004431604</v>
      </c>
      <c r="J2951" s="1">
        <v>1947</v>
      </c>
      <c r="K2951" t="s">
        <v>17787</v>
      </c>
      <c r="L2951" t="s">
        <v>17788</v>
      </c>
    </row>
    <row r="2952" spans="1:12">
      <c r="A2952" t="s">
        <v>13960</v>
      </c>
      <c r="B2952" s="1" t="s">
        <v>13961</v>
      </c>
      <c r="F2952">
        <v>1</v>
      </c>
      <c r="G2952" t="str">
        <f>HYPERLINK("http://babel.hathitrust.org/cgi/pt?id=mdp.49015002092766")</f>
        <v>http://babel.hathitrust.org/cgi/pt?id=mdp.49015002092766</v>
      </c>
      <c r="H2952" t="str">
        <f>HYPERLINK("http://catalog.hathitrust.org/Record/004431741")</f>
        <v>http://catalog.hathitrust.org/Record/004431741</v>
      </c>
      <c r="I2952" s="1" t="s">
        <v>20679</v>
      </c>
      <c r="J2952" s="1">
        <v>1939</v>
      </c>
      <c r="K2952" t="s">
        <v>20442</v>
      </c>
      <c r="L2952" t="s">
        <v>20443</v>
      </c>
    </row>
    <row r="2953" spans="1:12">
      <c r="A2953" t="s">
        <v>13962</v>
      </c>
      <c r="B2953" s="1" t="s">
        <v>13961</v>
      </c>
      <c r="F2953">
        <v>1</v>
      </c>
      <c r="G2953" t="str">
        <f>HYPERLINK("http://babel.hathitrust.org/cgi/pt?id=mdp.49015002092774")</f>
        <v>http://babel.hathitrust.org/cgi/pt?id=mdp.49015002092774</v>
      </c>
      <c r="H2953" t="str">
        <f>HYPERLINK("http://catalog.hathitrust.org/Record/004431741")</f>
        <v>http://catalog.hathitrust.org/Record/004431741</v>
      </c>
      <c r="I2953" s="1" t="s">
        <v>20681</v>
      </c>
      <c r="J2953" s="1">
        <v>1939</v>
      </c>
      <c r="K2953" t="s">
        <v>20442</v>
      </c>
      <c r="L2953" t="s">
        <v>20443</v>
      </c>
    </row>
    <row r="2954" spans="1:12">
      <c r="A2954" t="s">
        <v>13963</v>
      </c>
      <c r="B2954" s="1" t="s">
        <v>13964</v>
      </c>
      <c r="F2954">
        <v>1</v>
      </c>
      <c r="G2954" t="str">
        <f>HYPERLINK("http://babel.hathitrust.org/cgi/pt?id=mdp.49015000498247")</f>
        <v>http://babel.hathitrust.org/cgi/pt?id=mdp.49015000498247</v>
      </c>
      <c r="H2954" t="str">
        <f>HYPERLINK("http://catalog.hathitrust.org/Record/004431882")</f>
        <v>http://catalog.hathitrust.org/Record/004431882</v>
      </c>
      <c r="J2954" s="1">
        <v>1947</v>
      </c>
      <c r="K2954" t="s">
        <v>13965</v>
      </c>
      <c r="L2954" t="s">
        <v>13966</v>
      </c>
    </row>
    <row r="2955" spans="1:12">
      <c r="A2955" t="s">
        <v>13967</v>
      </c>
      <c r="B2955" s="1" t="s">
        <v>13857</v>
      </c>
      <c r="F2955">
        <v>1</v>
      </c>
      <c r="G2955" t="str">
        <f>HYPERLINK("http://babel.hathitrust.org/cgi/pt?id=mdp.49015000548769")</f>
        <v>http://babel.hathitrust.org/cgi/pt?id=mdp.49015000548769</v>
      </c>
      <c r="H2955" t="str">
        <f>HYPERLINK("http://catalog.hathitrust.org/Record/004436914")</f>
        <v>http://catalog.hathitrust.org/Record/004436914</v>
      </c>
      <c r="J2955" s="1">
        <v>1911</v>
      </c>
      <c r="K2955" t="s">
        <v>19122</v>
      </c>
      <c r="L2955" t="s">
        <v>19123</v>
      </c>
    </row>
    <row r="2956" spans="1:12">
      <c r="A2956" t="s">
        <v>13858</v>
      </c>
      <c r="B2956" s="1" t="s">
        <v>13859</v>
      </c>
      <c r="F2956">
        <v>1</v>
      </c>
      <c r="G2956" t="str">
        <f>HYPERLINK("http://babel.hathitrust.org/cgi/pt?id=mdp.49015000548876")</f>
        <v>http://babel.hathitrust.org/cgi/pt?id=mdp.49015000548876</v>
      </c>
      <c r="H2956" t="str">
        <f>HYPERLINK("http://catalog.hathitrust.org/Record/004436927")</f>
        <v>http://catalog.hathitrust.org/Record/004436927</v>
      </c>
      <c r="I2956" s="1" t="s">
        <v>20916</v>
      </c>
      <c r="J2956" s="1">
        <v>1910</v>
      </c>
      <c r="K2956" t="s">
        <v>13860</v>
      </c>
      <c r="L2956" t="s">
        <v>19204</v>
      </c>
    </row>
    <row r="2957" spans="1:12">
      <c r="A2957" t="s">
        <v>13861</v>
      </c>
      <c r="B2957" s="1" t="s">
        <v>13862</v>
      </c>
      <c r="F2957">
        <v>1</v>
      </c>
      <c r="G2957" t="str">
        <f>HYPERLINK("http://babel.hathitrust.org/cgi/pt?id=mdp.49015002914126")</f>
        <v>http://babel.hathitrust.org/cgi/pt?id=mdp.49015002914126</v>
      </c>
      <c r="H2957" t="str">
        <f>HYPERLINK("http://catalog.hathitrust.org/Record/004455682")</f>
        <v>http://catalog.hathitrust.org/Record/004455682</v>
      </c>
      <c r="J2957" s="1">
        <v>1962</v>
      </c>
      <c r="K2957" t="s">
        <v>13863</v>
      </c>
      <c r="L2957" t="s">
        <v>13864</v>
      </c>
    </row>
    <row r="2958" spans="1:12">
      <c r="A2958" t="s">
        <v>13865</v>
      </c>
      <c r="B2958" s="1" t="s">
        <v>13866</v>
      </c>
      <c r="F2958">
        <v>1</v>
      </c>
      <c r="G2958" t="str">
        <f>HYPERLINK("http://babel.hathitrust.org/cgi/pt?id=mdp.49015000751546")</f>
        <v>http://babel.hathitrust.org/cgi/pt?id=mdp.49015000751546</v>
      </c>
      <c r="H2958" t="str">
        <f>HYPERLINK("http://catalog.hathitrust.org/Record/004457422")</f>
        <v>http://catalog.hathitrust.org/Record/004457422</v>
      </c>
      <c r="J2958" s="1">
        <v>1906</v>
      </c>
      <c r="K2958" t="s">
        <v>13867</v>
      </c>
      <c r="L2958" t="s">
        <v>13868</v>
      </c>
    </row>
    <row r="2959" spans="1:12">
      <c r="A2959" t="s">
        <v>13869</v>
      </c>
      <c r="B2959" s="1" t="s">
        <v>13870</v>
      </c>
      <c r="D2959">
        <v>1</v>
      </c>
      <c r="G2959" t="str">
        <f>HYPERLINK("http://babel.hathitrust.org/cgi/pt?id=mdp.49015000759614")</f>
        <v>http://babel.hathitrust.org/cgi/pt?id=mdp.49015000759614</v>
      </c>
      <c r="H2959" t="str">
        <f>HYPERLINK("http://catalog.hathitrust.org/Record/004458215")</f>
        <v>http://catalog.hathitrust.org/Record/004458215</v>
      </c>
      <c r="J2959" s="1">
        <v>1954</v>
      </c>
      <c r="K2959" t="s">
        <v>13871</v>
      </c>
      <c r="L2959" t="s">
        <v>17895</v>
      </c>
    </row>
    <row r="2960" spans="1:12">
      <c r="A2960" t="s">
        <v>13872</v>
      </c>
      <c r="B2960" s="1" t="s">
        <v>13873</v>
      </c>
      <c r="E2960">
        <v>1</v>
      </c>
      <c r="F2960">
        <v>1</v>
      </c>
      <c r="G2960" t="str">
        <f>HYPERLINK("http://babel.hathitrust.org/cgi/pt?id=mdp.49015000813957")</f>
        <v>http://babel.hathitrust.org/cgi/pt?id=mdp.49015000813957</v>
      </c>
      <c r="H2960" t="str">
        <f>HYPERLINK("http://catalog.hathitrust.org/Record/004463623")</f>
        <v>http://catalog.hathitrust.org/Record/004463623</v>
      </c>
      <c r="J2960" s="1">
        <v>1898</v>
      </c>
      <c r="K2960" t="s">
        <v>19620</v>
      </c>
      <c r="L2960" t="s">
        <v>20416</v>
      </c>
    </row>
    <row r="2961" spans="1:12">
      <c r="A2961" t="s">
        <v>13874</v>
      </c>
      <c r="B2961" s="1" t="s">
        <v>13875</v>
      </c>
      <c r="F2961">
        <v>1</v>
      </c>
      <c r="G2961" t="str">
        <f>HYPERLINK("http://babel.hathitrust.org/cgi/pt?id=mdp.49015000870890")</f>
        <v>http://babel.hathitrust.org/cgi/pt?id=mdp.49015000870890</v>
      </c>
      <c r="H2961" t="str">
        <f>HYPERLINK("http://catalog.hathitrust.org/Record/004469581")</f>
        <v>http://catalog.hathitrust.org/Record/004469581</v>
      </c>
      <c r="J2961" s="1">
        <v>1961</v>
      </c>
      <c r="K2961" t="s">
        <v>13876</v>
      </c>
      <c r="L2961" t="s">
        <v>13877</v>
      </c>
    </row>
    <row r="2962" spans="1:12">
      <c r="A2962" t="s">
        <v>13878</v>
      </c>
      <c r="B2962" s="1" t="s">
        <v>13879</v>
      </c>
      <c r="F2962">
        <v>1</v>
      </c>
      <c r="G2962" t="str">
        <f>HYPERLINK("http://babel.hathitrust.org/cgi/pt?id=mdp.49015000900655")</f>
        <v>http://babel.hathitrust.org/cgi/pt?id=mdp.49015000900655</v>
      </c>
      <c r="H2962" t="str">
        <f>HYPERLINK("http://catalog.hathitrust.org/Record/004472734")</f>
        <v>http://catalog.hathitrust.org/Record/004472734</v>
      </c>
      <c r="J2962" s="1">
        <v>1878</v>
      </c>
      <c r="K2962" t="s">
        <v>13880</v>
      </c>
      <c r="L2962" t="s">
        <v>16761</v>
      </c>
    </row>
    <row r="2963" spans="1:12">
      <c r="A2963" t="s">
        <v>13881</v>
      </c>
      <c r="B2963" s="1" t="s">
        <v>13882</v>
      </c>
      <c r="F2963">
        <v>1</v>
      </c>
      <c r="G2963" t="str">
        <f>HYPERLINK("http://babel.hathitrust.org/cgi/pt?id=mdp.49015000900663")</f>
        <v>http://babel.hathitrust.org/cgi/pt?id=mdp.49015000900663</v>
      </c>
      <c r="H2963" t="str">
        <f>HYPERLINK("http://catalog.hathitrust.org/Record/004472735")</f>
        <v>http://catalog.hathitrust.org/Record/004472735</v>
      </c>
      <c r="J2963" s="1">
        <v>1896</v>
      </c>
      <c r="K2963" t="s">
        <v>13883</v>
      </c>
      <c r="L2963" t="s">
        <v>13884</v>
      </c>
    </row>
    <row r="2964" spans="1:12">
      <c r="A2964" t="s">
        <v>13885</v>
      </c>
      <c r="B2964" s="1" t="s">
        <v>13886</v>
      </c>
      <c r="F2964">
        <v>1</v>
      </c>
      <c r="G2964" t="str">
        <f>HYPERLINK("http://babel.hathitrust.org/cgi/pt?id=mdp.49015000901851")</f>
        <v>http://babel.hathitrust.org/cgi/pt?id=mdp.49015000901851</v>
      </c>
      <c r="H2964" t="str">
        <f>HYPERLINK("http://catalog.hathitrust.org/Record/004472838")</f>
        <v>http://catalog.hathitrust.org/Record/004472838</v>
      </c>
      <c r="J2964" s="1">
        <v>1869</v>
      </c>
      <c r="K2964" t="s">
        <v>13887</v>
      </c>
      <c r="L2964" t="s">
        <v>13888</v>
      </c>
    </row>
    <row r="2965" spans="1:12">
      <c r="A2965" t="s">
        <v>13889</v>
      </c>
      <c r="B2965" s="1" t="s">
        <v>13890</v>
      </c>
      <c r="D2965">
        <v>1</v>
      </c>
      <c r="G2965" t="str">
        <f>HYPERLINK("http://babel.hathitrust.org/cgi/pt?id=mdp.49015001286021")</f>
        <v>http://babel.hathitrust.org/cgi/pt?id=mdp.49015001286021</v>
      </c>
      <c r="H2965" t="str">
        <f>HYPERLINK("http://catalog.hathitrust.org/Record/004511723")</f>
        <v>http://catalog.hathitrust.org/Record/004511723</v>
      </c>
      <c r="J2965" s="1">
        <v>1884</v>
      </c>
      <c r="K2965" t="s">
        <v>13891</v>
      </c>
      <c r="L2965" t="s">
        <v>20256</v>
      </c>
    </row>
    <row r="2966" spans="1:12">
      <c r="A2966" t="s">
        <v>13892</v>
      </c>
      <c r="B2966" s="1" t="s">
        <v>13893</v>
      </c>
      <c r="F2966">
        <v>1</v>
      </c>
      <c r="G2966" t="str">
        <f>HYPERLINK("http://babel.hathitrust.org/cgi/pt?id=mdp.49015001303669")</f>
        <v>http://babel.hathitrust.org/cgi/pt?id=mdp.49015001303669</v>
      </c>
      <c r="H2966" t="str">
        <f>HYPERLINK("http://catalog.hathitrust.org/Record/004513531")</f>
        <v>http://catalog.hathitrust.org/Record/004513531</v>
      </c>
      <c r="J2966" s="1">
        <v>1915</v>
      </c>
      <c r="K2966" t="s">
        <v>13894</v>
      </c>
      <c r="L2966" t="s">
        <v>13895</v>
      </c>
    </row>
    <row r="2967" spans="1:12">
      <c r="A2967" t="s">
        <v>13896</v>
      </c>
      <c r="B2967" s="1" t="s">
        <v>13897</v>
      </c>
      <c r="F2967">
        <v>1</v>
      </c>
      <c r="G2967" t="str">
        <f>HYPERLINK("http://babel.hathitrust.org/cgi/pt?id=mdp.39015000528946")</f>
        <v>http://babel.hathitrust.org/cgi/pt?id=mdp.39015000528946</v>
      </c>
      <c r="H2967" t="str">
        <f>HYPERLINK("http://catalog.hathitrust.org/Record/004513730")</f>
        <v>http://catalog.hathitrust.org/Record/004513730</v>
      </c>
      <c r="J2967" s="1">
        <v>1933</v>
      </c>
      <c r="K2967" t="s">
        <v>13898</v>
      </c>
      <c r="L2967" t="s">
        <v>18550</v>
      </c>
    </row>
    <row r="2968" spans="1:12">
      <c r="A2968" t="s">
        <v>13899</v>
      </c>
      <c r="B2968" s="1" t="s">
        <v>13900</v>
      </c>
      <c r="F2968">
        <v>1</v>
      </c>
      <c r="G2968" t="str">
        <f>HYPERLINK("http://babel.hathitrust.org/cgi/pt?id=mdp.49015001413815")</f>
        <v>http://babel.hathitrust.org/cgi/pt?id=mdp.49015001413815</v>
      </c>
      <c r="H2968" t="str">
        <f>HYPERLINK("http://catalog.hathitrust.org/Record/004525279")</f>
        <v>http://catalog.hathitrust.org/Record/004525279</v>
      </c>
      <c r="J2968" s="1">
        <v>1846</v>
      </c>
      <c r="K2968" t="s">
        <v>13901</v>
      </c>
      <c r="L2968" t="s">
        <v>13902</v>
      </c>
    </row>
    <row r="2969" spans="1:12">
      <c r="A2969" t="s">
        <v>13903</v>
      </c>
      <c r="B2969" s="1" t="s">
        <v>13904</v>
      </c>
      <c r="F2969">
        <v>1</v>
      </c>
      <c r="G2969" t="str">
        <f>HYPERLINK("http://babel.hathitrust.org/cgi/pt?id=mdp.49015001414011")</f>
        <v>http://babel.hathitrust.org/cgi/pt?id=mdp.49015001414011</v>
      </c>
      <c r="H2969" t="str">
        <f>HYPERLINK("http://catalog.hathitrust.org/Record/004525299")</f>
        <v>http://catalog.hathitrust.org/Record/004525299</v>
      </c>
      <c r="J2969" s="1">
        <v>1897</v>
      </c>
      <c r="K2969" t="s">
        <v>13905</v>
      </c>
      <c r="L2969" t="s">
        <v>13906</v>
      </c>
    </row>
    <row r="2970" spans="1:12">
      <c r="A2970" t="s">
        <v>13907</v>
      </c>
      <c r="B2970" s="1" t="s">
        <v>13908</v>
      </c>
      <c r="F2970">
        <v>1</v>
      </c>
      <c r="G2970" t="str">
        <f>HYPERLINK("http://babel.hathitrust.org/cgi/pt?id=mdp.49015001414078")</f>
        <v>http://babel.hathitrust.org/cgi/pt?id=mdp.49015001414078</v>
      </c>
      <c r="H2970" t="str">
        <f>HYPERLINK("http://catalog.hathitrust.org/Record/004525305")</f>
        <v>http://catalog.hathitrust.org/Record/004525305</v>
      </c>
      <c r="J2970" s="1">
        <v>1890</v>
      </c>
      <c r="K2970" t="s">
        <v>13823</v>
      </c>
      <c r="L2970" t="s">
        <v>13824</v>
      </c>
    </row>
    <row r="2971" spans="1:12">
      <c r="A2971" t="s">
        <v>13825</v>
      </c>
      <c r="B2971" s="1" t="s">
        <v>13826</v>
      </c>
      <c r="E2971">
        <v>1</v>
      </c>
      <c r="G2971" t="str">
        <f>HYPERLINK("http://babel.hathitrust.org/cgi/pt?id=mdp.49015002684083")</f>
        <v>http://babel.hathitrust.org/cgi/pt?id=mdp.49015002684083</v>
      </c>
      <c r="H2971" t="str">
        <f>HYPERLINK("http://catalog.hathitrust.org/Record/004541279")</f>
        <v>http://catalog.hathitrust.org/Record/004541279</v>
      </c>
      <c r="I2971" s="1" t="s">
        <v>20916</v>
      </c>
      <c r="J2971" s="1">
        <v>1869</v>
      </c>
      <c r="K2971" t="s">
        <v>13827</v>
      </c>
      <c r="L2971" t="s">
        <v>20485</v>
      </c>
    </row>
    <row r="2972" spans="1:12">
      <c r="A2972" t="s">
        <v>13828</v>
      </c>
      <c r="B2972" s="1" t="s">
        <v>13826</v>
      </c>
      <c r="E2972">
        <v>1</v>
      </c>
      <c r="G2972" t="str">
        <f>HYPERLINK("http://babel.hathitrust.org/cgi/pt?id=mdp.49015002684091")</f>
        <v>http://babel.hathitrust.org/cgi/pt?id=mdp.49015002684091</v>
      </c>
      <c r="H2972" t="str">
        <f>HYPERLINK("http://catalog.hathitrust.org/Record/004541279")</f>
        <v>http://catalog.hathitrust.org/Record/004541279</v>
      </c>
      <c r="I2972" s="1" t="s">
        <v>20755</v>
      </c>
      <c r="J2972" s="1">
        <v>1869</v>
      </c>
      <c r="K2972" t="s">
        <v>13827</v>
      </c>
      <c r="L2972" t="s">
        <v>20485</v>
      </c>
    </row>
    <row r="2973" spans="1:12">
      <c r="A2973" t="s">
        <v>13829</v>
      </c>
      <c r="B2973" s="1" t="s">
        <v>13826</v>
      </c>
      <c r="E2973">
        <v>1</v>
      </c>
      <c r="G2973" t="str">
        <f>HYPERLINK("http://babel.hathitrust.org/cgi/pt?id=mdp.49015002684109")</f>
        <v>http://babel.hathitrust.org/cgi/pt?id=mdp.49015002684109</v>
      </c>
      <c r="H2973" t="str">
        <f>HYPERLINK("http://catalog.hathitrust.org/Record/004541279")</f>
        <v>http://catalog.hathitrust.org/Record/004541279</v>
      </c>
      <c r="I2973" s="1" t="s">
        <v>20920</v>
      </c>
      <c r="J2973" s="1">
        <v>1869</v>
      </c>
      <c r="K2973" t="s">
        <v>13827</v>
      </c>
      <c r="L2973" t="s">
        <v>20485</v>
      </c>
    </row>
    <row r="2974" spans="1:12">
      <c r="A2974" t="s">
        <v>13830</v>
      </c>
      <c r="B2974" s="1" t="s">
        <v>13826</v>
      </c>
      <c r="E2974">
        <v>1</v>
      </c>
      <c r="G2974" t="str">
        <f>HYPERLINK("http://babel.hathitrust.org/cgi/pt?id=mdp.49015002684117")</f>
        <v>http://babel.hathitrust.org/cgi/pt?id=mdp.49015002684117</v>
      </c>
      <c r="H2974" t="str">
        <f>HYPERLINK("http://catalog.hathitrust.org/Record/004541279")</f>
        <v>http://catalog.hathitrust.org/Record/004541279</v>
      </c>
      <c r="I2974" s="1" t="s">
        <v>20679</v>
      </c>
      <c r="J2974" s="1">
        <v>1869</v>
      </c>
      <c r="K2974" t="s">
        <v>13827</v>
      </c>
      <c r="L2974" t="s">
        <v>20485</v>
      </c>
    </row>
    <row r="2975" spans="1:12">
      <c r="A2975" t="s">
        <v>13831</v>
      </c>
      <c r="B2975" s="1" t="s">
        <v>13832</v>
      </c>
      <c r="F2975">
        <v>1</v>
      </c>
      <c r="G2975" t="str">
        <f>HYPERLINK("http://babel.hathitrust.org/cgi/pt?id=mdp.39015061866367")</f>
        <v>http://babel.hathitrust.org/cgi/pt?id=mdp.39015061866367</v>
      </c>
      <c r="H2975" t="str">
        <f>HYPERLINK("http://catalog.hathitrust.org/Record/004972008")</f>
        <v>http://catalog.hathitrust.org/Record/004972008</v>
      </c>
      <c r="J2975" s="1">
        <v>1901</v>
      </c>
      <c r="K2975" t="s">
        <v>13833</v>
      </c>
      <c r="L2975" t="s">
        <v>13834</v>
      </c>
    </row>
    <row r="2976" spans="1:12">
      <c r="A2976" t="s">
        <v>13835</v>
      </c>
      <c r="B2976" s="1" t="s">
        <v>13832</v>
      </c>
      <c r="F2976">
        <v>1</v>
      </c>
      <c r="G2976" t="str">
        <f>HYPERLINK("http://babel.hathitrust.org/cgi/pt?id=nyp.33433069252884")</f>
        <v>http://babel.hathitrust.org/cgi/pt?id=nyp.33433069252884</v>
      </c>
      <c r="H2976" t="str">
        <f>HYPERLINK("http://catalog.hathitrust.org/Record/004972008")</f>
        <v>http://catalog.hathitrust.org/Record/004972008</v>
      </c>
      <c r="J2976" s="1">
        <v>1901</v>
      </c>
      <c r="K2976" t="s">
        <v>13833</v>
      </c>
      <c r="L2976" t="s">
        <v>13834</v>
      </c>
    </row>
    <row r="2977" spans="1:12">
      <c r="A2977" t="s">
        <v>13836</v>
      </c>
      <c r="B2977" s="1" t="s">
        <v>13837</v>
      </c>
      <c r="F2977">
        <v>1</v>
      </c>
      <c r="G2977" t="str">
        <f>HYPERLINK("http://babel.hathitrust.org/cgi/pt?id=mdp.39015061866359")</f>
        <v>http://babel.hathitrust.org/cgi/pt?id=mdp.39015061866359</v>
      </c>
      <c r="H2977" t="str">
        <f>HYPERLINK("http://catalog.hathitrust.org/Record/004972160")</f>
        <v>http://catalog.hathitrust.org/Record/004972160</v>
      </c>
      <c r="J2977" s="1">
        <v>1898</v>
      </c>
      <c r="K2977" t="s">
        <v>13838</v>
      </c>
      <c r="L2977" t="s">
        <v>13839</v>
      </c>
    </row>
    <row r="2978" spans="1:12">
      <c r="A2978" t="s">
        <v>13840</v>
      </c>
      <c r="B2978" s="1" t="s">
        <v>13841</v>
      </c>
      <c r="F2978">
        <v>1</v>
      </c>
      <c r="G2978" t="str">
        <f>HYPERLINK("http://babel.hathitrust.org/cgi/pt?id=mdp.39015061869049")</f>
        <v>http://babel.hathitrust.org/cgi/pt?id=mdp.39015061869049</v>
      </c>
      <c r="H2978" t="str">
        <f t="shared" ref="H2978:H2983" si="43">HYPERLINK("http://catalog.hathitrust.org/Record/004974457")</f>
        <v>http://catalog.hathitrust.org/Record/004974457</v>
      </c>
      <c r="I2978" s="1" t="s">
        <v>20916</v>
      </c>
      <c r="J2978" s="1">
        <v>1794</v>
      </c>
      <c r="K2978" t="s">
        <v>17501</v>
      </c>
    </row>
    <row r="2979" spans="1:12">
      <c r="A2979" t="s">
        <v>13842</v>
      </c>
      <c r="B2979" s="1" t="s">
        <v>13841</v>
      </c>
      <c r="F2979">
        <v>1</v>
      </c>
      <c r="G2979" t="str">
        <f>HYPERLINK("http://babel.hathitrust.org/cgi/pt?id=mdp.39015061869056")</f>
        <v>http://babel.hathitrust.org/cgi/pt?id=mdp.39015061869056</v>
      </c>
      <c r="H2979" t="str">
        <f t="shared" si="43"/>
        <v>http://catalog.hathitrust.org/Record/004974457</v>
      </c>
      <c r="I2979" s="1" t="s">
        <v>20755</v>
      </c>
      <c r="J2979" s="1">
        <v>1794</v>
      </c>
      <c r="K2979" t="s">
        <v>17501</v>
      </c>
    </row>
    <row r="2980" spans="1:12">
      <c r="A2980" t="s">
        <v>13843</v>
      </c>
      <c r="B2980" s="1" t="s">
        <v>13841</v>
      </c>
      <c r="F2980">
        <v>1</v>
      </c>
      <c r="G2980" t="str">
        <f>HYPERLINK("http://babel.hathitrust.org/cgi/pt?id=mdp.39015061869064")</f>
        <v>http://babel.hathitrust.org/cgi/pt?id=mdp.39015061869064</v>
      </c>
      <c r="H2980" t="str">
        <f t="shared" si="43"/>
        <v>http://catalog.hathitrust.org/Record/004974457</v>
      </c>
      <c r="I2980" s="1" t="s">
        <v>20920</v>
      </c>
      <c r="J2980" s="1">
        <v>1794</v>
      </c>
      <c r="K2980" t="s">
        <v>17501</v>
      </c>
    </row>
    <row r="2981" spans="1:12">
      <c r="A2981" t="s">
        <v>13844</v>
      </c>
      <c r="B2981" s="1" t="s">
        <v>13841</v>
      </c>
      <c r="F2981">
        <v>1</v>
      </c>
      <c r="G2981" t="str">
        <f>HYPERLINK("http://babel.hathitrust.org/cgi/pt?id=uc2.ark:/13960/t1pg1jr8t")</f>
        <v>http://babel.hathitrust.org/cgi/pt?id=uc2.ark:/13960/t1pg1jr8t</v>
      </c>
      <c r="H2981" t="str">
        <f t="shared" si="43"/>
        <v>http://catalog.hathitrust.org/Record/004974457</v>
      </c>
      <c r="I2981" s="1" t="s">
        <v>20755</v>
      </c>
      <c r="J2981" s="1">
        <v>1794</v>
      </c>
      <c r="K2981" t="s">
        <v>17501</v>
      </c>
    </row>
    <row r="2982" spans="1:12">
      <c r="A2982" t="s">
        <v>13845</v>
      </c>
      <c r="B2982" s="1" t="s">
        <v>13841</v>
      </c>
      <c r="F2982">
        <v>1</v>
      </c>
      <c r="G2982" t="str">
        <f>HYPERLINK("http://babel.hathitrust.org/cgi/pt?id=uc2.ark:/13960/t4nk37g2x")</f>
        <v>http://babel.hathitrust.org/cgi/pt?id=uc2.ark:/13960/t4nk37g2x</v>
      </c>
      <c r="H2982" t="str">
        <f t="shared" si="43"/>
        <v>http://catalog.hathitrust.org/Record/004974457</v>
      </c>
      <c r="I2982" s="1" t="s">
        <v>20920</v>
      </c>
      <c r="J2982" s="1">
        <v>1794</v>
      </c>
      <c r="K2982" t="s">
        <v>17501</v>
      </c>
    </row>
    <row r="2983" spans="1:12">
      <c r="A2983" t="s">
        <v>13846</v>
      </c>
      <c r="B2983" s="1" t="s">
        <v>13841</v>
      </c>
      <c r="F2983">
        <v>1</v>
      </c>
      <c r="G2983" t="str">
        <f>HYPERLINK("http://babel.hathitrust.org/cgi/pt?id=uc2.ark:/13960/t7fq9rq1d")</f>
        <v>http://babel.hathitrust.org/cgi/pt?id=uc2.ark:/13960/t7fq9rq1d</v>
      </c>
      <c r="H2983" t="str">
        <f t="shared" si="43"/>
        <v>http://catalog.hathitrust.org/Record/004974457</v>
      </c>
      <c r="I2983" s="1" t="s">
        <v>20916</v>
      </c>
      <c r="J2983" s="1">
        <v>1794</v>
      </c>
      <c r="K2983" t="s">
        <v>17501</v>
      </c>
    </row>
    <row r="2984" spans="1:12">
      <c r="A2984" t="s">
        <v>13847</v>
      </c>
      <c r="B2984" s="1" t="s">
        <v>13848</v>
      </c>
      <c r="F2984">
        <v>1</v>
      </c>
      <c r="G2984" t="str">
        <f>HYPERLINK("http://babel.hathitrust.org/cgi/pt?id=mdp.39015061869536")</f>
        <v>http://babel.hathitrust.org/cgi/pt?id=mdp.39015061869536</v>
      </c>
      <c r="H2984" t="str">
        <f>HYPERLINK("http://catalog.hathitrust.org/Record/004977713")</f>
        <v>http://catalog.hathitrust.org/Record/004977713</v>
      </c>
      <c r="I2984" s="1" t="s">
        <v>20755</v>
      </c>
      <c r="J2984" s="1">
        <v>1897</v>
      </c>
      <c r="K2984" t="s">
        <v>13849</v>
      </c>
      <c r="L2984" t="s">
        <v>20463</v>
      </c>
    </row>
    <row r="2985" spans="1:12">
      <c r="A2985" t="s">
        <v>13850</v>
      </c>
      <c r="B2985" s="1" t="s">
        <v>13848</v>
      </c>
      <c r="F2985">
        <v>1</v>
      </c>
      <c r="G2985" t="str">
        <f>HYPERLINK("http://babel.hathitrust.org/cgi/pt?id=uc1.b306948")</f>
        <v>http://babel.hathitrust.org/cgi/pt?id=uc1.b306948</v>
      </c>
      <c r="H2985" t="str">
        <f>HYPERLINK("http://catalog.hathitrust.org/Record/004977713")</f>
        <v>http://catalog.hathitrust.org/Record/004977713</v>
      </c>
      <c r="I2985" s="1" t="s">
        <v>20799</v>
      </c>
      <c r="J2985" s="1">
        <v>1897</v>
      </c>
      <c r="K2985" t="s">
        <v>13849</v>
      </c>
      <c r="L2985" t="s">
        <v>20463</v>
      </c>
    </row>
    <row r="2986" spans="1:12">
      <c r="A2986" t="s">
        <v>13851</v>
      </c>
      <c r="B2986" s="1" t="s">
        <v>13848</v>
      </c>
      <c r="F2986">
        <v>1</v>
      </c>
      <c r="G2986" t="str">
        <f>HYPERLINK("http://babel.hathitrust.org/cgi/pt?id=uc2.ark:/13960/t6930sq25")</f>
        <v>http://babel.hathitrust.org/cgi/pt?id=uc2.ark:/13960/t6930sq25</v>
      </c>
      <c r="H2986" t="str">
        <f>HYPERLINK("http://catalog.hathitrust.org/Record/004977713")</f>
        <v>http://catalog.hathitrust.org/Record/004977713</v>
      </c>
      <c r="I2986" s="1" t="s">
        <v>20799</v>
      </c>
      <c r="J2986" s="1">
        <v>1897</v>
      </c>
      <c r="K2986" t="s">
        <v>13849</v>
      </c>
      <c r="L2986" t="s">
        <v>20463</v>
      </c>
    </row>
    <row r="2987" spans="1:12">
      <c r="A2987" t="s">
        <v>13852</v>
      </c>
      <c r="B2987" s="1" t="s">
        <v>13853</v>
      </c>
      <c r="F2987">
        <v>1</v>
      </c>
      <c r="G2987" t="str">
        <f>HYPERLINK("http://babel.hathitrust.org/cgi/pt?id=mdp.39015061869569")</f>
        <v>http://babel.hathitrust.org/cgi/pt?id=mdp.39015061869569</v>
      </c>
      <c r="H2987" t="str">
        <f>HYPERLINK("http://catalog.hathitrust.org/Record/004977743")</f>
        <v>http://catalog.hathitrust.org/Record/004977743</v>
      </c>
      <c r="J2987" s="1">
        <v>1893</v>
      </c>
      <c r="K2987" t="s">
        <v>13854</v>
      </c>
    </row>
    <row r="2988" spans="1:12">
      <c r="A2988" t="s">
        <v>13855</v>
      </c>
      <c r="B2988" s="1" t="s">
        <v>13856</v>
      </c>
      <c r="F2988">
        <v>1</v>
      </c>
      <c r="G2988" t="str">
        <f>HYPERLINK("http://babel.hathitrust.org/cgi/pt?id=mdp.39015061467596")</f>
        <v>http://babel.hathitrust.org/cgi/pt?id=mdp.39015061467596</v>
      </c>
      <c r="H2988" t="str">
        <f>HYPERLINK("http://catalog.hathitrust.org/Record/004983760")</f>
        <v>http://catalog.hathitrust.org/Record/004983760</v>
      </c>
      <c r="J2988" s="1">
        <v>1876</v>
      </c>
      <c r="K2988" t="s">
        <v>13779</v>
      </c>
      <c r="L2988" t="s">
        <v>13780</v>
      </c>
    </row>
    <row r="2989" spans="1:12">
      <c r="A2989" t="s">
        <v>13781</v>
      </c>
      <c r="B2989" s="1" t="s">
        <v>13782</v>
      </c>
      <c r="F2989">
        <v>1</v>
      </c>
      <c r="G2989" t="str">
        <f>HYPERLINK("http://babel.hathitrust.org/cgi/pt?id=mdp.39015062434876")</f>
        <v>http://babel.hathitrust.org/cgi/pt?id=mdp.39015062434876</v>
      </c>
      <c r="H2989" t="str">
        <f>HYPERLINK("http://catalog.hathitrust.org/Record/005085058")</f>
        <v>http://catalog.hathitrust.org/Record/005085058</v>
      </c>
      <c r="J2989" s="1">
        <v>1958</v>
      </c>
      <c r="K2989" t="s">
        <v>13783</v>
      </c>
      <c r="L2989" t="s">
        <v>13784</v>
      </c>
    </row>
    <row r="2990" spans="1:12">
      <c r="A2990" t="s">
        <v>13785</v>
      </c>
      <c r="B2990" s="1" t="s">
        <v>13786</v>
      </c>
      <c r="F2990">
        <v>1</v>
      </c>
      <c r="G2990" t="str">
        <f>HYPERLINK("http://babel.hathitrust.org/cgi/pt?id=mdp.39015062434884")</f>
        <v>http://babel.hathitrust.org/cgi/pt?id=mdp.39015062434884</v>
      </c>
      <c r="H2990" t="str">
        <f>HYPERLINK("http://catalog.hathitrust.org/Record/005085078")</f>
        <v>http://catalog.hathitrust.org/Record/005085078</v>
      </c>
      <c r="J2990" s="1">
        <v>1958</v>
      </c>
      <c r="K2990" t="s">
        <v>13787</v>
      </c>
      <c r="L2990" t="s">
        <v>13784</v>
      </c>
    </row>
    <row r="2991" spans="1:12">
      <c r="A2991" t="s">
        <v>13788</v>
      </c>
      <c r="B2991" s="1" t="s">
        <v>13789</v>
      </c>
      <c r="F2991">
        <v>1</v>
      </c>
      <c r="G2991" t="str">
        <f>HYPERLINK("http://babel.hathitrust.org/cgi/pt?id=mdp.39015062318707")</f>
        <v>http://babel.hathitrust.org/cgi/pt?id=mdp.39015062318707</v>
      </c>
      <c r="H2991" t="str">
        <f>HYPERLINK("http://catalog.hathitrust.org/Record/005087985")</f>
        <v>http://catalog.hathitrust.org/Record/005087985</v>
      </c>
      <c r="J2991" s="1">
        <v>1907</v>
      </c>
      <c r="K2991" t="s">
        <v>13790</v>
      </c>
      <c r="L2991" t="s">
        <v>20267</v>
      </c>
    </row>
    <row r="2992" spans="1:12">
      <c r="A2992" t="s">
        <v>13791</v>
      </c>
      <c r="B2992" s="1" t="s">
        <v>13789</v>
      </c>
      <c r="F2992">
        <v>1</v>
      </c>
      <c r="G2992" t="str">
        <f>HYPERLINK("http://babel.hathitrust.org/cgi/pt?id=uc2.ark:/13960/t4gm83s1h")</f>
        <v>http://babel.hathitrust.org/cgi/pt?id=uc2.ark:/13960/t4gm83s1h</v>
      </c>
      <c r="H2992" t="str">
        <f>HYPERLINK("http://catalog.hathitrust.org/Record/005087985")</f>
        <v>http://catalog.hathitrust.org/Record/005087985</v>
      </c>
      <c r="J2992" s="1">
        <v>1907</v>
      </c>
      <c r="K2992" t="s">
        <v>13790</v>
      </c>
      <c r="L2992" t="s">
        <v>20267</v>
      </c>
    </row>
    <row r="2993" spans="1:12">
      <c r="A2993" t="s">
        <v>13792</v>
      </c>
      <c r="B2993" s="1" t="s">
        <v>13793</v>
      </c>
      <c r="E2993">
        <v>1</v>
      </c>
      <c r="G2993" t="str">
        <f>HYPERLINK("http://babel.hathitrust.org/cgi/pt?id=mdp.49015002998822")</f>
        <v>http://babel.hathitrust.org/cgi/pt?id=mdp.49015002998822</v>
      </c>
      <c r="H2993" t="str">
        <f>HYPERLINK("http://catalog.hathitrust.org/Record/005120204")</f>
        <v>http://catalog.hathitrust.org/Record/005120204</v>
      </c>
      <c r="I2993" s="1" t="s">
        <v>20916</v>
      </c>
      <c r="J2993" s="1">
        <v>1800</v>
      </c>
      <c r="K2993" t="s">
        <v>13794</v>
      </c>
      <c r="L2993" t="s">
        <v>20675</v>
      </c>
    </row>
    <row r="2994" spans="1:12">
      <c r="A2994" t="s">
        <v>13795</v>
      </c>
      <c r="B2994" s="1" t="s">
        <v>13793</v>
      </c>
      <c r="E2994">
        <v>1</v>
      </c>
      <c r="G2994" t="str">
        <f>HYPERLINK("http://babel.hathitrust.org/cgi/pt?id=mdp.49015003003606")</f>
        <v>http://babel.hathitrust.org/cgi/pt?id=mdp.49015003003606</v>
      </c>
      <c r="H2994" t="str">
        <f>HYPERLINK("http://catalog.hathitrust.org/Record/005120204")</f>
        <v>http://catalog.hathitrust.org/Record/005120204</v>
      </c>
      <c r="I2994" s="1" t="s">
        <v>20755</v>
      </c>
      <c r="J2994" s="1">
        <v>1800</v>
      </c>
      <c r="K2994" t="s">
        <v>13794</v>
      </c>
      <c r="L2994" t="s">
        <v>20675</v>
      </c>
    </row>
    <row r="2995" spans="1:12">
      <c r="A2995" t="s">
        <v>13796</v>
      </c>
      <c r="B2995" s="1" t="s">
        <v>13793</v>
      </c>
      <c r="E2995">
        <v>1</v>
      </c>
      <c r="G2995" t="str">
        <f>HYPERLINK("http://babel.hathitrust.org/cgi/pt?id=mdp.49015003003614")</f>
        <v>http://babel.hathitrust.org/cgi/pt?id=mdp.49015003003614</v>
      </c>
      <c r="H2995" t="str">
        <f>HYPERLINK("http://catalog.hathitrust.org/Record/005120204")</f>
        <v>http://catalog.hathitrust.org/Record/005120204</v>
      </c>
      <c r="I2995" s="1" t="s">
        <v>20920</v>
      </c>
      <c r="J2995" s="1">
        <v>1800</v>
      </c>
      <c r="K2995" t="s">
        <v>13794</v>
      </c>
      <c r="L2995" t="s">
        <v>20675</v>
      </c>
    </row>
    <row r="2996" spans="1:12">
      <c r="A2996" t="s">
        <v>13797</v>
      </c>
      <c r="B2996" s="1" t="s">
        <v>13793</v>
      </c>
      <c r="E2996">
        <v>1</v>
      </c>
      <c r="G2996" t="str">
        <f>HYPERLINK("http://babel.hathitrust.org/cgi/pt?id=mdp.49015003003622")</f>
        <v>http://babel.hathitrust.org/cgi/pt?id=mdp.49015003003622</v>
      </c>
      <c r="H2996" t="str">
        <f>HYPERLINK("http://catalog.hathitrust.org/Record/005120204")</f>
        <v>http://catalog.hathitrust.org/Record/005120204</v>
      </c>
      <c r="I2996" s="1" t="s">
        <v>20679</v>
      </c>
      <c r="J2996" s="1">
        <v>1800</v>
      </c>
      <c r="K2996" t="s">
        <v>13794</v>
      </c>
      <c r="L2996" t="s">
        <v>20675</v>
      </c>
    </row>
    <row r="2997" spans="1:12">
      <c r="A2997" t="s">
        <v>13798</v>
      </c>
      <c r="B2997" s="1" t="s">
        <v>13793</v>
      </c>
      <c r="E2997">
        <v>1</v>
      </c>
      <c r="G2997" t="str">
        <f>HYPERLINK("http://babel.hathitrust.org/cgi/pt?id=mdp.49015003003630")</f>
        <v>http://babel.hathitrust.org/cgi/pt?id=mdp.49015003003630</v>
      </c>
      <c r="H2997" t="str">
        <f>HYPERLINK("http://catalog.hathitrust.org/Record/005120204")</f>
        <v>http://catalog.hathitrust.org/Record/005120204</v>
      </c>
      <c r="I2997" s="1" t="s">
        <v>20681</v>
      </c>
      <c r="J2997" s="1">
        <v>1800</v>
      </c>
      <c r="K2997" t="s">
        <v>13794</v>
      </c>
      <c r="L2997" t="s">
        <v>20675</v>
      </c>
    </row>
    <row r="2998" spans="1:12">
      <c r="A2998" t="s">
        <v>13799</v>
      </c>
      <c r="B2998" s="1" t="s">
        <v>13800</v>
      </c>
      <c r="F2998">
        <v>1</v>
      </c>
      <c r="G2998" t="str">
        <f>HYPERLINK("http://babel.hathitrust.org/cgi/pt?id=mdp.39015064790242")</f>
        <v>http://babel.hathitrust.org/cgi/pt?id=mdp.39015064790242</v>
      </c>
      <c r="H2998" t="str">
        <f>HYPERLINK("http://catalog.hathitrust.org/Record/005219509")</f>
        <v>http://catalog.hathitrust.org/Record/005219509</v>
      </c>
      <c r="J2998" s="1">
        <v>1962</v>
      </c>
      <c r="K2998" t="s">
        <v>13801</v>
      </c>
      <c r="L2998" t="s">
        <v>13802</v>
      </c>
    </row>
    <row r="2999" spans="1:12">
      <c r="A2999" t="s">
        <v>13803</v>
      </c>
      <c r="B2999" s="1" t="s">
        <v>13804</v>
      </c>
      <c r="E2999">
        <v>1</v>
      </c>
      <c r="G2999" t="str">
        <f>HYPERLINK("http://babel.hathitrust.org/cgi/pt?id=mdp.39015063640331")</f>
        <v>http://babel.hathitrust.org/cgi/pt?id=mdp.39015063640331</v>
      </c>
      <c r="H2999" t="str">
        <f>HYPERLINK("http://catalog.hathitrust.org/Record/005237318")</f>
        <v>http://catalog.hathitrust.org/Record/005237318</v>
      </c>
      <c r="J2999" s="1">
        <v>1890</v>
      </c>
      <c r="K2999" t="s">
        <v>13805</v>
      </c>
      <c r="L2999" t="s">
        <v>15619</v>
      </c>
    </row>
    <row r="3000" spans="1:12">
      <c r="A3000" t="s">
        <v>13806</v>
      </c>
      <c r="B3000" s="1" t="s">
        <v>13807</v>
      </c>
      <c r="E3000">
        <v>1</v>
      </c>
      <c r="G3000" t="str">
        <f>HYPERLINK("http://babel.hathitrust.org/cgi/pt?id=hvd.32044011327319")</f>
        <v>http://babel.hathitrust.org/cgi/pt?id=hvd.32044011327319</v>
      </c>
      <c r="H3000" t="str">
        <f>HYPERLINK("http://catalog.hathitrust.org/Record/005260976")</f>
        <v>http://catalog.hathitrust.org/Record/005260976</v>
      </c>
      <c r="J3000" s="1">
        <v>1869</v>
      </c>
      <c r="K3000" t="s">
        <v>13808</v>
      </c>
      <c r="L3000" t="s">
        <v>20331</v>
      </c>
    </row>
    <row r="3001" spans="1:12">
      <c r="A3001" t="s">
        <v>13809</v>
      </c>
      <c r="B3001" s="1" t="s">
        <v>13810</v>
      </c>
      <c r="E3001">
        <v>1</v>
      </c>
      <c r="G3001" t="str">
        <f>HYPERLINK("http://babel.hathitrust.org/cgi/pt?id=uc1.b3315315")</f>
        <v>http://babel.hathitrust.org/cgi/pt?id=uc1.b3315315</v>
      </c>
      <c r="H3001" t="str">
        <f>HYPERLINK("http://catalog.hathitrust.org/Record/005261351")</f>
        <v>http://catalog.hathitrust.org/Record/005261351</v>
      </c>
      <c r="J3001" s="1">
        <v>1898</v>
      </c>
      <c r="K3001" t="s">
        <v>13811</v>
      </c>
      <c r="L3001" t="s">
        <v>15615</v>
      </c>
    </row>
    <row r="3002" spans="1:12">
      <c r="A3002" t="s">
        <v>13812</v>
      </c>
      <c r="B3002" s="1" t="s">
        <v>13813</v>
      </c>
      <c r="F3002">
        <v>1</v>
      </c>
      <c r="G3002" t="str">
        <f>HYPERLINK("http://babel.hathitrust.org/cgi/pt?id=mdp.39015065549829")</f>
        <v>http://babel.hathitrust.org/cgi/pt?id=mdp.39015065549829</v>
      </c>
      <c r="H3002" t="str">
        <f>HYPERLINK("http://catalog.hathitrust.org/Record/005265968")</f>
        <v>http://catalog.hathitrust.org/Record/005265968</v>
      </c>
      <c r="J3002" s="1">
        <v>1887</v>
      </c>
      <c r="K3002" t="s">
        <v>13814</v>
      </c>
      <c r="L3002" t="s">
        <v>13815</v>
      </c>
    </row>
    <row r="3003" spans="1:12">
      <c r="A3003" t="s">
        <v>13816</v>
      </c>
      <c r="B3003" s="1" t="s">
        <v>13813</v>
      </c>
      <c r="F3003">
        <v>1</v>
      </c>
      <c r="G3003" t="str">
        <f>HYPERLINK("http://babel.hathitrust.org/cgi/pt?id=uc2.ark:/13960/t6g15xz4p")</f>
        <v>http://babel.hathitrust.org/cgi/pt?id=uc2.ark:/13960/t6g15xz4p</v>
      </c>
      <c r="H3003" t="str">
        <f>HYPERLINK("http://catalog.hathitrust.org/Record/005265968")</f>
        <v>http://catalog.hathitrust.org/Record/005265968</v>
      </c>
      <c r="J3003" s="1">
        <v>1887</v>
      </c>
      <c r="K3003" t="s">
        <v>13814</v>
      </c>
      <c r="L3003" t="s">
        <v>13815</v>
      </c>
    </row>
    <row r="3004" spans="1:12">
      <c r="A3004" t="s">
        <v>13817</v>
      </c>
      <c r="B3004" s="1" t="s">
        <v>13818</v>
      </c>
      <c r="F3004">
        <v>1</v>
      </c>
      <c r="G3004" t="str">
        <f>HYPERLINK("http://babel.hathitrust.org/cgi/pt?id=uc1.32106018715638")</f>
        <v>http://babel.hathitrust.org/cgi/pt?id=uc1.32106018715638</v>
      </c>
      <c r="H3004" t="str">
        <f>HYPERLINK("http://catalog.hathitrust.org/Record/005267737")</f>
        <v>http://catalog.hathitrust.org/Record/005267737</v>
      </c>
      <c r="J3004" s="1">
        <v>2006</v>
      </c>
      <c r="K3004" t="s">
        <v>13819</v>
      </c>
      <c r="L3004" t="s">
        <v>13820</v>
      </c>
    </row>
    <row r="3005" spans="1:12">
      <c r="A3005" t="s">
        <v>13821</v>
      </c>
      <c r="B3005" s="1" t="s">
        <v>13822</v>
      </c>
      <c r="F3005">
        <v>1</v>
      </c>
      <c r="G3005" t="str">
        <f>HYPERLINK("http://babel.hathitrust.org/cgi/pt?id=mdp.35128001329844")</f>
        <v>http://babel.hathitrust.org/cgi/pt?id=mdp.35128001329844</v>
      </c>
      <c r="H3005" t="str">
        <f>HYPERLINK("http://catalog.hathitrust.org/Record/005332273")</f>
        <v>http://catalog.hathitrust.org/Record/005332273</v>
      </c>
      <c r="J3005" s="1">
        <v>1934</v>
      </c>
      <c r="K3005" t="s">
        <v>13715</v>
      </c>
      <c r="L3005" t="s">
        <v>13716</v>
      </c>
    </row>
    <row r="3006" spans="1:12">
      <c r="A3006" t="s">
        <v>13717</v>
      </c>
      <c r="B3006" s="1" t="s">
        <v>13718</v>
      </c>
      <c r="F3006">
        <v>1</v>
      </c>
      <c r="G3006" t="str">
        <f>HYPERLINK("http://babel.hathitrust.org/cgi/pt?id=mdp.35128001330099")</f>
        <v>http://babel.hathitrust.org/cgi/pt?id=mdp.35128001330099</v>
      </c>
      <c r="H3006" t="str">
        <f>HYPERLINK("http://catalog.hathitrust.org/Record/005332296")</f>
        <v>http://catalog.hathitrust.org/Record/005332296</v>
      </c>
      <c r="J3006" s="1">
        <v>1943</v>
      </c>
      <c r="K3006" t="s">
        <v>13719</v>
      </c>
      <c r="L3006" t="s">
        <v>13720</v>
      </c>
    </row>
    <row r="3007" spans="1:12">
      <c r="A3007" t="s">
        <v>13721</v>
      </c>
      <c r="B3007" s="1" t="s">
        <v>13722</v>
      </c>
      <c r="F3007">
        <v>1</v>
      </c>
      <c r="G3007" t="str">
        <f>HYPERLINK("http://babel.hathitrust.org/cgi/pt?id=mdp.39015062319499")</f>
        <v>http://babel.hathitrust.org/cgi/pt?id=mdp.39015062319499</v>
      </c>
      <c r="H3007" t="str">
        <f>HYPERLINK("http://catalog.hathitrust.org/Record/005370339")</f>
        <v>http://catalog.hathitrust.org/Record/005370339</v>
      </c>
      <c r="J3007" s="1">
        <v>1908</v>
      </c>
      <c r="K3007" t="s">
        <v>13723</v>
      </c>
      <c r="L3007" t="s">
        <v>13724</v>
      </c>
    </row>
    <row r="3008" spans="1:12">
      <c r="A3008" t="s">
        <v>13725</v>
      </c>
      <c r="B3008" s="1" t="s">
        <v>13726</v>
      </c>
      <c r="F3008">
        <v>1</v>
      </c>
      <c r="G3008" t="str">
        <f>HYPERLINK("http://babel.hathitrust.org/cgi/pt?id=mdp.39015069112186")</f>
        <v>http://babel.hathitrust.org/cgi/pt?id=mdp.39015069112186</v>
      </c>
      <c r="H3008" t="str">
        <f>HYPERLINK("http://catalog.hathitrust.org/Record/005373834")</f>
        <v>http://catalog.hathitrust.org/Record/005373834</v>
      </c>
      <c r="J3008" s="1">
        <v>1936</v>
      </c>
      <c r="K3008" t="s">
        <v>13727</v>
      </c>
      <c r="L3008" t="s">
        <v>13728</v>
      </c>
    </row>
    <row r="3009" spans="1:12">
      <c r="A3009" t="s">
        <v>13729</v>
      </c>
      <c r="B3009" s="1" t="s">
        <v>13730</v>
      </c>
      <c r="F3009">
        <v>1</v>
      </c>
      <c r="G3009" t="str">
        <f>HYPERLINK("http://babel.hathitrust.org/cgi/pt?id=uc1.b257889")</f>
        <v>http://babel.hathitrust.org/cgi/pt?id=uc1.b257889</v>
      </c>
      <c r="H3009" t="str">
        <f>HYPERLINK("http://catalog.hathitrust.org/Record/005558465")</f>
        <v>http://catalog.hathitrust.org/Record/005558465</v>
      </c>
      <c r="J3009" s="1">
        <v>1820</v>
      </c>
      <c r="K3009" t="s">
        <v>13731</v>
      </c>
      <c r="L3009" t="s">
        <v>14096</v>
      </c>
    </row>
    <row r="3010" spans="1:12">
      <c r="A3010" t="s">
        <v>13732</v>
      </c>
      <c r="B3010" s="1" t="s">
        <v>13730</v>
      </c>
      <c r="F3010">
        <v>1</v>
      </c>
      <c r="G3010" t="str">
        <f>HYPERLINK("http://babel.hathitrust.org/cgi/pt?id=uc2.ark:/13960/t09w0cm3m")</f>
        <v>http://babel.hathitrust.org/cgi/pt?id=uc2.ark:/13960/t09w0cm3m</v>
      </c>
      <c r="H3010" t="str">
        <f>HYPERLINK("http://catalog.hathitrust.org/Record/005558465")</f>
        <v>http://catalog.hathitrust.org/Record/005558465</v>
      </c>
      <c r="J3010" s="1">
        <v>1820</v>
      </c>
      <c r="K3010" t="s">
        <v>13731</v>
      </c>
      <c r="L3010" t="s">
        <v>14096</v>
      </c>
    </row>
    <row r="3011" spans="1:12">
      <c r="A3011" t="s">
        <v>13733</v>
      </c>
      <c r="B3011" s="1" t="s">
        <v>13734</v>
      </c>
      <c r="F3011">
        <v>1</v>
      </c>
      <c r="G3011" t="str">
        <f>HYPERLINK("http://babel.hathitrust.org/cgi/pt?id=uc2.ark:/13960/t3rv0m63n")</f>
        <v>http://babel.hathitrust.org/cgi/pt?id=uc2.ark:/13960/t3rv0m63n</v>
      </c>
      <c r="H3011" t="str">
        <f>HYPERLINK("http://catalog.hathitrust.org/Record/005571146")</f>
        <v>http://catalog.hathitrust.org/Record/005571146</v>
      </c>
      <c r="J3011" s="1">
        <v>1892</v>
      </c>
      <c r="K3011" t="s">
        <v>13735</v>
      </c>
      <c r="L3011" t="s">
        <v>20026</v>
      </c>
    </row>
    <row r="3012" spans="1:12">
      <c r="A3012" t="s">
        <v>13736</v>
      </c>
      <c r="B3012" s="1" t="s">
        <v>13737</v>
      </c>
      <c r="F3012">
        <v>1</v>
      </c>
      <c r="G3012" t="str">
        <f>HYPERLINK("http://babel.hathitrust.org/cgi/pt?id=mdp.39015071314804")</f>
        <v>http://babel.hathitrust.org/cgi/pt?id=mdp.39015071314804</v>
      </c>
      <c r="H3012" t="str">
        <f>HYPERLINK("http://catalog.hathitrust.org/Record/005623285")</f>
        <v>http://catalog.hathitrust.org/Record/005623285</v>
      </c>
      <c r="J3012" s="1">
        <v>1945</v>
      </c>
      <c r="K3012" t="s">
        <v>13738</v>
      </c>
    </row>
    <row r="3013" spans="1:12">
      <c r="A3013" t="s">
        <v>13739</v>
      </c>
      <c r="B3013" s="1" t="s">
        <v>13740</v>
      </c>
      <c r="F3013">
        <v>1</v>
      </c>
      <c r="G3013" t="str">
        <f>HYPERLINK("http://babel.hathitrust.org/cgi/pt?id=uc1.b179516")</f>
        <v>http://babel.hathitrust.org/cgi/pt?id=uc1.b179516</v>
      </c>
      <c r="H3013" t="str">
        <f>HYPERLINK("http://catalog.hathitrust.org/Record/005697056")</f>
        <v>http://catalog.hathitrust.org/Record/005697056</v>
      </c>
      <c r="J3013" s="1">
        <v>1911</v>
      </c>
      <c r="K3013" t="s">
        <v>13741</v>
      </c>
      <c r="L3013" t="s">
        <v>13742</v>
      </c>
    </row>
    <row r="3014" spans="1:12">
      <c r="A3014" t="s">
        <v>13743</v>
      </c>
      <c r="B3014" s="1" t="s">
        <v>13740</v>
      </c>
      <c r="F3014">
        <v>1</v>
      </c>
      <c r="G3014" t="str">
        <f>HYPERLINK("http://babel.hathitrust.org/cgi/pt?id=uc2.ark:/13960/t7xk87d1r")</f>
        <v>http://babel.hathitrust.org/cgi/pt?id=uc2.ark:/13960/t7xk87d1r</v>
      </c>
      <c r="H3014" t="str">
        <f>HYPERLINK("http://catalog.hathitrust.org/Record/005697056")</f>
        <v>http://catalog.hathitrust.org/Record/005697056</v>
      </c>
      <c r="J3014" s="1">
        <v>1911</v>
      </c>
      <c r="K3014" t="s">
        <v>13741</v>
      </c>
      <c r="L3014" t="s">
        <v>13742</v>
      </c>
    </row>
    <row r="3015" spans="1:12">
      <c r="A3015" t="s">
        <v>13744</v>
      </c>
      <c r="B3015" s="1" t="s">
        <v>13740</v>
      </c>
      <c r="F3015">
        <v>1</v>
      </c>
      <c r="G3015" t="str">
        <f>HYPERLINK("http://babel.hathitrust.org/cgi/pt?id=wu.89094396157")</f>
        <v>http://babel.hathitrust.org/cgi/pt?id=wu.89094396157</v>
      </c>
      <c r="H3015" t="str">
        <f>HYPERLINK("http://catalog.hathitrust.org/Record/005697056")</f>
        <v>http://catalog.hathitrust.org/Record/005697056</v>
      </c>
      <c r="J3015" s="1">
        <v>1911</v>
      </c>
      <c r="K3015" t="s">
        <v>13741</v>
      </c>
      <c r="L3015" t="s">
        <v>13742</v>
      </c>
    </row>
    <row r="3016" spans="1:12">
      <c r="A3016" t="s">
        <v>13745</v>
      </c>
      <c r="B3016" s="1" t="s">
        <v>13746</v>
      </c>
      <c r="F3016">
        <v>1</v>
      </c>
      <c r="G3016" t="str">
        <f>HYPERLINK("http://babel.hathitrust.org/cgi/pt?id=uc1.b287854")</f>
        <v>http://babel.hathitrust.org/cgi/pt?id=uc1.b287854</v>
      </c>
      <c r="H3016" t="str">
        <f>HYPERLINK("http://catalog.hathitrust.org/Record/005715176")</f>
        <v>http://catalog.hathitrust.org/Record/005715176</v>
      </c>
      <c r="J3016" s="1">
        <v>1911</v>
      </c>
      <c r="K3016" t="s">
        <v>13747</v>
      </c>
      <c r="L3016" t="s">
        <v>15320</v>
      </c>
    </row>
    <row r="3017" spans="1:12">
      <c r="A3017" t="s">
        <v>13748</v>
      </c>
      <c r="B3017" s="1" t="s">
        <v>13746</v>
      </c>
      <c r="F3017">
        <v>1</v>
      </c>
      <c r="G3017" t="str">
        <f>HYPERLINK("http://babel.hathitrust.org/cgi/pt?id=uc2.ark:/13960/t8df6mq9p")</f>
        <v>http://babel.hathitrust.org/cgi/pt?id=uc2.ark:/13960/t8df6mq9p</v>
      </c>
      <c r="H3017" t="str">
        <f>HYPERLINK("http://catalog.hathitrust.org/Record/005715176")</f>
        <v>http://catalog.hathitrust.org/Record/005715176</v>
      </c>
      <c r="J3017" s="1">
        <v>1911</v>
      </c>
      <c r="K3017" t="s">
        <v>13747</v>
      </c>
      <c r="L3017" t="s">
        <v>15320</v>
      </c>
    </row>
    <row r="3018" spans="1:12">
      <c r="A3018" t="s">
        <v>13749</v>
      </c>
      <c r="B3018" s="1" t="s">
        <v>13746</v>
      </c>
      <c r="F3018">
        <v>1</v>
      </c>
      <c r="G3018" t="str">
        <f>HYPERLINK("http://babel.hathitrust.org/cgi/pt?id=wu.89083906321")</f>
        <v>http://babel.hathitrust.org/cgi/pt?id=wu.89083906321</v>
      </c>
      <c r="H3018" t="str">
        <f>HYPERLINK("http://catalog.hathitrust.org/Record/005715176")</f>
        <v>http://catalog.hathitrust.org/Record/005715176</v>
      </c>
      <c r="J3018" s="1">
        <v>1911</v>
      </c>
      <c r="K3018" t="s">
        <v>13747</v>
      </c>
      <c r="L3018" t="s">
        <v>15320</v>
      </c>
    </row>
    <row r="3019" spans="1:12">
      <c r="A3019" t="s">
        <v>13750</v>
      </c>
      <c r="B3019" s="1" t="s">
        <v>13751</v>
      </c>
      <c r="D3019">
        <v>1</v>
      </c>
      <c r="G3019" t="str">
        <f>HYPERLINK("http://babel.hathitrust.org/cgi/pt?id=wu.89037965498")</f>
        <v>http://babel.hathitrust.org/cgi/pt?id=wu.89037965498</v>
      </c>
      <c r="H3019" t="str">
        <f>HYPERLINK("http://catalog.hathitrust.org/Record/005716937")</f>
        <v>http://catalog.hathitrust.org/Record/005716937</v>
      </c>
      <c r="I3019" s="1" t="s">
        <v>20801</v>
      </c>
      <c r="J3019" s="1">
        <v>1909</v>
      </c>
      <c r="K3019" t="s">
        <v>16847</v>
      </c>
      <c r="L3019" t="s">
        <v>16848</v>
      </c>
    </row>
    <row r="3020" spans="1:12">
      <c r="A3020" t="s">
        <v>13752</v>
      </c>
      <c r="B3020" s="1" t="s">
        <v>13753</v>
      </c>
      <c r="E3020">
        <v>1</v>
      </c>
      <c r="G3020" t="str">
        <f>HYPERLINK("http://babel.hathitrust.org/cgi/pt?id=wu.89037965522")</f>
        <v>http://babel.hathitrust.org/cgi/pt?id=wu.89037965522</v>
      </c>
      <c r="H3020" t="str">
        <f>HYPERLINK("http://catalog.hathitrust.org/Record/005716940")</f>
        <v>http://catalog.hathitrust.org/Record/005716940</v>
      </c>
      <c r="I3020" s="1" t="s">
        <v>19040</v>
      </c>
      <c r="J3020" s="1">
        <v>1909</v>
      </c>
      <c r="K3020" t="s">
        <v>13754</v>
      </c>
      <c r="L3020" t="s">
        <v>16848</v>
      </c>
    </row>
    <row r="3021" spans="1:12">
      <c r="A3021" t="s">
        <v>13755</v>
      </c>
      <c r="B3021" s="1" t="s">
        <v>13756</v>
      </c>
      <c r="F3021">
        <v>1</v>
      </c>
      <c r="G3021" t="str">
        <f>HYPERLINK("http://babel.hathitrust.org/cgi/pt?id=loc.ark:/13960/t3708z54k")</f>
        <v>http://babel.hathitrust.org/cgi/pt?id=loc.ark:/13960/t3708z54k</v>
      </c>
      <c r="H3021" t="str">
        <f>HYPERLINK("http://catalog.hathitrust.org/Record/005723780")</f>
        <v>http://catalog.hathitrust.org/Record/005723780</v>
      </c>
      <c r="J3021" s="1">
        <v>1920</v>
      </c>
      <c r="K3021" t="s">
        <v>13757</v>
      </c>
      <c r="L3021" t="s">
        <v>13758</v>
      </c>
    </row>
    <row r="3022" spans="1:12">
      <c r="A3022" t="s">
        <v>13759</v>
      </c>
      <c r="B3022" s="1" t="s">
        <v>13756</v>
      </c>
      <c r="F3022">
        <v>1</v>
      </c>
      <c r="G3022" t="str">
        <f>HYPERLINK("http://babel.hathitrust.org/cgi/pt?id=uc1.b33579")</f>
        <v>http://babel.hathitrust.org/cgi/pt?id=uc1.b33579</v>
      </c>
      <c r="H3022" t="str">
        <f>HYPERLINK("http://catalog.hathitrust.org/Record/005723780")</f>
        <v>http://catalog.hathitrust.org/Record/005723780</v>
      </c>
      <c r="J3022" s="1">
        <v>1920</v>
      </c>
      <c r="K3022" t="s">
        <v>13757</v>
      </c>
      <c r="L3022" t="s">
        <v>13758</v>
      </c>
    </row>
    <row r="3023" spans="1:12">
      <c r="A3023" t="s">
        <v>13760</v>
      </c>
      <c r="B3023" s="1" t="s">
        <v>13756</v>
      </c>
      <c r="F3023">
        <v>1</v>
      </c>
      <c r="G3023" t="str">
        <f>HYPERLINK("http://babel.hathitrust.org/cgi/pt?id=uc2.ark:/13960/t94748759")</f>
        <v>http://babel.hathitrust.org/cgi/pt?id=uc2.ark:/13960/t94748759</v>
      </c>
      <c r="H3023" t="str">
        <f>HYPERLINK("http://catalog.hathitrust.org/Record/005723780")</f>
        <v>http://catalog.hathitrust.org/Record/005723780</v>
      </c>
      <c r="J3023" s="1">
        <v>1920</v>
      </c>
      <c r="K3023" t="s">
        <v>13757</v>
      </c>
      <c r="L3023" t="s">
        <v>13758</v>
      </c>
    </row>
    <row r="3024" spans="1:12">
      <c r="A3024" t="s">
        <v>13761</v>
      </c>
      <c r="B3024" s="1" t="s">
        <v>13756</v>
      </c>
      <c r="F3024">
        <v>1</v>
      </c>
      <c r="G3024" t="str">
        <f>HYPERLINK("http://babel.hathitrust.org/cgi/pt?id=wu.89047181920")</f>
        <v>http://babel.hathitrust.org/cgi/pt?id=wu.89047181920</v>
      </c>
      <c r="H3024" t="str">
        <f>HYPERLINK("http://catalog.hathitrust.org/Record/005723780")</f>
        <v>http://catalog.hathitrust.org/Record/005723780</v>
      </c>
      <c r="J3024" s="1">
        <v>1920</v>
      </c>
      <c r="K3024" t="s">
        <v>13757</v>
      </c>
      <c r="L3024" t="s">
        <v>13758</v>
      </c>
    </row>
    <row r="3025" spans="1:12">
      <c r="A3025" t="s">
        <v>13762</v>
      </c>
      <c r="B3025" s="1" t="s">
        <v>13756</v>
      </c>
      <c r="F3025">
        <v>1</v>
      </c>
      <c r="G3025" t="str">
        <f>HYPERLINK("http://babel.hathitrust.org/cgi/pt?id=wu.89083906610")</f>
        <v>http://babel.hathitrust.org/cgi/pt?id=wu.89083906610</v>
      </c>
      <c r="H3025" t="str">
        <f>HYPERLINK("http://catalog.hathitrust.org/Record/005723780")</f>
        <v>http://catalog.hathitrust.org/Record/005723780</v>
      </c>
      <c r="J3025" s="1">
        <v>1920</v>
      </c>
      <c r="K3025" t="s">
        <v>13757</v>
      </c>
      <c r="L3025" t="s">
        <v>13758</v>
      </c>
    </row>
    <row r="3026" spans="1:12">
      <c r="A3026" t="s">
        <v>13763</v>
      </c>
      <c r="B3026" s="1" t="s">
        <v>13764</v>
      </c>
      <c r="F3026">
        <v>1</v>
      </c>
      <c r="G3026" t="str">
        <f>HYPERLINK("http://babel.hathitrust.org/cgi/pt?id=wu.89011020914")</f>
        <v>http://babel.hathitrust.org/cgi/pt?id=wu.89011020914</v>
      </c>
      <c r="H3026" t="str">
        <f>HYPERLINK("http://catalog.hathitrust.org/Record/005726987")</f>
        <v>http://catalog.hathitrust.org/Record/005726987</v>
      </c>
      <c r="J3026" s="1">
        <v>1904</v>
      </c>
      <c r="K3026" t="s">
        <v>13765</v>
      </c>
      <c r="L3026" t="s">
        <v>13766</v>
      </c>
    </row>
    <row r="3027" spans="1:12">
      <c r="A3027" t="s">
        <v>13767</v>
      </c>
      <c r="B3027" s="1" t="s">
        <v>13768</v>
      </c>
      <c r="F3027">
        <v>1</v>
      </c>
      <c r="G3027" t="str">
        <f>HYPERLINK("http://babel.hathitrust.org/cgi/pt?id=uc1.b3126779")</f>
        <v>http://babel.hathitrust.org/cgi/pt?id=uc1.b3126779</v>
      </c>
      <c r="H3027" t="str">
        <f>HYPERLINK("http://catalog.hathitrust.org/Record/005735601")</f>
        <v>http://catalog.hathitrust.org/Record/005735601</v>
      </c>
      <c r="J3027" s="1">
        <v>1936</v>
      </c>
      <c r="K3027" t="s">
        <v>13769</v>
      </c>
      <c r="L3027" t="s">
        <v>13770</v>
      </c>
    </row>
    <row r="3028" spans="1:12">
      <c r="A3028" t="s">
        <v>13771</v>
      </c>
      <c r="B3028" s="1" t="s">
        <v>13768</v>
      </c>
      <c r="F3028">
        <v>1</v>
      </c>
      <c r="G3028" t="str">
        <f>HYPERLINK("http://babel.hathitrust.org/cgi/pt?id=wu.89083906669")</f>
        <v>http://babel.hathitrust.org/cgi/pt?id=wu.89083906669</v>
      </c>
      <c r="H3028" t="str">
        <f>HYPERLINK("http://catalog.hathitrust.org/Record/005735601")</f>
        <v>http://catalog.hathitrust.org/Record/005735601</v>
      </c>
      <c r="J3028" s="1">
        <v>1936</v>
      </c>
      <c r="K3028" t="s">
        <v>13769</v>
      </c>
      <c r="L3028" t="s">
        <v>13770</v>
      </c>
    </row>
    <row r="3029" spans="1:12">
      <c r="A3029" t="s">
        <v>13772</v>
      </c>
      <c r="B3029" s="1" t="s">
        <v>13773</v>
      </c>
      <c r="F3029">
        <v>1</v>
      </c>
      <c r="G3029" t="str">
        <f>HYPERLINK("http://babel.hathitrust.org/cgi/pt?id=wu.89083906917")</f>
        <v>http://babel.hathitrust.org/cgi/pt?id=wu.89083906917</v>
      </c>
      <c r="H3029" t="str">
        <f>HYPERLINK("http://catalog.hathitrust.org/Record/005735606")</f>
        <v>http://catalog.hathitrust.org/Record/005735606</v>
      </c>
      <c r="J3029" s="1">
        <v>1948</v>
      </c>
      <c r="K3029" t="s">
        <v>13774</v>
      </c>
    </row>
    <row r="3030" spans="1:12">
      <c r="A3030" t="s">
        <v>13775</v>
      </c>
      <c r="B3030" s="1" t="s">
        <v>13776</v>
      </c>
      <c r="F3030">
        <v>1</v>
      </c>
      <c r="G3030" t="str">
        <f>HYPERLINK("http://babel.hathitrust.org/cgi/pt?id=wu.89085970291")</f>
        <v>http://babel.hathitrust.org/cgi/pt?id=wu.89085970291</v>
      </c>
      <c r="H3030" t="str">
        <f>HYPERLINK("http://catalog.hathitrust.org/Record/005739504")</f>
        <v>http://catalog.hathitrust.org/Record/005739504</v>
      </c>
      <c r="J3030" s="1">
        <v>1918</v>
      </c>
      <c r="K3030" t="s">
        <v>13777</v>
      </c>
      <c r="L3030" t="s">
        <v>13778</v>
      </c>
    </row>
    <row r="3031" spans="1:12">
      <c r="A3031" t="s">
        <v>13651</v>
      </c>
      <c r="B3031" s="1" t="s">
        <v>13652</v>
      </c>
      <c r="F3031">
        <v>1</v>
      </c>
      <c r="G3031" t="str">
        <f>HYPERLINK("http://babel.hathitrust.org/cgi/pt?id=wu.89089004758")</f>
        <v>http://babel.hathitrust.org/cgi/pt?id=wu.89089004758</v>
      </c>
      <c r="H3031" t="str">
        <f>HYPERLINK("http://catalog.hathitrust.org/Record/005747880")</f>
        <v>http://catalog.hathitrust.org/Record/005747880</v>
      </c>
      <c r="J3031" s="1">
        <v>1900</v>
      </c>
      <c r="K3031" t="s">
        <v>13653</v>
      </c>
      <c r="L3031" t="s">
        <v>13654</v>
      </c>
    </row>
    <row r="3032" spans="1:12">
      <c r="A3032" t="s">
        <v>13655</v>
      </c>
      <c r="B3032" s="1" t="s">
        <v>13656</v>
      </c>
      <c r="F3032">
        <v>1</v>
      </c>
      <c r="G3032" t="str">
        <f>HYPERLINK("http://babel.hathitrust.org/cgi/pt?id=wu.89094357498")</f>
        <v>http://babel.hathitrust.org/cgi/pt?id=wu.89094357498</v>
      </c>
      <c r="H3032" t="str">
        <f>HYPERLINK("http://catalog.hathitrust.org/Record/005753521")</f>
        <v>http://catalog.hathitrust.org/Record/005753521</v>
      </c>
      <c r="J3032" s="1">
        <v>1871</v>
      </c>
      <c r="K3032" t="s">
        <v>13657</v>
      </c>
      <c r="L3032" t="s">
        <v>13658</v>
      </c>
    </row>
    <row r="3033" spans="1:12">
      <c r="A3033" t="s">
        <v>13659</v>
      </c>
      <c r="B3033" s="1" t="s">
        <v>13660</v>
      </c>
      <c r="E3033">
        <v>1</v>
      </c>
      <c r="G3033" t="str">
        <f>HYPERLINK("http://babel.hathitrust.org/cgi/pt?id=wu.89013483144")</f>
        <v>http://babel.hathitrust.org/cgi/pt?id=wu.89013483144</v>
      </c>
      <c r="H3033" t="str">
        <f>HYPERLINK("http://catalog.hathitrust.org/Record/005764102")</f>
        <v>http://catalog.hathitrust.org/Record/005764102</v>
      </c>
      <c r="J3033" s="1">
        <v>1898</v>
      </c>
      <c r="K3033" t="s">
        <v>13661</v>
      </c>
      <c r="L3033" t="s">
        <v>13662</v>
      </c>
    </row>
    <row r="3034" spans="1:12">
      <c r="A3034" t="s">
        <v>13663</v>
      </c>
      <c r="B3034" s="1" t="s">
        <v>13664</v>
      </c>
      <c r="F3034">
        <v>1</v>
      </c>
      <c r="G3034" t="str">
        <f>HYPERLINK("http://babel.hathitrust.org/cgi/pt?id=wu.89094623584")</f>
        <v>http://babel.hathitrust.org/cgi/pt?id=wu.89094623584</v>
      </c>
      <c r="H3034" t="str">
        <f>HYPERLINK("http://catalog.hathitrust.org/Record/005764490")</f>
        <v>http://catalog.hathitrust.org/Record/005764490</v>
      </c>
      <c r="J3034" s="1">
        <v>1944</v>
      </c>
      <c r="K3034" t="s">
        <v>13665</v>
      </c>
      <c r="L3034" t="s">
        <v>13666</v>
      </c>
    </row>
    <row r="3035" spans="1:12">
      <c r="A3035" t="s">
        <v>13667</v>
      </c>
      <c r="B3035" s="1" t="s">
        <v>13668</v>
      </c>
      <c r="F3035">
        <v>1</v>
      </c>
      <c r="G3035" t="str">
        <f>HYPERLINK("http://babel.hathitrust.org/cgi/pt?id=wu.89098851819")</f>
        <v>http://babel.hathitrust.org/cgi/pt?id=wu.89098851819</v>
      </c>
      <c r="H3035" t="str">
        <f>HYPERLINK("http://catalog.hathitrust.org/Record/005777080")</f>
        <v>http://catalog.hathitrust.org/Record/005777080</v>
      </c>
      <c r="J3035" s="1">
        <v>1884</v>
      </c>
      <c r="K3035" t="s">
        <v>13669</v>
      </c>
      <c r="L3035" t="s">
        <v>13670</v>
      </c>
    </row>
    <row r="3036" spans="1:12">
      <c r="A3036" t="s">
        <v>13671</v>
      </c>
      <c r="B3036" s="1" t="s">
        <v>13672</v>
      </c>
      <c r="F3036">
        <v>1</v>
      </c>
      <c r="G3036" t="str">
        <f>HYPERLINK("http://babel.hathitrust.org/cgi/pt?id=nyp.33433074838784")</f>
        <v>http://babel.hathitrust.org/cgi/pt?id=nyp.33433074838784</v>
      </c>
      <c r="H3036" t="str">
        <f>HYPERLINK("http://catalog.hathitrust.org/Record/005828571")</f>
        <v>http://catalog.hathitrust.org/Record/005828571</v>
      </c>
      <c r="J3036" s="1">
        <v>1839</v>
      </c>
      <c r="K3036" t="s">
        <v>13673</v>
      </c>
      <c r="L3036" t="s">
        <v>13674</v>
      </c>
    </row>
    <row r="3037" spans="1:12">
      <c r="A3037" t="s">
        <v>13675</v>
      </c>
      <c r="B3037" s="1" t="s">
        <v>13672</v>
      </c>
      <c r="F3037">
        <v>1</v>
      </c>
      <c r="G3037" t="str">
        <f>HYPERLINK("http://babel.hathitrust.org/cgi/pt?id=uc1.$b436676")</f>
        <v>http://babel.hathitrust.org/cgi/pt?id=uc1.$b436676</v>
      </c>
      <c r="H3037" t="str">
        <f>HYPERLINK("http://catalog.hathitrust.org/Record/005828571")</f>
        <v>http://catalog.hathitrust.org/Record/005828571</v>
      </c>
      <c r="J3037" s="1">
        <v>1839</v>
      </c>
      <c r="K3037" t="s">
        <v>13673</v>
      </c>
      <c r="L3037" t="s">
        <v>13674</v>
      </c>
    </row>
    <row r="3038" spans="1:12">
      <c r="A3038" t="s">
        <v>13676</v>
      </c>
      <c r="B3038" s="1" t="s">
        <v>13672</v>
      </c>
      <c r="F3038">
        <v>1</v>
      </c>
      <c r="G3038" t="str">
        <f>HYPERLINK("http://babel.hathitrust.org/cgi/pt?id=uc2.ark:/13960/t0cv4bq0w")</f>
        <v>http://babel.hathitrust.org/cgi/pt?id=uc2.ark:/13960/t0cv4bq0w</v>
      </c>
      <c r="H3038" t="str">
        <f>HYPERLINK("http://catalog.hathitrust.org/Record/005828571")</f>
        <v>http://catalog.hathitrust.org/Record/005828571</v>
      </c>
      <c r="J3038" s="1">
        <v>1839</v>
      </c>
      <c r="K3038" t="s">
        <v>13673</v>
      </c>
      <c r="L3038" t="s">
        <v>13674</v>
      </c>
    </row>
    <row r="3039" spans="1:12">
      <c r="A3039" t="s">
        <v>13677</v>
      </c>
      <c r="B3039" s="1" t="s">
        <v>13678</v>
      </c>
      <c r="F3039">
        <v>1</v>
      </c>
      <c r="G3039" t="str">
        <f>HYPERLINK("http://babel.hathitrust.org/cgi/pt?id=uc1.b4545579")</f>
        <v>http://babel.hathitrust.org/cgi/pt?id=uc1.b4545579</v>
      </c>
      <c r="H3039" t="str">
        <f>HYPERLINK("http://catalog.hathitrust.org/Record/005873372")</f>
        <v>http://catalog.hathitrust.org/Record/005873372</v>
      </c>
      <c r="J3039" s="1">
        <v>1918</v>
      </c>
      <c r="K3039" t="s">
        <v>20186</v>
      </c>
      <c r="L3039" t="s">
        <v>20187</v>
      </c>
    </row>
    <row r="3040" spans="1:12">
      <c r="A3040" t="s">
        <v>13679</v>
      </c>
      <c r="B3040" s="1" t="s">
        <v>13678</v>
      </c>
      <c r="F3040">
        <v>1</v>
      </c>
      <c r="G3040" t="str">
        <f>HYPERLINK("http://babel.hathitrust.org/cgi/pt?id=wu.89097339261")</f>
        <v>http://babel.hathitrust.org/cgi/pt?id=wu.89097339261</v>
      </c>
      <c r="H3040" t="str">
        <f>HYPERLINK("http://catalog.hathitrust.org/Record/005873372")</f>
        <v>http://catalog.hathitrust.org/Record/005873372</v>
      </c>
      <c r="J3040" s="1">
        <v>1918</v>
      </c>
      <c r="K3040" t="s">
        <v>20186</v>
      </c>
      <c r="L3040" t="s">
        <v>20187</v>
      </c>
    </row>
    <row r="3041" spans="1:12">
      <c r="A3041" t="s">
        <v>13680</v>
      </c>
      <c r="B3041" s="1" t="s">
        <v>13681</v>
      </c>
      <c r="F3041">
        <v>1</v>
      </c>
      <c r="G3041" t="str">
        <f>HYPERLINK("http://babel.hathitrust.org/cgi/pt?id=wu.89080123524")</f>
        <v>http://babel.hathitrust.org/cgi/pt?id=wu.89080123524</v>
      </c>
      <c r="H3041" t="str">
        <f>HYPERLINK("http://catalog.hathitrust.org/Record/005921629")</f>
        <v>http://catalog.hathitrust.org/Record/005921629</v>
      </c>
      <c r="J3041" s="1">
        <v>1888</v>
      </c>
      <c r="K3041" t="s">
        <v>13682</v>
      </c>
      <c r="L3041" t="s">
        <v>14746</v>
      </c>
    </row>
    <row r="3042" spans="1:12">
      <c r="A3042" t="s">
        <v>13683</v>
      </c>
      <c r="B3042" s="1" t="s">
        <v>13684</v>
      </c>
      <c r="F3042">
        <v>1</v>
      </c>
      <c r="G3042" t="str">
        <f>HYPERLINK("http://babel.hathitrust.org/cgi/pt?id=nyp.33433081982286")</f>
        <v>http://babel.hathitrust.org/cgi/pt?id=nyp.33433081982286</v>
      </c>
      <c r="H3042" t="str">
        <f>HYPERLINK("http://catalog.hathitrust.org/Record/005932783")</f>
        <v>http://catalog.hathitrust.org/Record/005932783</v>
      </c>
      <c r="I3042" s="1" t="s">
        <v>20799</v>
      </c>
      <c r="J3042" s="1">
        <v>1855</v>
      </c>
      <c r="K3042" t="s">
        <v>13685</v>
      </c>
      <c r="L3042" t="s">
        <v>19446</v>
      </c>
    </row>
    <row r="3043" spans="1:12">
      <c r="A3043" t="s">
        <v>13686</v>
      </c>
      <c r="B3043" s="1" t="s">
        <v>13684</v>
      </c>
      <c r="D3043">
        <v>1</v>
      </c>
      <c r="G3043" t="str">
        <f>HYPERLINK("http://babel.hathitrust.org/cgi/pt?id=uc1.$b616466")</f>
        <v>http://babel.hathitrust.org/cgi/pt?id=uc1.$b616466</v>
      </c>
      <c r="H3043" t="str">
        <f>HYPERLINK("http://catalog.hathitrust.org/Record/005932783")</f>
        <v>http://catalog.hathitrust.org/Record/005932783</v>
      </c>
      <c r="I3043" s="1" t="s">
        <v>20796</v>
      </c>
      <c r="J3043" s="1">
        <v>1855</v>
      </c>
      <c r="K3043" t="s">
        <v>13685</v>
      </c>
      <c r="L3043" t="s">
        <v>19446</v>
      </c>
    </row>
    <row r="3044" spans="1:12">
      <c r="A3044" t="s">
        <v>13687</v>
      </c>
      <c r="B3044" s="1" t="s">
        <v>13684</v>
      </c>
      <c r="D3044">
        <v>1</v>
      </c>
      <c r="G3044" t="str">
        <f>HYPERLINK("http://babel.hathitrust.org/cgi/pt?id=uc1.$b616467")</f>
        <v>http://babel.hathitrust.org/cgi/pt?id=uc1.$b616467</v>
      </c>
      <c r="H3044" t="str">
        <f>HYPERLINK("http://catalog.hathitrust.org/Record/005932783")</f>
        <v>http://catalog.hathitrust.org/Record/005932783</v>
      </c>
      <c r="I3044" s="1" t="s">
        <v>20799</v>
      </c>
      <c r="J3044" s="1">
        <v>1855</v>
      </c>
      <c r="K3044" t="s">
        <v>13685</v>
      </c>
      <c r="L3044" t="s">
        <v>19446</v>
      </c>
    </row>
    <row r="3045" spans="1:12">
      <c r="A3045" t="s">
        <v>13688</v>
      </c>
      <c r="B3045" s="1" t="s">
        <v>13684</v>
      </c>
      <c r="F3045">
        <v>1</v>
      </c>
      <c r="G3045" t="str">
        <f>HYPERLINK("http://babel.hathitrust.org/cgi/pt?id=uc2.ark:/13960/t74t6kk62")</f>
        <v>http://babel.hathitrust.org/cgi/pt?id=uc2.ark:/13960/t74t6kk62</v>
      </c>
      <c r="H3045" t="str">
        <f>HYPERLINK("http://catalog.hathitrust.org/Record/005932783")</f>
        <v>http://catalog.hathitrust.org/Record/005932783</v>
      </c>
      <c r="I3045" s="1" t="s">
        <v>20755</v>
      </c>
      <c r="J3045" s="1">
        <v>1855</v>
      </c>
      <c r="K3045" t="s">
        <v>13685</v>
      </c>
      <c r="L3045" t="s">
        <v>19446</v>
      </c>
    </row>
    <row r="3046" spans="1:12">
      <c r="A3046" t="s">
        <v>13689</v>
      </c>
      <c r="B3046" s="1" t="s">
        <v>13690</v>
      </c>
      <c r="E3046">
        <v>1</v>
      </c>
      <c r="G3046" t="str">
        <f>HYPERLINK("http://babel.hathitrust.org/cgi/pt?id=njp.32101067483501")</f>
        <v>http://babel.hathitrust.org/cgi/pt?id=njp.32101067483501</v>
      </c>
      <c r="H3046" t="str">
        <f>HYPERLINK("http://catalog.hathitrust.org/Record/005934640")</f>
        <v>http://catalog.hathitrust.org/Record/005934640</v>
      </c>
      <c r="J3046" s="1">
        <v>1809</v>
      </c>
      <c r="K3046" t="s">
        <v>13691</v>
      </c>
      <c r="L3046" t="s">
        <v>20043</v>
      </c>
    </row>
    <row r="3047" spans="1:12">
      <c r="A3047" t="s">
        <v>13692</v>
      </c>
      <c r="B3047" s="1" t="s">
        <v>13693</v>
      </c>
      <c r="F3047">
        <v>1</v>
      </c>
      <c r="G3047" t="str">
        <f>HYPERLINK("http://babel.hathitrust.org/cgi/pt?id=mdp.39015071701689")</f>
        <v>http://babel.hathitrust.org/cgi/pt?id=mdp.39015071701689</v>
      </c>
      <c r="H3047" t="str">
        <f>HYPERLINK("http://catalog.hathitrust.org/Record/005938322")</f>
        <v>http://catalog.hathitrust.org/Record/005938322</v>
      </c>
      <c r="J3047" s="1">
        <v>1935</v>
      </c>
      <c r="K3047" t="s">
        <v>14102</v>
      </c>
      <c r="L3047" t="s">
        <v>14103</v>
      </c>
    </row>
    <row r="3048" spans="1:12">
      <c r="A3048" t="s">
        <v>13694</v>
      </c>
      <c r="B3048" s="1" t="s">
        <v>13695</v>
      </c>
      <c r="E3048">
        <v>1</v>
      </c>
      <c r="G3048" t="str">
        <f>HYPERLINK("http://babel.hathitrust.org/cgi/pt?id=inu.32000009469125")</f>
        <v>http://babel.hathitrust.org/cgi/pt?id=inu.32000009469125</v>
      </c>
      <c r="H3048" t="str">
        <f>HYPERLINK("http://catalog.hathitrust.org/Record/006034111")</f>
        <v>http://catalog.hathitrust.org/Record/006034111</v>
      </c>
      <c r="J3048" s="1">
        <v>1842</v>
      </c>
      <c r="K3048" t="s">
        <v>13696</v>
      </c>
      <c r="L3048" t="s">
        <v>13697</v>
      </c>
    </row>
    <row r="3049" spans="1:12">
      <c r="A3049" t="s">
        <v>13698</v>
      </c>
      <c r="B3049" s="1" t="s">
        <v>13699</v>
      </c>
      <c r="F3049">
        <v>1</v>
      </c>
      <c r="G3049" t="str">
        <f>HYPERLINK("http://babel.hathitrust.org/cgi/pt?id=inu.32000007478144")</f>
        <v>http://babel.hathitrust.org/cgi/pt?id=inu.32000007478144</v>
      </c>
      <c r="H3049" t="str">
        <f>HYPERLINK("http://catalog.hathitrust.org/Record/006054016")</f>
        <v>http://catalog.hathitrust.org/Record/006054016</v>
      </c>
      <c r="J3049" s="1">
        <v>1915</v>
      </c>
      <c r="K3049" t="s">
        <v>13700</v>
      </c>
      <c r="L3049" t="s">
        <v>17385</v>
      </c>
    </row>
    <row r="3050" spans="1:12">
      <c r="A3050" t="s">
        <v>13701</v>
      </c>
      <c r="B3050" s="1" t="s">
        <v>13702</v>
      </c>
      <c r="F3050">
        <v>1</v>
      </c>
      <c r="G3050" t="str">
        <f>HYPERLINK("http://babel.hathitrust.org/cgi/pt?id=uc2.ark:/13960/t56d5t71m")</f>
        <v>http://babel.hathitrust.org/cgi/pt?id=uc2.ark:/13960/t56d5t71m</v>
      </c>
      <c r="H3050" t="str">
        <f>HYPERLINK("http://catalog.hathitrust.org/Record/006054748")</f>
        <v>http://catalog.hathitrust.org/Record/006054748</v>
      </c>
      <c r="I3050" s="1" t="s">
        <v>18595</v>
      </c>
      <c r="J3050" s="1">
        <v>1877</v>
      </c>
      <c r="K3050" t="s">
        <v>13703</v>
      </c>
      <c r="L3050" t="s">
        <v>17914</v>
      </c>
    </row>
    <row r="3051" spans="1:12">
      <c r="A3051" t="s">
        <v>13704</v>
      </c>
      <c r="B3051" s="1" t="s">
        <v>13702</v>
      </c>
      <c r="F3051">
        <v>1</v>
      </c>
      <c r="G3051" t="str">
        <f>HYPERLINK("http://babel.hathitrust.org/cgi/pt?id=uc2.ark:/13960/t7br8rg6q")</f>
        <v>http://babel.hathitrust.org/cgi/pt?id=uc2.ark:/13960/t7br8rg6q</v>
      </c>
      <c r="H3051" t="str">
        <f>HYPERLINK("http://catalog.hathitrust.org/Record/006054748")</f>
        <v>http://catalog.hathitrust.org/Record/006054748</v>
      </c>
      <c r="I3051" s="1" t="s">
        <v>19351</v>
      </c>
      <c r="J3051" s="1">
        <v>1877</v>
      </c>
      <c r="K3051" t="s">
        <v>13703</v>
      </c>
      <c r="L3051" t="s">
        <v>17914</v>
      </c>
    </row>
    <row r="3052" spans="1:12">
      <c r="A3052" t="s">
        <v>13705</v>
      </c>
      <c r="B3052" s="1" t="s">
        <v>13706</v>
      </c>
      <c r="F3052">
        <v>1</v>
      </c>
      <c r="G3052" t="str">
        <f>HYPERLINK("http://babel.hathitrust.org/cgi/pt?id=inu.39000002419484")</f>
        <v>http://babel.hathitrust.org/cgi/pt?id=inu.39000002419484</v>
      </c>
      <c r="H3052" t="str">
        <f>HYPERLINK("http://catalog.hathitrust.org/Record/006054762")</f>
        <v>http://catalog.hathitrust.org/Record/006054762</v>
      </c>
      <c r="J3052" s="1">
        <v>1915</v>
      </c>
      <c r="K3052" t="s">
        <v>20649</v>
      </c>
      <c r="L3052" t="s">
        <v>20650</v>
      </c>
    </row>
    <row r="3053" spans="1:12">
      <c r="A3053" t="s">
        <v>13707</v>
      </c>
      <c r="B3053" s="1" t="s">
        <v>13708</v>
      </c>
      <c r="F3053">
        <v>1</v>
      </c>
      <c r="G3053" t="str">
        <f>HYPERLINK("http://babel.hathitrust.org/cgi/pt?id=inu.39000001470173")</f>
        <v>http://babel.hathitrust.org/cgi/pt?id=inu.39000001470173</v>
      </c>
      <c r="H3053" t="str">
        <f>HYPERLINK("http://catalog.hathitrust.org/Record/006054763")</f>
        <v>http://catalog.hathitrust.org/Record/006054763</v>
      </c>
      <c r="J3053" s="1">
        <v>1911</v>
      </c>
      <c r="K3053" t="s">
        <v>20649</v>
      </c>
      <c r="L3053" t="s">
        <v>20650</v>
      </c>
    </row>
    <row r="3054" spans="1:12">
      <c r="A3054" t="s">
        <v>13709</v>
      </c>
      <c r="B3054" s="1" t="s">
        <v>13710</v>
      </c>
      <c r="F3054">
        <v>1</v>
      </c>
      <c r="G3054" t="str">
        <f>HYPERLINK("http://babel.hathitrust.org/cgi/pt?id=inu.39000000145347")</f>
        <v>http://babel.hathitrust.org/cgi/pt?id=inu.39000000145347</v>
      </c>
      <c r="H3054" t="str">
        <f>HYPERLINK("http://catalog.hathitrust.org/Record/006054764")</f>
        <v>http://catalog.hathitrust.org/Record/006054764</v>
      </c>
      <c r="J3054" s="1">
        <v>1901</v>
      </c>
      <c r="K3054" t="s">
        <v>20649</v>
      </c>
      <c r="L3054" t="s">
        <v>20650</v>
      </c>
    </row>
    <row r="3055" spans="1:12">
      <c r="A3055" t="s">
        <v>13711</v>
      </c>
      <c r="B3055" s="1" t="s">
        <v>13712</v>
      </c>
      <c r="F3055">
        <v>1</v>
      </c>
      <c r="G3055" t="str">
        <f>HYPERLINK("http://babel.hathitrust.org/cgi/pt?id=inu.30000053832469")</f>
        <v>http://babel.hathitrust.org/cgi/pt?id=inu.30000053832469</v>
      </c>
      <c r="H3055" t="str">
        <f>HYPERLINK("http://catalog.hathitrust.org/Record/006054765")</f>
        <v>http://catalog.hathitrust.org/Record/006054765</v>
      </c>
      <c r="J3055" s="1">
        <v>1856</v>
      </c>
      <c r="K3055" t="s">
        <v>13713</v>
      </c>
      <c r="L3055" t="s">
        <v>13714</v>
      </c>
    </row>
    <row r="3056" spans="1:12">
      <c r="A3056" t="s">
        <v>13599</v>
      </c>
      <c r="B3056" s="1" t="s">
        <v>13600</v>
      </c>
      <c r="F3056">
        <v>1</v>
      </c>
      <c r="G3056" t="str">
        <f>HYPERLINK("http://babel.hathitrust.org/cgi/pt?id=inu.32000006890950")</f>
        <v>http://babel.hathitrust.org/cgi/pt?id=inu.32000006890950</v>
      </c>
      <c r="H3056" t="str">
        <f>HYPERLINK("http://catalog.hathitrust.org/Record/006054797")</f>
        <v>http://catalog.hathitrust.org/Record/006054797</v>
      </c>
      <c r="J3056" s="1">
        <v>1919</v>
      </c>
      <c r="K3056" t="s">
        <v>13601</v>
      </c>
      <c r="L3056" t="s">
        <v>13602</v>
      </c>
    </row>
    <row r="3057" spans="1:12">
      <c r="A3057" t="s">
        <v>13603</v>
      </c>
      <c r="B3057" s="1" t="s">
        <v>13600</v>
      </c>
      <c r="F3057">
        <v>1</v>
      </c>
      <c r="G3057" t="str">
        <f>HYPERLINK("http://babel.hathitrust.org/cgi/pt?id=uc2.ark:/13960/t1xd13j7r")</f>
        <v>http://babel.hathitrust.org/cgi/pt?id=uc2.ark:/13960/t1xd13j7r</v>
      </c>
      <c r="H3057" t="str">
        <f>HYPERLINK("http://catalog.hathitrust.org/Record/006054797")</f>
        <v>http://catalog.hathitrust.org/Record/006054797</v>
      </c>
      <c r="J3057" s="1">
        <v>1919</v>
      </c>
      <c r="K3057" t="s">
        <v>13601</v>
      </c>
      <c r="L3057" t="s">
        <v>13602</v>
      </c>
    </row>
    <row r="3058" spans="1:12">
      <c r="A3058" t="s">
        <v>13604</v>
      </c>
      <c r="B3058" s="1" t="s">
        <v>13605</v>
      </c>
      <c r="F3058">
        <v>1</v>
      </c>
      <c r="G3058" t="str">
        <f>HYPERLINK("http://babel.hathitrust.org/cgi/pt?id=inu.32000006890968")</f>
        <v>http://babel.hathitrust.org/cgi/pt?id=inu.32000006890968</v>
      </c>
      <c r="H3058" t="str">
        <f>HYPERLINK("http://catalog.hathitrust.org/Record/006054799")</f>
        <v>http://catalog.hathitrust.org/Record/006054799</v>
      </c>
      <c r="J3058" s="1">
        <v>1919</v>
      </c>
      <c r="K3058" t="s">
        <v>13606</v>
      </c>
      <c r="L3058" t="s">
        <v>13607</v>
      </c>
    </row>
    <row r="3059" spans="1:12">
      <c r="A3059" t="s">
        <v>13608</v>
      </c>
      <c r="B3059" s="1" t="s">
        <v>13605</v>
      </c>
      <c r="F3059">
        <v>1</v>
      </c>
      <c r="G3059" t="str">
        <f>HYPERLINK("http://babel.hathitrust.org/cgi/pt?id=njp.32101072898602")</f>
        <v>http://babel.hathitrust.org/cgi/pt?id=njp.32101072898602</v>
      </c>
      <c r="H3059" t="str">
        <f>HYPERLINK("http://catalog.hathitrust.org/Record/006054799")</f>
        <v>http://catalog.hathitrust.org/Record/006054799</v>
      </c>
      <c r="J3059" s="1">
        <v>1919</v>
      </c>
      <c r="K3059" t="s">
        <v>13606</v>
      </c>
      <c r="L3059" t="s">
        <v>13607</v>
      </c>
    </row>
    <row r="3060" spans="1:12">
      <c r="A3060" t="s">
        <v>13609</v>
      </c>
      <c r="B3060" s="1" t="s">
        <v>13610</v>
      </c>
      <c r="F3060">
        <v>1</v>
      </c>
      <c r="G3060" t="str">
        <f>HYPERLINK("http://babel.hathitrust.org/cgi/pt?id=inu.30000005037720")</f>
        <v>http://babel.hathitrust.org/cgi/pt?id=inu.30000005037720</v>
      </c>
      <c r="H3060" t="str">
        <f>HYPERLINK("http://catalog.hathitrust.org/Record/006054801")</f>
        <v>http://catalog.hathitrust.org/Record/006054801</v>
      </c>
      <c r="J3060" s="1">
        <v>1919</v>
      </c>
      <c r="K3060" t="s">
        <v>13611</v>
      </c>
      <c r="L3060" t="s">
        <v>17653</v>
      </c>
    </row>
    <row r="3061" spans="1:12">
      <c r="A3061" t="s">
        <v>13612</v>
      </c>
      <c r="B3061" s="1" t="s">
        <v>13613</v>
      </c>
      <c r="F3061">
        <v>1</v>
      </c>
      <c r="G3061" t="str">
        <f>HYPERLINK("http://babel.hathitrust.org/cgi/pt?id=inu.30000011328907")</f>
        <v>http://babel.hathitrust.org/cgi/pt?id=inu.30000011328907</v>
      </c>
      <c r="H3061" t="str">
        <f>HYPERLINK("http://catalog.hathitrust.org/Record/006057092")</f>
        <v>http://catalog.hathitrust.org/Record/006057092</v>
      </c>
      <c r="I3061" s="1" t="s">
        <v>20755</v>
      </c>
      <c r="J3061" s="1">
        <v>1872</v>
      </c>
      <c r="K3061" t="s">
        <v>13614</v>
      </c>
      <c r="L3061" t="s">
        <v>13615</v>
      </c>
    </row>
    <row r="3062" spans="1:12">
      <c r="A3062" t="s">
        <v>13616</v>
      </c>
      <c r="B3062" s="1" t="s">
        <v>13613</v>
      </c>
      <c r="F3062">
        <v>1</v>
      </c>
      <c r="G3062" t="str">
        <f>HYPERLINK("http://babel.hathitrust.org/cgi/pt?id=uc1.b3565706")</f>
        <v>http://babel.hathitrust.org/cgi/pt?id=uc1.b3565706</v>
      </c>
      <c r="H3062" t="str">
        <f>HYPERLINK("http://catalog.hathitrust.org/Record/006057092")</f>
        <v>http://catalog.hathitrust.org/Record/006057092</v>
      </c>
      <c r="I3062" s="1" t="s">
        <v>13617</v>
      </c>
      <c r="J3062" s="1">
        <v>1872</v>
      </c>
      <c r="K3062" t="s">
        <v>13614</v>
      </c>
      <c r="L3062" t="s">
        <v>13615</v>
      </c>
    </row>
    <row r="3063" spans="1:12">
      <c r="A3063" t="s">
        <v>13618</v>
      </c>
      <c r="B3063" s="1" t="s">
        <v>13613</v>
      </c>
      <c r="F3063">
        <v>1</v>
      </c>
      <c r="G3063" t="str">
        <f>HYPERLINK("http://babel.hathitrust.org/cgi/pt?id=uc1.b4110262")</f>
        <v>http://babel.hathitrust.org/cgi/pt?id=uc1.b4110262</v>
      </c>
      <c r="H3063" t="str">
        <f>HYPERLINK("http://catalog.hathitrust.org/Record/006057092")</f>
        <v>http://catalog.hathitrust.org/Record/006057092</v>
      </c>
      <c r="I3063" s="1" t="s">
        <v>20916</v>
      </c>
      <c r="J3063" s="1">
        <v>1872</v>
      </c>
      <c r="K3063" t="s">
        <v>13614</v>
      </c>
      <c r="L3063" t="s">
        <v>13615</v>
      </c>
    </row>
    <row r="3064" spans="1:12">
      <c r="A3064" t="s">
        <v>13619</v>
      </c>
      <c r="B3064" s="1" t="s">
        <v>13620</v>
      </c>
      <c r="D3064">
        <v>1</v>
      </c>
      <c r="G3064" t="str">
        <f>HYPERLINK("http://babel.hathitrust.org/cgi/pt?id=inu.39000004516766")</f>
        <v>http://babel.hathitrust.org/cgi/pt?id=inu.39000004516766</v>
      </c>
      <c r="H3064" t="str">
        <f>HYPERLINK("http://catalog.hathitrust.org/Record/006057684")</f>
        <v>http://catalog.hathitrust.org/Record/006057684</v>
      </c>
      <c r="J3064" s="1">
        <v>1851</v>
      </c>
      <c r="K3064" t="s">
        <v>13621</v>
      </c>
      <c r="L3064" t="s">
        <v>20256</v>
      </c>
    </row>
    <row r="3065" spans="1:12">
      <c r="A3065" t="s">
        <v>13622</v>
      </c>
      <c r="B3065" s="1" t="s">
        <v>13623</v>
      </c>
      <c r="D3065">
        <v>1</v>
      </c>
      <c r="G3065" t="str">
        <f>HYPERLINK("http://babel.hathitrust.org/cgi/pt?id=inu.30000079451955")</f>
        <v>http://babel.hathitrust.org/cgi/pt?id=inu.30000079451955</v>
      </c>
      <c r="H3065" t="str">
        <f>HYPERLINK("http://catalog.hathitrust.org/Record/006057691")</f>
        <v>http://catalog.hathitrust.org/Record/006057691</v>
      </c>
      <c r="J3065" s="1">
        <v>1920</v>
      </c>
      <c r="K3065" t="s">
        <v>13624</v>
      </c>
      <c r="L3065" t="s">
        <v>13625</v>
      </c>
    </row>
    <row r="3066" spans="1:12">
      <c r="A3066" t="s">
        <v>13626</v>
      </c>
      <c r="B3066" s="1" t="s">
        <v>13627</v>
      </c>
      <c r="E3066">
        <v>1</v>
      </c>
      <c r="G3066" t="str">
        <f>HYPERLINK("http://babel.hathitrust.org/cgi/pt?id=inu.32000006449682")</f>
        <v>http://babel.hathitrust.org/cgi/pt?id=inu.32000006449682</v>
      </c>
      <c r="H3066" t="str">
        <f>HYPERLINK("http://catalog.hathitrust.org/Record/006057714")</f>
        <v>http://catalog.hathitrust.org/Record/006057714</v>
      </c>
      <c r="J3066" s="1">
        <v>1923</v>
      </c>
      <c r="K3066" t="s">
        <v>13628</v>
      </c>
      <c r="L3066" t="s">
        <v>20485</v>
      </c>
    </row>
    <row r="3067" spans="1:12">
      <c r="A3067" t="s">
        <v>13629</v>
      </c>
      <c r="B3067" s="1" t="s">
        <v>13630</v>
      </c>
      <c r="E3067">
        <v>1</v>
      </c>
      <c r="G3067" t="str">
        <f>HYPERLINK("http://babel.hathitrust.org/cgi/pt?id=inu.32000000103962")</f>
        <v>http://babel.hathitrust.org/cgi/pt?id=inu.32000000103962</v>
      </c>
      <c r="H3067" t="str">
        <f>HYPERLINK("http://catalog.hathitrust.org/Record/006058002")</f>
        <v>http://catalog.hathitrust.org/Record/006058002</v>
      </c>
      <c r="J3067" s="1">
        <v>1899</v>
      </c>
      <c r="K3067" t="s">
        <v>13631</v>
      </c>
      <c r="L3067" t="s">
        <v>20331</v>
      </c>
    </row>
    <row r="3068" spans="1:12">
      <c r="A3068" t="s">
        <v>13632</v>
      </c>
      <c r="B3068" s="1" t="s">
        <v>13633</v>
      </c>
      <c r="F3068">
        <v>1</v>
      </c>
      <c r="G3068" t="str">
        <f>HYPERLINK("http://babel.hathitrust.org/cgi/pt?id=inu.32000006464129")</f>
        <v>http://babel.hathitrust.org/cgi/pt?id=inu.32000006464129</v>
      </c>
      <c r="H3068" t="str">
        <f>HYPERLINK("http://catalog.hathitrust.org/Record/006058403")</f>
        <v>http://catalog.hathitrust.org/Record/006058403</v>
      </c>
      <c r="J3068" s="1">
        <v>1920</v>
      </c>
      <c r="K3068" t="s">
        <v>13634</v>
      </c>
      <c r="L3068" t="s">
        <v>20297</v>
      </c>
    </row>
    <row r="3069" spans="1:12">
      <c r="A3069" t="s">
        <v>13635</v>
      </c>
      <c r="B3069" s="1" t="s">
        <v>13636</v>
      </c>
      <c r="E3069">
        <v>1</v>
      </c>
      <c r="G3069" t="str">
        <f>HYPERLINK("http://babel.hathitrust.org/cgi/pt?id=inu.32000005659364")</f>
        <v>http://babel.hathitrust.org/cgi/pt?id=inu.32000005659364</v>
      </c>
      <c r="H3069" t="str">
        <f>HYPERLINK("http://catalog.hathitrust.org/Record/006058492")</f>
        <v>http://catalog.hathitrust.org/Record/006058492</v>
      </c>
      <c r="J3069" s="1">
        <v>1878</v>
      </c>
      <c r="K3069" t="s">
        <v>13637</v>
      </c>
      <c r="L3069" t="s">
        <v>20904</v>
      </c>
    </row>
    <row r="3070" spans="1:12">
      <c r="A3070" t="s">
        <v>13638</v>
      </c>
      <c r="B3070" s="1" t="s">
        <v>13639</v>
      </c>
      <c r="F3070">
        <v>1</v>
      </c>
      <c r="G3070" t="str">
        <f>HYPERLINK("http://babel.hathitrust.org/cgi/pt?id=inu.30000005470244")</f>
        <v>http://babel.hathitrust.org/cgi/pt?id=inu.30000005470244</v>
      </c>
      <c r="H3070" t="str">
        <f>HYPERLINK("http://catalog.hathitrust.org/Record/006058573")</f>
        <v>http://catalog.hathitrust.org/Record/006058573</v>
      </c>
      <c r="J3070" s="1">
        <v>1870</v>
      </c>
      <c r="K3070" t="s">
        <v>13640</v>
      </c>
      <c r="L3070" t="s">
        <v>20086</v>
      </c>
    </row>
    <row r="3071" spans="1:12">
      <c r="A3071" t="s">
        <v>13641</v>
      </c>
      <c r="B3071" s="1" t="s">
        <v>13642</v>
      </c>
      <c r="E3071">
        <v>1</v>
      </c>
      <c r="G3071" t="str">
        <f>HYPERLINK("http://babel.hathitrust.org/cgi/pt?id=inu.30000047616150")</f>
        <v>http://babel.hathitrust.org/cgi/pt?id=inu.30000047616150</v>
      </c>
      <c r="H3071" t="str">
        <f>HYPERLINK("http://catalog.hathitrust.org/Record/006058976")</f>
        <v>http://catalog.hathitrust.org/Record/006058976</v>
      </c>
      <c r="J3071" s="1">
        <v>1891</v>
      </c>
      <c r="K3071" t="s">
        <v>13643</v>
      </c>
      <c r="L3071" t="s">
        <v>20981</v>
      </c>
    </row>
    <row r="3072" spans="1:12">
      <c r="A3072" t="s">
        <v>13644</v>
      </c>
      <c r="B3072" s="1" t="s">
        <v>13645</v>
      </c>
      <c r="E3072">
        <v>1</v>
      </c>
      <c r="G3072" t="str">
        <f>HYPERLINK("http://babel.hathitrust.org/cgi/pt?id=inu.39000003784506")</f>
        <v>http://babel.hathitrust.org/cgi/pt?id=inu.39000003784506</v>
      </c>
      <c r="H3072" t="str">
        <f>HYPERLINK("http://catalog.hathitrust.org/Record/006059205")</f>
        <v>http://catalog.hathitrust.org/Record/006059205</v>
      </c>
      <c r="J3072" s="1">
        <v>1910</v>
      </c>
      <c r="K3072" t="s">
        <v>13646</v>
      </c>
      <c r="L3072" t="s">
        <v>20675</v>
      </c>
    </row>
    <row r="3073" spans="1:12">
      <c r="A3073" t="s">
        <v>13647</v>
      </c>
      <c r="B3073" s="1" t="s">
        <v>13648</v>
      </c>
      <c r="E3073">
        <v>1</v>
      </c>
      <c r="G3073" t="str">
        <f>HYPERLINK("http://babel.hathitrust.org/cgi/pt?id=inu.32000004513109")</f>
        <v>http://babel.hathitrust.org/cgi/pt?id=inu.32000004513109</v>
      </c>
      <c r="H3073" t="str">
        <f>HYPERLINK("http://catalog.hathitrust.org/Record/006059264")</f>
        <v>http://catalog.hathitrust.org/Record/006059264</v>
      </c>
      <c r="J3073" s="1">
        <v>1909</v>
      </c>
      <c r="K3073" t="s">
        <v>13649</v>
      </c>
      <c r="L3073" t="s">
        <v>13650</v>
      </c>
    </row>
    <row r="3074" spans="1:12">
      <c r="A3074" t="s">
        <v>13543</v>
      </c>
      <c r="B3074" s="1" t="s">
        <v>13544</v>
      </c>
      <c r="E3074">
        <v>1</v>
      </c>
      <c r="F3074">
        <v>1</v>
      </c>
      <c r="G3074" t="str">
        <f>HYPERLINK("http://babel.hathitrust.org/cgi/pt?id=inu.32000007692363")</f>
        <v>http://babel.hathitrust.org/cgi/pt?id=inu.32000007692363</v>
      </c>
      <c r="H3074" t="str">
        <f>HYPERLINK("http://catalog.hathitrust.org/Record/006060075")</f>
        <v>http://catalog.hathitrust.org/Record/006060075</v>
      </c>
      <c r="J3074" s="1">
        <v>1884</v>
      </c>
      <c r="K3074" t="s">
        <v>13545</v>
      </c>
      <c r="L3074" t="s">
        <v>20297</v>
      </c>
    </row>
    <row r="3075" spans="1:12">
      <c r="A3075" t="s">
        <v>13546</v>
      </c>
      <c r="B3075" s="1" t="s">
        <v>13547</v>
      </c>
      <c r="F3075">
        <v>1</v>
      </c>
      <c r="G3075" t="str">
        <f>HYPERLINK("http://babel.hathitrust.org/cgi/pt?id=uc2.ark:/13960/t7rn33f3r")</f>
        <v>http://babel.hathitrust.org/cgi/pt?id=uc2.ark:/13960/t7rn33f3r</v>
      </c>
      <c r="H3075" t="str">
        <f>HYPERLINK("http://catalog.hathitrust.org/Record/006064031")</f>
        <v>http://catalog.hathitrust.org/Record/006064031</v>
      </c>
      <c r="J3075" s="1">
        <v>1912</v>
      </c>
      <c r="K3075" t="s">
        <v>13548</v>
      </c>
      <c r="L3075" t="s">
        <v>13724</v>
      </c>
    </row>
    <row r="3076" spans="1:12">
      <c r="A3076" t="s">
        <v>13549</v>
      </c>
      <c r="B3076" s="1" t="s">
        <v>13550</v>
      </c>
      <c r="E3076">
        <v>1</v>
      </c>
      <c r="F3076">
        <v>1</v>
      </c>
      <c r="G3076" t="str">
        <f>HYPERLINK("http://babel.hathitrust.org/cgi/pt?id=uc1.b525120")</f>
        <v>http://babel.hathitrust.org/cgi/pt?id=uc1.b525120</v>
      </c>
      <c r="H3076" t="str">
        <f>HYPERLINK("http://catalog.hathitrust.org/Record/006085115")</f>
        <v>http://catalog.hathitrust.org/Record/006085115</v>
      </c>
      <c r="J3076" s="1">
        <v>1868</v>
      </c>
      <c r="K3076" t="s">
        <v>13551</v>
      </c>
      <c r="L3076" t="s">
        <v>13552</v>
      </c>
    </row>
    <row r="3077" spans="1:12">
      <c r="A3077" t="s">
        <v>13553</v>
      </c>
      <c r="B3077" s="1" t="s">
        <v>13554</v>
      </c>
      <c r="F3077">
        <v>1</v>
      </c>
      <c r="G3077" t="str">
        <f>HYPERLINK("http://babel.hathitrust.org/cgi/pt?id=uc1.b602629")</f>
        <v>http://babel.hathitrust.org/cgi/pt?id=uc1.b602629</v>
      </c>
      <c r="H3077" t="str">
        <f>HYPERLINK("http://catalog.hathitrust.org/Record/006092991")</f>
        <v>http://catalog.hathitrust.org/Record/006092991</v>
      </c>
      <c r="J3077" s="1">
        <v>1937</v>
      </c>
      <c r="K3077" t="s">
        <v>13555</v>
      </c>
      <c r="L3077" t="s">
        <v>13556</v>
      </c>
    </row>
    <row r="3078" spans="1:12">
      <c r="A3078" t="s">
        <v>13557</v>
      </c>
      <c r="B3078" s="1" t="s">
        <v>13558</v>
      </c>
      <c r="F3078">
        <v>1</v>
      </c>
      <c r="G3078" t="str">
        <f>HYPERLINK("http://babel.hathitrust.org/cgi/pt?id=nyp.33433069240947")</f>
        <v>http://babel.hathitrust.org/cgi/pt?id=nyp.33433069240947</v>
      </c>
      <c r="H3078" t="str">
        <f>HYPERLINK("http://catalog.hathitrust.org/Record/006093455")</f>
        <v>http://catalog.hathitrust.org/Record/006093455</v>
      </c>
      <c r="J3078" s="1">
        <v>1863</v>
      </c>
      <c r="K3078" t="s">
        <v>13559</v>
      </c>
      <c r="L3078" t="s">
        <v>13560</v>
      </c>
    </row>
    <row r="3079" spans="1:12">
      <c r="A3079" t="s">
        <v>13561</v>
      </c>
      <c r="B3079" s="1" t="s">
        <v>13558</v>
      </c>
      <c r="F3079">
        <v>1</v>
      </c>
      <c r="G3079" t="str">
        <f>HYPERLINK("http://babel.hathitrust.org/cgi/pt?id=uc1.b604709")</f>
        <v>http://babel.hathitrust.org/cgi/pt?id=uc1.b604709</v>
      </c>
      <c r="H3079" t="str">
        <f>HYPERLINK("http://catalog.hathitrust.org/Record/006093455")</f>
        <v>http://catalog.hathitrust.org/Record/006093455</v>
      </c>
      <c r="J3079" s="1">
        <v>1863</v>
      </c>
      <c r="K3079" t="s">
        <v>13559</v>
      </c>
      <c r="L3079" t="s">
        <v>13560</v>
      </c>
    </row>
    <row r="3080" spans="1:12">
      <c r="A3080" t="s">
        <v>13562</v>
      </c>
      <c r="B3080" s="1" t="s">
        <v>13558</v>
      </c>
      <c r="F3080">
        <v>1</v>
      </c>
      <c r="G3080" t="str">
        <f>HYPERLINK("http://babel.hathitrust.org/cgi/pt?id=uc2.ark:/13960/t8ff3sj5r")</f>
        <v>http://babel.hathitrust.org/cgi/pt?id=uc2.ark:/13960/t8ff3sj5r</v>
      </c>
      <c r="H3080" t="str">
        <f>HYPERLINK("http://catalog.hathitrust.org/Record/006093455")</f>
        <v>http://catalog.hathitrust.org/Record/006093455</v>
      </c>
      <c r="J3080" s="1">
        <v>1863</v>
      </c>
      <c r="K3080" t="s">
        <v>13559</v>
      </c>
      <c r="L3080" t="s">
        <v>13560</v>
      </c>
    </row>
    <row r="3081" spans="1:12">
      <c r="A3081" t="s">
        <v>13563</v>
      </c>
      <c r="B3081" s="1" t="s">
        <v>13564</v>
      </c>
      <c r="F3081">
        <v>1</v>
      </c>
      <c r="G3081" t="str">
        <f>HYPERLINK("http://babel.hathitrust.org/cgi/pt?id=uc1.b604739")</f>
        <v>http://babel.hathitrust.org/cgi/pt?id=uc1.b604739</v>
      </c>
      <c r="H3081" t="str">
        <f>HYPERLINK("http://catalog.hathitrust.org/Record/006093471")</f>
        <v>http://catalog.hathitrust.org/Record/006093471</v>
      </c>
      <c r="J3081" s="1">
        <v>1856</v>
      </c>
      <c r="K3081" t="s">
        <v>13565</v>
      </c>
      <c r="L3081" t="s">
        <v>13560</v>
      </c>
    </row>
    <row r="3082" spans="1:12">
      <c r="A3082" t="s">
        <v>13566</v>
      </c>
      <c r="B3082" s="1" t="s">
        <v>13564</v>
      </c>
      <c r="F3082">
        <v>1</v>
      </c>
      <c r="G3082" t="str">
        <f>HYPERLINK("http://babel.hathitrust.org/cgi/pt?id=uc2.ark:/13960/t7qn64q3k")</f>
        <v>http://babel.hathitrust.org/cgi/pt?id=uc2.ark:/13960/t7qn64q3k</v>
      </c>
      <c r="H3082" t="str">
        <f>HYPERLINK("http://catalog.hathitrust.org/Record/006093471")</f>
        <v>http://catalog.hathitrust.org/Record/006093471</v>
      </c>
      <c r="J3082" s="1">
        <v>1856</v>
      </c>
      <c r="K3082" t="s">
        <v>13565</v>
      </c>
      <c r="L3082" t="s">
        <v>13560</v>
      </c>
    </row>
    <row r="3083" spans="1:12">
      <c r="A3083" t="s">
        <v>13567</v>
      </c>
      <c r="B3083" s="1" t="s">
        <v>13568</v>
      </c>
      <c r="F3083">
        <v>1</v>
      </c>
      <c r="G3083" t="str">
        <f>HYPERLINK("http://babel.hathitrust.org/cgi/pt?id=uc1.b604832")</f>
        <v>http://babel.hathitrust.org/cgi/pt?id=uc1.b604832</v>
      </c>
      <c r="H3083" t="str">
        <f>HYPERLINK("http://catalog.hathitrust.org/Record/006093514")</f>
        <v>http://catalog.hathitrust.org/Record/006093514</v>
      </c>
      <c r="J3083" s="1">
        <v>1918</v>
      </c>
      <c r="K3083" t="s">
        <v>14058</v>
      </c>
      <c r="L3083" t="s">
        <v>19271</v>
      </c>
    </row>
    <row r="3084" spans="1:12">
      <c r="A3084" t="s">
        <v>13569</v>
      </c>
      <c r="B3084" s="1" t="s">
        <v>13568</v>
      </c>
      <c r="F3084">
        <v>1</v>
      </c>
      <c r="G3084" t="str">
        <f>HYPERLINK("http://babel.hathitrust.org/cgi/pt?id=uc2.ark:/13960/t2n58jk9k")</f>
        <v>http://babel.hathitrust.org/cgi/pt?id=uc2.ark:/13960/t2n58jk9k</v>
      </c>
      <c r="H3084" t="str">
        <f>HYPERLINK("http://catalog.hathitrust.org/Record/006093514")</f>
        <v>http://catalog.hathitrust.org/Record/006093514</v>
      </c>
      <c r="J3084" s="1">
        <v>1918</v>
      </c>
      <c r="K3084" t="s">
        <v>14058</v>
      </c>
      <c r="L3084" t="s">
        <v>19271</v>
      </c>
    </row>
    <row r="3085" spans="1:12">
      <c r="A3085" t="s">
        <v>13570</v>
      </c>
      <c r="B3085" s="1" t="s">
        <v>13571</v>
      </c>
      <c r="F3085">
        <v>1</v>
      </c>
      <c r="G3085" t="str">
        <f>HYPERLINK("http://babel.hathitrust.org/cgi/pt?id=uc1.b616443")</f>
        <v>http://babel.hathitrust.org/cgi/pt?id=uc1.b616443</v>
      </c>
      <c r="H3085" t="str">
        <f>HYPERLINK("http://catalog.hathitrust.org/Record/006096946")</f>
        <v>http://catalog.hathitrust.org/Record/006096946</v>
      </c>
      <c r="J3085" s="1">
        <v>1896</v>
      </c>
      <c r="K3085" t="s">
        <v>13572</v>
      </c>
      <c r="L3085" t="s">
        <v>13895</v>
      </c>
    </row>
    <row r="3086" spans="1:12">
      <c r="A3086" t="s">
        <v>13573</v>
      </c>
      <c r="B3086" s="1" t="s">
        <v>13571</v>
      </c>
      <c r="F3086">
        <v>1</v>
      </c>
      <c r="G3086" t="str">
        <f>HYPERLINK("http://babel.hathitrust.org/cgi/pt?id=uc2.ark:/13960/t4cn7439v")</f>
        <v>http://babel.hathitrust.org/cgi/pt?id=uc2.ark:/13960/t4cn7439v</v>
      </c>
      <c r="H3086" t="str">
        <f>HYPERLINK("http://catalog.hathitrust.org/Record/006096946")</f>
        <v>http://catalog.hathitrust.org/Record/006096946</v>
      </c>
      <c r="J3086" s="1">
        <v>1896</v>
      </c>
      <c r="K3086" t="s">
        <v>13572</v>
      </c>
      <c r="L3086" t="s">
        <v>13895</v>
      </c>
    </row>
    <row r="3087" spans="1:12">
      <c r="A3087" t="s">
        <v>13574</v>
      </c>
      <c r="B3087" s="1" t="s">
        <v>13575</v>
      </c>
      <c r="F3087">
        <v>1</v>
      </c>
      <c r="G3087" t="str">
        <f>HYPERLINK("http://babel.hathitrust.org/cgi/pt?id=hvd.hx5dkp")</f>
        <v>http://babel.hathitrust.org/cgi/pt?id=hvd.hx5dkp</v>
      </c>
      <c r="H3087" t="str">
        <f>HYPERLINK("http://catalog.hathitrust.org/Record/006096947")</f>
        <v>http://catalog.hathitrust.org/Record/006096947</v>
      </c>
      <c r="J3087" s="1">
        <v>1848</v>
      </c>
      <c r="K3087" t="s">
        <v>13576</v>
      </c>
      <c r="L3087" t="s">
        <v>13577</v>
      </c>
    </row>
    <row r="3088" spans="1:12">
      <c r="A3088" t="s">
        <v>13578</v>
      </c>
      <c r="B3088" s="1" t="s">
        <v>13575</v>
      </c>
      <c r="F3088">
        <v>1</v>
      </c>
      <c r="G3088" t="str">
        <f>HYPERLINK("http://babel.hathitrust.org/cgi/pt?id=uc1.b616446")</f>
        <v>http://babel.hathitrust.org/cgi/pt?id=uc1.b616446</v>
      </c>
      <c r="H3088" t="str">
        <f>HYPERLINK("http://catalog.hathitrust.org/Record/006096947")</f>
        <v>http://catalog.hathitrust.org/Record/006096947</v>
      </c>
      <c r="J3088" s="1">
        <v>1848</v>
      </c>
      <c r="K3088" t="s">
        <v>13576</v>
      </c>
      <c r="L3088" t="s">
        <v>13577</v>
      </c>
    </row>
    <row r="3089" spans="1:12">
      <c r="A3089" t="s">
        <v>13579</v>
      </c>
      <c r="B3089" s="1" t="s">
        <v>13575</v>
      </c>
      <c r="F3089">
        <v>1</v>
      </c>
      <c r="G3089" t="str">
        <f>HYPERLINK("http://babel.hathitrust.org/cgi/pt?id=uc2.ark:/13960/t7tm76f5r")</f>
        <v>http://babel.hathitrust.org/cgi/pt?id=uc2.ark:/13960/t7tm76f5r</v>
      </c>
      <c r="H3089" t="str">
        <f>HYPERLINK("http://catalog.hathitrust.org/Record/006096947")</f>
        <v>http://catalog.hathitrust.org/Record/006096947</v>
      </c>
      <c r="J3089" s="1">
        <v>1848</v>
      </c>
      <c r="K3089" t="s">
        <v>13576</v>
      </c>
      <c r="L3089" t="s">
        <v>13577</v>
      </c>
    </row>
    <row r="3090" spans="1:12">
      <c r="A3090" t="s">
        <v>13580</v>
      </c>
      <c r="B3090" s="1" t="s">
        <v>13581</v>
      </c>
      <c r="D3090">
        <v>1</v>
      </c>
      <c r="G3090" t="str">
        <f>HYPERLINK("http://babel.hathitrust.org/cgi/pt?id=njp.32101071985772")</f>
        <v>http://babel.hathitrust.org/cgi/pt?id=njp.32101071985772</v>
      </c>
      <c r="H3090" t="str">
        <f>HYPERLINK("http://catalog.hathitrust.org/Record/006096952")</f>
        <v>http://catalog.hathitrust.org/Record/006096952</v>
      </c>
      <c r="J3090" s="1">
        <v>1892</v>
      </c>
      <c r="K3090" t="s">
        <v>13582</v>
      </c>
      <c r="L3090" t="s">
        <v>19800</v>
      </c>
    </row>
    <row r="3091" spans="1:12">
      <c r="A3091" t="s">
        <v>13583</v>
      </c>
      <c r="B3091" s="1" t="s">
        <v>13584</v>
      </c>
      <c r="F3091">
        <v>1</v>
      </c>
      <c r="G3091" t="str">
        <f>HYPERLINK("http://babel.hathitrust.org/cgi/pt?id=uc1.b620286")</f>
        <v>http://babel.hathitrust.org/cgi/pt?id=uc1.b620286</v>
      </c>
      <c r="H3091" t="str">
        <f>HYPERLINK("http://catalog.hathitrust.org/Record/006097379")</f>
        <v>http://catalog.hathitrust.org/Record/006097379</v>
      </c>
      <c r="J3091" s="1">
        <v>1910</v>
      </c>
      <c r="K3091" t="s">
        <v>13585</v>
      </c>
      <c r="L3091" t="s">
        <v>13586</v>
      </c>
    </row>
    <row r="3092" spans="1:12">
      <c r="A3092" t="s">
        <v>13587</v>
      </c>
      <c r="B3092" s="1" t="s">
        <v>13584</v>
      </c>
      <c r="F3092">
        <v>1</v>
      </c>
      <c r="G3092" t="str">
        <f>HYPERLINK("http://babel.hathitrust.org/cgi/pt?id=uc2.ark:/13960/t7wm1934c")</f>
        <v>http://babel.hathitrust.org/cgi/pt?id=uc2.ark:/13960/t7wm1934c</v>
      </c>
      <c r="H3092" t="str">
        <f>HYPERLINK("http://catalog.hathitrust.org/Record/006097379")</f>
        <v>http://catalog.hathitrust.org/Record/006097379</v>
      </c>
      <c r="J3092" s="1">
        <v>1910</v>
      </c>
      <c r="K3092" t="s">
        <v>13585</v>
      </c>
      <c r="L3092" t="s">
        <v>13586</v>
      </c>
    </row>
    <row r="3093" spans="1:12">
      <c r="A3093" t="s">
        <v>13588</v>
      </c>
      <c r="B3093" s="1" t="s">
        <v>13589</v>
      </c>
      <c r="F3093">
        <v>1</v>
      </c>
      <c r="G3093" t="str">
        <f>HYPERLINK("http://babel.hathitrust.org/cgi/pt?id=uc1.b620566")</f>
        <v>http://babel.hathitrust.org/cgi/pt?id=uc1.b620566</v>
      </c>
      <c r="H3093" t="str">
        <f>HYPERLINK("http://catalog.hathitrust.org/Record/006097547")</f>
        <v>http://catalog.hathitrust.org/Record/006097547</v>
      </c>
      <c r="J3093" s="1">
        <v>1915</v>
      </c>
      <c r="K3093" t="s">
        <v>13590</v>
      </c>
      <c r="L3093" t="s">
        <v>13591</v>
      </c>
    </row>
    <row r="3094" spans="1:12">
      <c r="A3094" t="s">
        <v>13592</v>
      </c>
      <c r="B3094" s="1" t="s">
        <v>13589</v>
      </c>
      <c r="F3094">
        <v>1</v>
      </c>
      <c r="G3094" t="str">
        <f>HYPERLINK("http://babel.hathitrust.org/cgi/pt?id=uc2.ark:/13960/t4cn7438c")</f>
        <v>http://babel.hathitrust.org/cgi/pt?id=uc2.ark:/13960/t4cn7438c</v>
      </c>
      <c r="H3094" t="str">
        <f>HYPERLINK("http://catalog.hathitrust.org/Record/006097547")</f>
        <v>http://catalog.hathitrust.org/Record/006097547</v>
      </c>
      <c r="J3094" s="1">
        <v>1915</v>
      </c>
      <c r="K3094" t="s">
        <v>13590</v>
      </c>
      <c r="L3094" t="s">
        <v>13591</v>
      </c>
    </row>
    <row r="3095" spans="1:12">
      <c r="A3095" t="s">
        <v>13593</v>
      </c>
      <c r="B3095" s="1" t="s">
        <v>13594</v>
      </c>
      <c r="E3095">
        <v>1</v>
      </c>
      <c r="F3095">
        <v>1</v>
      </c>
      <c r="G3095" t="str">
        <f>HYPERLINK("http://babel.hathitrust.org/cgi/pt?id=uc1.b625395")</f>
        <v>http://babel.hathitrust.org/cgi/pt?id=uc1.b625395</v>
      </c>
      <c r="H3095" t="str">
        <f>HYPERLINK("http://catalog.hathitrust.org/Record/006098777")</f>
        <v>http://catalog.hathitrust.org/Record/006098777</v>
      </c>
      <c r="J3095" s="1">
        <v>1824</v>
      </c>
      <c r="K3095" t="s">
        <v>13595</v>
      </c>
      <c r="L3095" t="s">
        <v>20960</v>
      </c>
    </row>
    <row r="3096" spans="1:12">
      <c r="A3096" t="s">
        <v>13596</v>
      </c>
      <c r="B3096" s="1" t="s">
        <v>13594</v>
      </c>
      <c r="F3096">
        <v>1</v>
      </c>
      <c r="G3096" t="str">
        <f>HYPERLINK("http://babel.hathitrust.org/cgi/pt?id=uc2.ark:/13960/t81j9dv4b")</f>
        <v>http://babel.hathitrust.org/cgi/pt?id=uc2.ark:/13960/t81j9dv4b</v>
      </c>
      <c r="H3096" t="str">
        <f>HYPERLINK("http://catalog.hathitrust.org/Record/006098777")</f>
        <v>http://catalog.hathitrust.org/Record/006098777</v>
      </c>
      <c r="J3096" s="1">
        <v>1824</v>
      </c>
      <c r="K3096" t="s">
        <v>13595</v>
      </c>
      <c r="L3096" t="s">
        <v>20960</v>
      </c>
    </row>
    <row r="3097" spans="1:12">
      <c r="A3097" t="s">
        <v>13597</v>
      </c>
      <c r="B3097" s="1" t="s">
        <v>13598</v>
      </c>
      <c r="F3097">
        <v>1</v>
      </c>
      <c r="G3097" t="str">
        <f>HYPERLINK("http://babel.hathitrust.org/cgi/pt?id=uc1.b625893")</f>
        <v>http://babel.hathitrust.org/cgi/pt?id=uc1.b625893</v>
      </c>
      <c r="H3097" t="str">
        <f>HYPERLINK("http://catalog.hathitrust.org/Record/006098936")</f>
        <v>http://catalog.hathitrust.org/Record/006098936</v>
      </c>
      <c r="J3097" s="1">
        <v>1922</v>
      </c>
      <c r="K3097" t="s">
        <v>13473</v>
      </c>
      <c r="L3097" t="s">
        <v>19886</v>
      </c>
    </row>
    <row r="3098" spans="1:12">
      <c r="A3098" t="s">
        <v>13474</v>
      </c>
      <c r="B3098" s="1" t="s">
        <v>13598</v>
      </c>
      <c r="F3098">
        <v>1</v>
      </c>
      <c r="G3098" t="str">
        <f>HYPERLINK("http://babel.hathitrust.org/cgi/pt?id=uc2.ark:/13960/t9p26qn2m")</f>
        <v>http://babel.hathitrust.org/cgi/pt?id=uc2.ark:/13960/t9p26qn2m</v>
      </c>
      <c r="H3098" t="str">
        <f>HYPERLINK("http://catalog.hathitrust.org/Record/006098936")</f>
        <v>http://catalog.hathitrust.org/Record/006098936</v>
      </c>
      <c r="J3098" s="1">
        <v>1922</v>
      </c>
      <c r="K3098" t="s">
        <v>13473</v>
      </c>
      <c r="L3098" t="s">
        <v>19886</v>
      </c>
    </row>
    <row r="3099" spans="1:12">
      <c r="A3099" t="s">
        <v>13475</v>
      </c>
      <c r="B3099" s="1" t="s">
        <v>13476</v>
      </c>
      <c r="F3099">
        <v>1</v>
      </c>
      <c r="G3099" t="str">
        <f>HYPERLINK("http://babel.hathitrust.org/cgi/pt?id=njp.32101073848424")</f>
        <v>http://babel.hathitrust.org/cgi/pt?id=njp.32101073848424</v>
      </c>
      <c r="H3099" t="str">
        <f>HYPERLINK("http://catalog.hathitrust.org/Record/006099348")</f>
        <v>http://catalog.hathitrust.org/Record/006099348</v>
      </c>
      <c r="I3099" s="1" t="s">
        <v>17885</v>
      </c>
      <c r="J3099" s="1">
        <v>1877</v>
      </c>
      <c r="K3099" t="s">
        <v>13477</v>
      </c>
      <c r="L3099" t="s">
        <v>13478</v>
      </c>
    </row>
    <row r="3100" spans="1:12">
      <c r="A3100" t="s">
        <v>13479</v>
      </c>
      <c r="B3100" s="1" t="s">
        <v>13476</v>
      </c>
      <c r="F3100">
        <v>1</v>
      </c>
      <c r="G3100" t="str">
        <f>HYPERLINK("http://babel.hathitrust.org/cgi/pt?id=uc1.b638416")</f>
        <v>http://babel.hathitrust.org/cgi/pt?id=uc1.b638416</v>
      </c>
      <c r="H3100" t="str">
        <f>HYPERLINK("http://catalog.hathitrust.org/Record/006099348")</f>
        <v>http://catalog.hathitrust.org/Record/006099348</v>
      </c>
      <c r="J3100" s="1">
        <v>1877</v>
      </c>
      <c r="K3100" t="s">
        <v>13477</v>
      </c>
      <c r="L3100" t="s">
        <v>13478</v>
      </c>
    </row>
    <row r="3101" spans="1:12">
      <c r="A3101" t="s">
        <v>13480</v>
      </c>
      <c r="B3101" s="1" t="s">
        <v>13476</v>
      </c>
      <c r="F3101">
        <v>1</v>
      </c>
      <c r="G3101" t="str">
        <f>HYPERLINK("http://babel.hathitrust.org/cgi/pt?id=uc1.b638417")</f>
        <v>http://babel.hathitrust.org/cgi/pt?id=uc1.b638417</v>
      </c>
      <c r="H3101" t="str">
        <f>HYPERLINK("http://catalog.hathitrust.org/Record/006099348")</f>
        <v>http://catalog.hathitrust.org/Record/006099348</v>
      </c>
      <c r="I3101" s="1" t="s">
        <v>20799</v>
      </c>
      <c r="J3101" s="1">
        <v>1877</v>
      </c>
      <c r="K3101" t="s">
        <v>13477</v>
      </c>
      <c r="L3101" t="s">
        <v>13478</v>
      </c>
    </row>
    <row r="3102" spans="1:12">
      <c r="A3102" t="s">
        <v>13481</v>
      </c>
      <c r="B3102" s="1" t="s">
        <v>13482</v>
      </c>
      <c r="F3102">
        <v>1</v>
      </c>
      <c r="G3102" t="str">
        <f>HYPERLINK("http://babel.hathitrust.org/cgi/pt?id=uc1.b638422")</f>
        <v>http://babel.hathitrust.org/cgi/pt?id=uc1.b638422</v>
      </c>
      <c r="H3102" t="str">
        <f>HYPERLINK("http://catalog.hathitrust.org/Record/006099351")</f>
        <v>http://catalog.hathitrust.org/Record/006099351</v>
      </c>
      <c r="J3102" s="1">
        <v>1917</v>
      </c>
      <c r="K3102" t="s">
        <v>13483</v>
      </c>
      <c r="L3102" t="s">
        <v>13484</v>
      </c>
    </row>
    <row r="3103" spans="1:12">
      <c r="A3103" t="s">
        <v>13485</v>
      </c>
      <c r="B3103" s="1" t="s">
        <v>13482</v>
      </c>
      <c r="F3103">
        <v>1</v>
      </c>
      <c r="G3103" t="str">
        <f>HYPERLINK("http://babel.hathitrust.org/cgi/pt?id=uc2.ark:/13960/t0vq2z943")</f>
        <v>http://babel.hathitrust.org/cgi/pt?id=uc2.ark:/13960/t0vq2z943</v>
      </c>
      <c r="H3103" t="str">
        <f>HYPERLINK("http://catalog.hathitrust.org/Record/006099351")</f>
        <v>http://catalog.hathitrust.org/Record/006099351</v>
      </c>
      <c r="J3103" s="1">
        <v>1917</v>
      </c>
      <c r="K3103" t="s">
        <v>13483</v>
      </c>
      <c r="L3103" t="s">
        <v>13484</v>
      </c>
    </row>
    <row r="3104" spans="1:12">
      <c r="A3104" t="s">
        <v>13486</v>
      </c>
      <c r="B3104" s="1" t="s">
        <v>13487</v>
      </c>
      <c r="F3104">
        <v>1</v>
      </c>
      <c r="G3104" t="str">
        <f>HYPERLINK("http://babel.hathitrust.org/cgi/pt?id=uc1.b665426")</f>
        <v>http://babel.hathitrust.org/cgi/pt?id=uc1.b665426</v>
      </c>
      <c r="H3104" t="str">
        <f>HYPERLINK("http://catalog.hathitrust.org/Record/006099863")</f>
        <v>http://catalog.hathitrust.org/Record/006099863</v>
      </c>
      <c r="J3104" s="1">
        <v>1878</v>
      </c>
      <c r="K3104" t="s">
        <v>16928</v>
      </c>
      <c r="L3104" t="s">
        <v>13488</v>
      </c>
    </row>
    <row r="3105" spans="1:12">
      <c r="A3105" t="s">
        <v>13489</v>
      </c>
      <c r="B3105" s="1" t="s">
        <v>13490</v>
      </c>
      <c r="F3105">
        <v>1</v>
      </c>
      <c r="G3105" t="str">
        <f>HYPERLINK("http://babel.hathitrust.org/cgi/pt?id=uc1.b3124576")</f>
        <v>http://babel.hathitrust.org/cgi/pt?id=uc1.b3124576</v>
      </c>
      <c r="H3105" t="str">
        <f t="shared" ref="H3105:H3115" si="44">HYPERLINK("http://catalog.hathitrust.org/Record/006105130")</f>
        <v>http://catalog.hathitrust.org/Record/006105130</v>
      </c>
      <c r="I3105" s="1" t="s">
        <v>20916</v>
      </c>
      <c r="J3105" s="1">
        <v>1872</v>
      </c>
      <c r="K3105" t="s">
        <v>13491</v>
      </c>
      <c r="L3105" t="s">
        <v>13492</v>
      </c>
    </row>
    <row r="3106" spans="1:12">
      <c r="A3106" t="s">
        <v>13493</v>
      </c>
      <c r="B3106" s="1" t="s">
        <v>13490</v>
      </c>
      <c r="F3106">
        <v>1</v>
      </c>
      <c r="G3106" t="str">
        <f>HYPERLINK("http://babel.hathitrust.org/cgi/pt?id=uc1.b3124577")</f>
        <v>http://babel.hathitrust.org/cgi/pt?id=uc1.b3124577</v>
      </c>
      <c r="H3106" t="str">
        <f t="shared" si="44"/>
        <v>http://catalog.hathitrust.org/Record/006105130</v>
      </c>
      <c r="I3106" s="1" t="s">
        <v>20799</v>
      </c>
      <c r="J3106" s="1">
        <v>1872</v>
      </c>
      <c r="K3106" t="s">
        <v>13491</v>
      </c>
      <c r="L3106" t="s">
        <v>13492</v>
      </c>
    </row>
    <row r="3107" spans="1:12">
      <c r="A3107" t="s">
        <v>13494</v>
      </c>
      <c r="B3107" s="1" t="s">
        <v>13490</v>
      </c>
      <c r="F3107">
        <v>1</v>
      </c>
      <c r="G3107" t="str">
        <f>HYPERLINK("http://babel.hathitrust.org/cgi/pt?id=uc1.b3124578")</f>
        <v>http://babel.hathitrust.org/cgi/pt?id=uc1.b3124578</v>
      </c>
      <c r="H3107" t="str">
        <f t="shared" si="44"/>
        <v>http://catalog.hathitrust.org/Record/006105130</v>
      </c>
      <c r="I3107" s="1" t="s">
        <v>20801</v>
      </c>
      <c r="J3107" s="1">
        <v>1872</v>
      </c>
      <c r="K3107" t="s">
        <v>13491</v>
      </c>
      <c r="L3107" t="s">
        <v>13492</v>
      </c>
    </row>
    <row r="3108" spans="1:12">
      <c r="A3108" t="s">
        <v>13495</v>
      </c>
      <c r="B3108" s="1" t="s">
        <v>13490</v>
      </c>
      <c r="F3108">
        <v>1</v>
      </c>
      <c r="G3108" t="str">
        <f>HYPERLINK("http://babel.hathitrust.org/cgi/pt?id=uc1.b3124579")</f>
        <v>http://babel.hathitrust.org/cgi/pt?id=uc1.b3124579</v>
      </c>
      <c r="H3108" t="str">
        <f t="shared" si="44"/>
        <v>http://catalog.hathitrust.org/Record/006105130</v>
      </c>
      <c r="I3108" s="1" t="s">
        <v>20803</v>
      </c>
      <c r="J3108" s="1">
        <v>1872</v>
      </c>
      <c r="K3108" t="s">
        <v>13491</v>
      </c>
      <c r="L3108" t="s">
        <v>13492</v>
      </c>
    </row>
    <row r="3109" spans="1:12">
      <c r="A3109" t="s">
        <v>13496</v>
      </c>
      <c r="B3109" s="1" t="s">
        <v>13490</v>
      </c>
      <c r="F3109">
        <v>1</v>
      </c>
      <c r="G3109" t="str">
        <f>HYPERLINK("http://babel.hathitrust.org/cgi/pt?id=uc1.b3124580")</f>
        <v>http://babel.hathitrust.org/cgi/pt?id=uc1.b3124580</v>
      </c>
      <c r="H3109" t="str">
        <f t="shared" si="44"/>
        <v>http://catalog.hathitrust.org/Record/006105130</v>
      </c>
      <c r="I3109" s="1" t="s">
        <v>19038</v>
      </c>
      <c r="J3109" s="1">
        <v>1872</v>
      </c>
      <c r="K3109" t="s">
        <v>13491</v>
      </c>
      <c r="L3109" t="s">
        <v>13492</v>
      </c>
    </row>
    <row r="3110" spans="1:12">
      <c r="A3110" t="s">
        <v>13497</v>
      </c>
      <c r="B3110" s="1" t="s">
        <v>13490</v>
      </c>
      <c r="F3110">
        <v>1</v>
      </c>
      <c r="G3110" t="str">
        <f>HYPERLINK("http://babel.hathitrust.org/cgi/pt?id=uc1.b3124581")</f>
        <v>http://babel.hathitrust.org/cgi/pt?id=uc1.b3124581</v>
      </c>
      <c r="H3110" t="str">
        <f t="shared" si="44"/>
        <v>http://catalog.hathitrust.org/Record/006105130</v>
      </c>
      <c r="I3110" s="1" t="s">
        <v>19040</v>
      </c>
      <c r="J3110" s="1">
        <v>1872</v>
      </c>
      <c r="K3110" t="s">
        <v>13491</v>
      </c>
      <c r="L3110" t="s">
        <v>13492</v>
      </c>
    </row>
    <row r="3111" spans="1:12">
      <c r="A3111" t="s">
        <v>13498</v>
      </c>
      <c r="B3111" s="1" t="s">
        <v>13490</v>
      </c>
      <c r="F3111">
        <v>1</v>
      </c>
      <c r="G3111" t="str">
        <f>HYPERLINK("http://babel.hathitrust.org/cgi/pt?id=uc1.b3124582")</f>
        <v>http://babel.hathitrust.org/cgi/pt?id=uc1.b3124582</v>
      </c>
      <c r="H3111" t="str">
        <f t="shared" si="44"/>
        <v>http://catalog.hathitrust.org/Record/006105130</v>
      </c>
      <c r="I3111" s="1" t="s">
        <v>19042</v>
      </c>
      <c r="J3111" s="1">
        <v>1872</v>
      </c>
      <c r="K3111" t="s">
        <v>13491</v>
      </c>
      <c r="L3111" t="s">
        <v>13492</v>
      </c>
    </row>
    <row r="3112" spans="1:12">
      <c r="A3112" t="s">
        <v>13499</v>
      </c>
      <c r="B3112" s="1" t="s">
        <v>13490</v>
      </c>
      <c r="F3112">
        <v>1</v>
      </c>
      <c r="G3112" t="str">
        <f>HYPERLINK("http://babel.hathitrust.org/cgi/pt?id=uc1.b3124583")</f>
        <v>http://babel.hathitrust.org/cgi/pt?id=uc1.b3124583</v>
      </c>
      <c r="H3112" t="str">
        <f t="shared" si="44"/>
        <v>http://catalog.hathitrust.org/Record/006105130</v>
      </c>
      <c r="I3112" s="1" t="s">
        <v>19044</v>
      </c>
      <c r="J3112" s="1">
        <v>1872</v>
      </c>
      <c r="K3112" t="s">
        <v>13491</v>
      </c>
      <c r="L3112" t="s">
        <v>13492</v>
      </c>
    </row>
    <row r="3113" spans="1:12">
      <c r="A3113" t="s">
        <v>13500</v>
      </c>
      <c r="B3113" s="1" t="s">
        <v>13490</v>
      </c>
      <c r="F3113">
        <v>1</v>
      </c>
      <c r="G3113" t="str">
        <f>HYPERLINK("http://babel.hathitrust.org/cgi/pt?id=uc1.b3124584")</f>
        <v>http://babel.hathitrust.org/cgi/pt?id=uc1.b3124584</v>
      </c>
      <c r="H3113" t="str">
        <f t="shared" si="44"/>
        <v>http://catalog.hathitrust.org/Record/006105130</v>
      </c>
      <c r="I3113" s="1" t="s">
        <v>19046</v>
      </c>
      <c r="J3113" s="1">
        <v>1872</v>
      </c>
      <c r="K3113" t="s">
        <v>13491</v>
      </c>
      <c r="L3113" t="s">
        <v>13492</v>
      </c>
    </row>
    <row r="3114" spans="1:12">
      <c r="A3114" t="s">
        <v>13501</v>
      </c>
      <c r="B3114" s="1" t="s">
        <v>13490</v>
      </c>
      <c r="F3114">
        <v>1</v>
      </c>
      <c r="G3114" t="str">
        <f>HYPERLINK("http://babel.hathitrust.org/cgi/pt?id=uc1.b3124585")</f>
        <v>http://babel.hathitrust.org/cgi/pt?id=uc1.b3124585</v>
      </c>
      <c r="H3114" t="str">
        <f t="shared" si="44"/>
        <v>http://catalog.hathitrust.org/Record/006105130</v>
      </c>
      <c r="I3114" s="1" t="s">
        <v>19050</v>
      </c>
      <c r="J3114" s="1">
        <v>1872</v>
      </c>
      <c r="K3114" t="s">
        <v>13491</v>
      </c>
      <c r="L3114" t="s">
        <v>13492</v>
      </c>
    </row>
    <row r="3115" spans="1:12">
      <c r="A3115" t="s">
        <v>13502</v>
      </c>
      <c r="B3115" s="1" t="s">
        <v>13490</v>
      </c>
      <c r="F3115">
        <v>1</v>
      </c>
      <c r="G3115" t="str">
        <f>HYPERLINK("http://babel.hathitrust.org/cgi/pt?id=uva.x030153931")</f>
        <v>http://babel.hathitrust.org/cgi/pt?id=uva.x030153931</v>
      </c>
      <c r="H3115" t="str">
        <f t="shared" si="44"/>
        <v>http://catalog.hathitrust.org/Record/006105130</v>
      </c>
      <c r="I3115" s="1" t="s">
        <v>15066</v>
      </c>
      <c r="J3115" s="1">
        <v>1872</v>
      </c>
      <c r="K3115" t="s">
        <v>13491</v>
      </c>
      <c r="L3115" t="s">
        <v>13492</v>
      </c>
    </row>
    <row r="3116" spans="1:12">
      <c r="A3116" t="s">
        <v>13503</v>
      </c>
      <c r="B3116" s="1" t="s">
        <v>13504</v>
      </c>
      <c r="F3116">
        <v>1</v>
      </c>
      <c r="G3116" t="str">
        <f>HYPERLINK("http://babel.hathitrust.org/cgi/pt?id=uc1.b3124948")</f>
        <v>http://babel.hathitrust.org/cgi/pt?id=uc1.b3124948</v>
      </c>
      <c r="H3116" t="str">
        <f>HYPERLINK("http://catalog.hathitrust.org/Record/006105323")</f>
        <v>http://catalog.hathitrust.org/Record/006105323</v>
      </c>
      <c r="J3116" s="1">
        <v>1899</v>
      </c>
      <c r="K3116" t="s">
        <v>13505</v>
      </c>
      <c r="L3116" t="s">
        <v>13506</v>
      </c>
    </row>
    <row r="3117" spans="1:12">
      <c r="A3117" t="s">
        <v>13507</v>
      </c>
      <c r="B3117" s="1" t="s">
        <v>13504</v>
      </c>
      <c r="F3117">
        <v>1</v>
      </c>
      <c r="G3117" t="str">
        <f>HYPERLINK("http://babel.hathitrust.org/cgi/pt?id=uc2.ark:/13960/t92806t2v")</f>
        <v>http://babel.hathitrust.org/cgi/pt?id=uc2.ark:/13960/t92806t2v</v>
      </c>
      <c r="H3117" t="str">
        <f>HYPERLINK("http://catalog.hathitrust.org/Record/006105323")</f>
        <v>http://catalog.hathitrust.org/Record/006105323</v>
      </c>
      <c r="J3117" s="1">
        <v>1899</v>
      </c>
      <c r="K3117" t="s">
        <v>13505</v>
      </c>
      <c r="L3117" t="s">
        <v>13506</v>
      </c>
    </row>
    <row r="3118" spans="1:12">
      <c r="A3118" t="s">
        <v>13508</v>
      </c>
      <c r="B3118" s="1" t="s">
        <v>13509</v>
      </c>
      <c r="F3118">
        <v>1</v>
      </c>
      <c r="G3118" t="str">
        <f>HYPERLINK("http://babel.hathitrust.org/cgi/pt?id=uc1.b3127673")</f>
        <v>http://babel.hathitrust.org/cgi/pt?id=uc1.b3127673</v>
      </c>
      <c r="H3118" t="str">
        <f>HYPERLINK("http://catalog.hathitrust.org/Record/006105976")</f>
        <v>http://catalog.hathitrust.org/Record/006105976</v>
      </c>
      <c r="I3118" s="1" t="s">
        <v>20916</v>
      </c>
      <c r="J3118" s="1">
        <v>1910</v>
      </c>
      <c r="K3118" t="s">
        <v>13510</v>
      </c>
      <c r="L3118" t="s">
        <v>13511</v>
      </c>
    </row>
    <row r="3119" spans="1:12">
      <c r="A3119" t="s">
        <v>13512</v>
      </c>
      <c r="B3119" s="1" t="s">
        <v>13509</v>
      </c>
      <c r="F3119">
        <v>1</v>
      </c>
      <c r="G3119" t="str">
        <f>HYPERLINK("http://babel.hathitrust.org/cgi/pt?id=uc1.b3127674")</f>
        <v>http://babel.hathitrust.org/cgi/pt?id=uc1.b3127674</v>
      </c>
      <c r="H3119" t="str">
        <f>HYPERLINK("http://catalog.hathitrust.org/Record/006105976")</f>
        <v>http://catalog.hathitrust.org/Record/006105976</v>
      </c>
      <c r="I3119" s="1" t="s">
        <v>20755</v>
      </c>
      <c r="J3119" s="1">
        <v>1910</v>
      </c>
      <c r="K3119" t="s">
        <v>13510</v>
      </c>
      <c r="L3119" t="s">
        <v>13511</v>
      </c>
    </row>
    <row r="3120" spans="1:12">
      <c r="A3120" t="s">
        <v>13513</v>
      </c>
      <c r="B3120" s="1" t="s">
        <v>13514</v>
      </c>
      <c r="F3120">
        <v>1</v>
      </c>
      <c r="G3120" t="str">
        <f>HYPERLINK("http://babel.hathitrust.org/cgi/pt?id=uc1.b3129803")</f>
        <v>http://babel.hathitrust.org/cgi/pt?id=uc1.b3129803</v>
      </c>
      <c r="H3120" t="str">
        <f>HYPERLINK("http://catalog.hathitrust.org/Record/006106953")</f>
        <v>http://catalog.hathitrust.org/Record/006106953</v>
      </c>
      <c r="I3120" s="1" t="s">
        <v>20916</v>
      </c>
      <c r="J3120" s="1">
        <v>1910</v>
      </c>
      <c r="K3120" t="s">
        <v>13515</v>
      </c>
    </row>
    <row r="3121" spans="1:12">
      <c r="A3121" t="s">
        <v>13516</v>
      </c>
      <c r="B3121" s="1" t="s">
        <v>13514</v>
      </c>
      <c r="F3121">
        <v>1</v>
      </c>
      <c r="G3121" t="str">
        <f>HYPERLINK("http://babel.hathitrust.org/cgi/pt?id=uc1.b3129804")</f>
        <v>http://babel.hathitrust.org/cgi/pt?id=uc1.b3129804</v>
      </c>
      <c r="H3121" t="str">
        <f>HYPERLINK("http://catalog.hathitrust.org/Record/006106953")</f>
        <v>http://catalog.hathitrust.org/Record/006106953</v>
      </c>
      <c r="I3121" s="1" t="s">
        <v>20755</v>
      </c>
      <c r="J3121" s="1">
        <v>1910</v>
      </c>
      <c r="K3121" t="s">
        <v>13515</v>
      </c>
    </row>
    <row r="3122" spans="1:12">
      <c r="A3122" t="s">
        <v>13517</v>
      </c>
      <c r="B3122" s="1" t="s">
        <v>13514</v>
      </c>
      <c r="F3122">
        <v>1</v>
      </c>
      <c r="G3122" t="str">
        <f>HYPERLINK("http://babel.hathitrust.org/cgi/pt?id=uc1.b3129805")</f>
        <v>http://babel.hathitrust.org/cgi/pt?id=uc1.b3129805</v>
      </c>
      <c r="H3122" t="str">
        <f>HYPERLINK("http://catalog.hathitrust.org/Record/006106953")</f>
        <v>http://catalog.hathitrust.org/Record/006106953</v>
      </c>
      <c r="I3122" s="1" t="s">
        <v>20920</v>
      </c>
      <c r="J3122" s="1">
        <v>1910</v>
      </c>
      <c r="K3122" t="s">
        <v>13515</v>
      </c>
    </row>
    <row r="3123" spans="1:12">
      <c r="A3123" t="s">
        <v>13518</v>
      </c>
      <c r="B3123" s="1" t="s">
        <v>13519</v>
      </c>
      <c r="D3123">
        <v>1</v>
      </c>
      <c r="G3123" t="str">
        <f>HYPERLINK("http://babel.hathitrust.org/cgi/pt?id=uc2.ark:/13960/t5s75fk8g")</f>
        <v>http://babel.hathitrust.org/cgi/pt?id=uc2.ark:/13960/t5s75fk8g</v>
      </c>
      <c r="H3123" t="str">
        <f>HYPERLINK("http://catalog.hathitrust.org/Record/006107270")</f>
        <v>http://catalog.hathitrust.org/Record/006107270</v>
      </c>
      <c r="J3123" s="1">
        <v>1873</v>
      </c>
      <c r="K3123" t="s">
        <v>13520</v>
      </c>
      <c r="L3123" t="s">
        <v>19800</v>
      </c>
    </row>
    <row r="3124" spans="1:12">
      <c r="A3124" t="s">
        <v>13521</v>
      </c>
      <c r="B3124" s="1" t="s">
        <v>13522</v>
      </c>
      <c r="F3124">
        <v>1</v>
      </c>
      <c r="G3124" t="str">
        <f>HYPERLINK("http://babel.hathitrust.org/cgi/pt?id=uc1.b3130484")</f>
        <v>http://babel.hathitrust.org/cgi/pt?id=uc1.b3130484</v>
      </c>
      <c r="H3124" t="str">
        <f>HYPERLINK("http://catalog.hathitrust.org/Record/006107271")</f>
        <v>http://catalog.hathitrust.org/Record/006107271</v>
      </c>
      <c r="J3124" s="1">
        <v>1882</v>
      </c>
      <c r="K3124" t="s">
        <v>13523</v>
      </c>
      <c r="L3124" t="s">
        <v>16360</v>
      </c>
    </row>
    <row r="3125" spans="1:12">
      <c r="A3125" t="s">
        <v>13524</v>
      </c>
      <c r="B3125" s="1" t="s">
        <v>13522</v>
      </c>
      <c r="F3125">
        <v>1</v>
      </c>
      <c r="G3125" t="str">
        <f>HYPERLINK("http://babel.hathitrust.org/cgi/pt?id=uc2.ark:/13960/t0tq6035h")</f>
        <v>http://babel.hathitrust.org/cgi/pt?id=uc2.ark:/13960/t0tq6035h</v>
      </c>
      <c r="H3125" t="str">
        <f>HYPERLINK("http://catalog.hathitrust.org/Record/006107271")</f>
        <v>http://catalog.hathitrust.org/Record/006107271</v>
      </c>
      <c r="J3125" s="1">
        <v>1882</v>
      </c>
      <c r="K3125" t="s">
        <v>13523</v>
      </c>
      <c r="L3125" t="s">
        <v>16360</v>
      </c>
    </row>
    <row r="3126" spans="1:12">
      <c r="A3126" t="s">
        <v>13525</v>
      </c>
      <c r="B3126" s="1" t="s">
        <v>13526</v>
      </c>
      <c r="E3126">
        <v>1</v>
      </c>
      <c r="F3126">
        <v>1</v>
      </c>
      <c r="G3126" t="str">
        <f>HYPERLINK("http://babel.hathitrust.org/cgi/pt?id=uc1.b3130486")</f>
        <v>http://babel.hathitrust.org/cgi/pt?id=uc1.b3130486</v>
      </c>
      <c r="H3126" t="str">
        <f>HYPERLINK("http://catalog.hathitrust.org/Record/006107272")</f>
        <v>http://catalog.hathitrust.org/Record/006107272</v>
      </c>
      <c r="J3126" s="1">
        <v>1870</v>
      </c>
      <c r="K3126" t="s">
        <v>13527</v>
      </c>
      <c r="L3126" t="s">
        <v>19446</v>
      </c>
    </row>
    <row r="3127" spans="1:12">
      <c r="A3127" t="s">
        <v>13528</v>
      </c>
      <c r="B3127" s="1" t="s">
        <v>13526</v>
      </c>
      <c r="F3127">
        <v>1</v>
      </c>
      <c r="G3127" t="str">
        <f>HYPERLINK("http://babel.hathitrust.org/cgi/pt?id=uc2.ark:/13960/t13n27748")</f>
        <v>http://babel.hathitrust.org/cgi/pt?id=uc2.ark:/13960/t13n27748</v>
      </c>
      <c r="H3127" t="str">
        <f>HYPERLINK("http://catalog.hathitrust.org/Record/006107272")</f>
        <v>http://catalog.hathitrust.org/Record/006107272</v>
      </c>
      <c r="J3127" s="1">
        <v>1870</v>
      </c>
      <c r="K3127" t="s">
        <v>13527</v>
      </c>
      <c r="L3127" t="s">
        <v>19446</v>
      </c>
    </row>
    <row r="3128" spans="1:12">
      <c r="A3128" t="s">
        <v>13529</v>
      </c>
      <c r="B3128" s="1" t="s">
        <v>13530</v>
      </c>
      <c r="F3128">
        <v>1</v>
      </c>
      <c r="G3128" t="str">
        <f>HYPERLINK("http://babel.hathitrust.org/cgi/pt?id=loc.ark:/13960/t09w0z38b")</f>
        <v>http://babel.hathitrust.org/cgi/pt?id=loc.ark:/13960/t09w0z38b</v>
      </c>
      <c r="H3128" t="str">
        <f>HYPERLINK("http://catalog.hathitrust.org/Record/006107277")</f>
        <v>http://catalog.hathitrust.org/Record/006107277</v>
      </c>
      <c r="J3128" s="1">
        <v>1905</v>
      </c>
      <c r="K3128" t="s">
        <v>13531</v>
      </c>
      <c r="L3128" t="s">
        <v>13532</v>
      </c>
    </row>
    <row r="3129" spans="1:12">
      <c r="A3129" t="s">
        <v>13533</v>
      </c>
      <c r="B3129" s="1" t="s">
        <v>13530</v>
      </c>
      <c r="F3129">
        <v>1</v>
      </c>
      <c r="G3129" t="str">
        <f>HYPERLINK("http://babel.hathitrust.org/cgi/pt?id=uc1.b306979")</f>
        <v>http://babel.hathitrust.org/cgi/pt?id=uc1.b306979</v>
      </c>
      <c r="H3129" t="str">
        <f>HYPERLINK("http://catalog.hathitrust.org/Record/006107277")</f>
        <v>http://catalog.hathitrust.org/Record/006107277</v>
      </c>
      <c r="J3129" s="1">
        <v>1905</v>
      </c>
      <c r="K3129" t="s">
        <v>13531</v>
      </c>
      <c r="L3129" t="s">
        <v>13532</v>
      </c>
    </row>
    <row r="3130" spans="1:12">
      <c r="A3130" t="s">
        <v>13534</v>
      </c>
      <c r="B3130" s="1" t="s">
        <v>13530</v>
      </c>
      <c r="F3130">
        <v>1</v>
      </c>
      <c r="G3130" t="str">
        <f>HYPERLINK("http://babel.hathitrust.org/cgi/pt?id=uc1.b3130493")</f>
        <v>http://babel.hathitrust.org/cgi/pt?id=uc1.b3130493</v>
      </c>
      <c r="H3130" t="str">
        <f>HYPERLINK("http://catalog.hathitrust.org/Record/006107277")</f>
        <v>http://catalog.hathitrust.org/Record/006107277</v>
      </c>
      <c r="J3130" s="1">
        <v>1905</v>
      </c>
      <c r="K3130" t="s">
        <v>13531</v>
      </c>
      <c r="L3130" t="s">
        <v>13532</v>
      </c>
    </row>
    <row r="3131" spans="1:12">
      <c r="A3131" t="s">
        <v>13535</v>
      </c>
      <c r="B3131" s="1" t="s">
        <v>13536</v>
      </c>
      <c r="F3131">
        <v>1</v>
      </c>
      <c r="G3131" t="str">
        <f>HYPERLINK("http://babel.hathitrust.org/cgi/pt?id=nyp.33433082523394")</f>
        <v>http://babel.hathitrust.org/cgi/pt?id=nyp.33433082523394</v>
      </c>
      <c r="H3131" t="str">
        <f>HYPERLINK("http://catalog.hathitrust.org/Record/006107285")</f>
        <v>http://catalog.hathitrust.org/Record/006107285</v>
      </c>
      <c r="J3131" s="1">
        <v>1849</v>
      </c>
      <c r="K3131" t="s">
        <v>13537</v>
      </c>
      <c r="L3131" t="s">
        <v>13538</v>
      </c>
    </row>
    <row r="3132" spans="1:12">
      <c r="A3132" t="s">
        <v>13539</v>
      </c>
      <c r="B3132" s="1" t="s">
        <v>13536</v>
      </c>
      <c r="F3132">
        <v>1</v>
      </c>
      <c r="G3132" t="str">
        <f>HYPERLINK("http://babel.hathitrust.org/cgi/pt?id=uc1.b3130512")</f>
        <v>http://babel.hathitrust.org/cgi/pt?id=uc1.b3130512</v>
      </c>
      <c r="H3132" t="str">
        <f>HYPERLINK("http://catalog.hathitrust.org/Record/006107285")</f>
        <v>http://catalog.hathitrust.org/Record/006107285</v>
      </c>
      <c r="J3132" s="1">
        <v>1849</v>
      </c>
      <c r="K3132" t="s">
        <v>13537</v>
      </c>
      <c r="L3132" t="s">
        <v>13538</v>
      </c>
    </row>
    <row r="3133" spans="1:12">
      <c r="A3133" t="s">
        <v>13540</v>
      </c>
      <c r="B3133" s="1" t="s">
        <v>13541</v>
      </c>
      <c r="F3133">
        <v>1</v>
      </c>
      <c r="G3133" t="str">
        <f>HYPERLINK("http://babel.hathitrust.org/cgi/pt?id=uc1.b3130523")</f>
        <v>http://babel.hathitrust.org/cgi/pt?id=uc1.b3130523</v>
      </c>
      <c r="H3133" t="str">
        <f>HYPERLINK("http://catalog.hathitrust.org/Record/006107287")</f>
        <v>http://catalog.hathitrust.org/Record/006107287</v>
      </c>
      <c r="J3133" s="1">
        <v>1893</v>
      </c>
      <c r="K3133" t="s">
        <v>13542</v>
      </c>
      <c r="L3133" t="s">
        <v>16634</v>
      </c>
    </row>
    <row r="3134" spans="1:12">
      <c r="A3134" t="s">
        <v>13426</v>
      </c>
      <c r="B3134" s="1" t="s">
        <v>13541</v>
      </c>
      <c r="F3134">
        <v>1</v>
      </c>
      <c r="G3134" t="str">
        <f>HYPERLINK("http://babel.hathitrust.org/cgi/pt?id=uc2.ark:/13960/t2k64jn0b")</f>
        <v>http://babel.hathitrust.org/cgi/pt?id=uc2.ark:/13960/t2k64jn0b</v>
      </c>
      <c r="H3134" t="str">
        <f>HYPERLINK("http://catalog.hathitrust.org/Record/006107287")</f>
        <v>http://catalog.hathitrust.org/Record/006107287</v>
      </c>
      <c r="J3134" s="1">
        <v>1893</v>
      </c>
      <c r="K3134" t="s">
        <v>13542</v>
      </c>
      <c r="L3134" t="s">
        <v>16634</v>
      </c>
    </row>
    <row r="3135" spans="1:12">
      <c r="A3135" t="s">
        <v>13427</v>
      </c>
      <c r="B3135" s="1" t="s">
        <v>13428</v>
      </c>
      <c r="F3135">
        <v>1</v>
      </c>
      <c r="G3135" t="str">
        <f>HYPERLINK("http://babel.hathitrust.org/cgi/pt?id=uc1.b3130923")</f>
        <v>http://babel.hathitrust.org/cgi/pt?id=uc1.b3130923</v>
      </c>
      <c r="H3135" t="str">
        <f>HYPERLINK("http://catalog.hathitrust.org/Record/006107399")</f>
        <v>http://catalog.hathitrust.org/Record/006107399</v>
      </c>
      <c r="J3135" s="1">
        <v>1919</v>
      </c>
      <c r="K3135" t="s">
        <v>13429</v>
      </c>
      <c r="L3135" t="s">
        <v>15675</v>
      </c>
    </row>
    <row r="3136" spans="1:12">
      <c r="A3136" t="s">
        <v>13430</v>
      </c>
      <c r="B3136" s="1" t="s">
        <v>13428</v>
      </c>
      <c r="F3136">
        <v>1</v>
      </c>
      <c r="G3136" t="str">
        <f>HYPERLINK("http://babel.hathitrust.org/cgi/pt?id=uc2.ark:/13960/t34171z0t")</f>
        <v>http://babel.hathitrust.org/cgi/pt?id=uc2.ark:/13960/t34171z0t</v>
      </c>
      <c r="H3136" t="str">
        <f>HYPERLINK("http://catalog.hathitrust.org/Record/006107399")</f>
        <v>http://catalog.hathitrust.org/Record/006107399</v>
      </c>
      <c r="J3136" s="1">
        <v>1919</v>
      </c>
      <c r="K3136" t="s">
        <v>13429</v>
      </c>
      <c r="L3136" t="s">
        <v>15675</v>
      </c>
    </row>
    <row r="3137" spans="1:12">
      <c r="A3137" t="s">
        <v>13431</v>
      </c>
      <c r="B3137" s="1" t="s">
        <v>13432</v>
      </c>
      <c r="F3137">
        <v>1</v>
      </c>
      <c r="G3137" t="str">
        <f>HYPERLINK("http://babel.hathitrust.org/cgi/pt?id=uc1.b3132074")</f>
        <v>http://babel.hathitrust.org/cgi/pt?id=uc1.b3132074</v>
      </c>
      <c r="H3137" t="str">
        <f>HYPERLINK("http://catalog.hathitrust.org/Record/006107778")</f>
        <v>http://catalog.hathitrust.org/Record/006107778</v>
      </c>
      <c r="J3137" s="1">
        <v>1900</v>
      </c>
      <c r="K3137" t="s">
        <v>13433</v>
      </c>
      <c r="L3137" t="s">
        <v>14228</v>
      </c>
    </row>
    <row r="3138" spans="1:12">
      <c r="A3138" t="s">
        <v>13434</v>
      </c>
      <c r="B3138" s="1" t="s">
        <v>13432</v>
      </c>
      <c r="F3138">
        <v>1</v>
      </c>
      <c r="G3138" t="str">
        <f>HYPERLINK("http://babel.hathitrust.org/cgi/pt?id=uc2.ark:/13960/t21c22c2x")</f>
        <v>http://babel.hathitrust.org/cgi/pt?id=uc2.ark:/13960/t21c22c2x</v>
      </c>
      <c r="H3138" t="str">
        <f>HYPERLINK("http://catalog.hathitrust.org/Record/006107778")</f>
        <v>http://catalog.hathitrust.org/Record/006107778</v>
      </c>
      <c r="J3138" s="1">
        <v>1900</v>
      </c>
      <c r="K3138" t="s">
        <v>13433</v>
      </c>
      <c r="L3138" t="s">
        <v>14228</v>
      </c>
    </row>
    <row r="3139" spans="1:12">
      <c r="A3139" t="s">
        <v>13435</v>
      </c>
      <c r="B3139" s="1" t="s">
        <v>13436</v>
      </c>
      <c r="F3139">
        <v>1</v>
      </c>
      <c r="G3139" t="str">
        <f>HYPERLINK("http://babel.hathitrust.org/cgi/pt?id=uc1.b305360")</f>
        <v>http://babel.hathitrust.org/cgi/pt?id=uc1.b305360</v>
      </c>
      <c r="H3139" t="str">
        <f>HYPERLINK("http://catalog.hathitrust.org/Record/006108588")</f>
        <v>http://catalog.hathitrust.org/Record/006108588</v>
      </c>
      <c r="J3139" s="1">
        <v>1887</v>
      </c>
      <c r="K3139" t="s">
        <v>13437</v>
      </c>
      <c r="L3139" t="s">
        <v>13438</v>
      </c>
    </row>
    <row r="3140" spans="1:12">
      <c r="A3140" t="s">
        <v>13439</v>
      </c>
      <c r="B3140" s="1" t="s">
        <v>13436</v>
      </c>
      <c r="F3140">
        <v>1</v>
      </c>
      <c r="G3140" t="str">
        <f>HYPERLINK("http://babel.hathitrust.org/cgi/pt?id=uc1.b3135237")</f>
        <v>http://babel.hathitrust.org/cgi/pt?id=uc1.b3135237</v>
      </c>
      <c r="H3140" t="str">
        <f>HYPERLINK("http://catalog.hathitrust.org/Record/006108588")</f>
        <v>http://catalog.hathitrust.org/Record/006108588</v>
      </c>
      <c r="J3140" s="1">
        <v>1887</v>
      </c>
      <c r="K3140" t="s">
        <v>13437</v>
      </c>
      <c r="L3140" t="s">
        <v>13438</v>
      </c>
    </row>
    <row r="3141" spans="1:12">
      <c r="A3141" t="s">
        <v>13440</v>
      </c>
      <c r="B3141" s="1" t="s">
        <v>13441</v>
      </c>
      <c r="F3141">
        <v>1</v>
      </c>
      <c r="G3141" t="str">
        <f>HYPERLINK("http://babel.hathitrust.org/cgi/pt?id=uc1.b3135318")</f>
        <v>http://babel.hathitrust.org/cgi/pt?id=uc1.b3135318</v>
      </c>
      <c r="H3141" t="str">
        <f>HYPERLINK("http://catalog.hathitrust.org/Record/006108626")</f>
        <v>http://catalog.hathitrust.org/Record/006108626</v>
      </c>
      <c r="J3141" s="1">
        <v>1871</v>
      </c>
      <c r="K3141" t="s">
        <v>19666</v>
      </c>
      <c r="L3141" t="s">
        <v>19667</v>
      </c>
    </row>
    <row r="3142" spans="1:12">
      <c r="A3142" t="s">
        <v>13442</v>
      </c>
      <c r="B3142" s="1" t="s">
        <v>13443</v>
      </c>
      <c r="F3142">
        <v>1</v>
      </c>
      <c r="G3142" t="str">
        <f>HYPERLINK("http://babel.hathitrust.org/cgi/pt?id=uc1.b3135345")</f>
        <v>http://babel.hathitrust.org/cgi/pt?id=uc1.b3135345</v>
      </c>
      <c r="H3142" t="str">
        <f>HYPERLINK("http://catalog.hathitrust.org/Record/006108644")</f>
        <v>http://catalog.hathitrust.org/Record/006108644</v>
      </c>
      <c r="J3142" s="1">
        <v>1886</v>
      </c>
      <c r="K3142" t="s">
        <v>13444</v>
      </c>
      <c r="L3142" t="s">
        <v>15226</v>
      </c>
    </row>
    <row r="3143" spans="1:12">
      <c r="A3143" t="s">
        <v>13445</v>
      </c>
      <c r="B3143" s="1" t="s">
        <v>13443</v>
      </c>
      <c r="F3143">
        <v>1</v>
      </c>
      <c r="G3143" t="str">
        <f>HYPERLINK("http://babel.hathitrust.org/cgi/pt?id=uc2.ark:/13960/t06w97721")</f>
        <v>http://babel.hathitrust.org/cgi/pt?id=uc2.ark:/13960/t06w97721</v>
      </c>
      <c r="H3143" t="str">
        <f>HYPERLINK("http://catalog.hathitrust.org/Record/006108644")</f>
        <v>http://catalog.hathitrust.org/Record/006108644</v>
      </c>
      <c r="J3143" s="1">
        <v>1886</v>
      </c>
      <c r="K3143" t="s">
        <v>13444</v>
      </c>
      <c r="L3143" t="s">
        <v>15226</v>
      </c>
    </row>
    <row r="3144" spans="1:12">
      <c r="A3144" t="s">
        <v>13446</v>
      </c>
      <c r="B3144" s="1" t="s">
        <v>13447</v>
      </c>
      <c r="F3144">
        <v>1</v>
      </c>
      <c r="G3144" t="str">
        <f>HYPERLINK("http://babel.hathitrust.org/cgi/pt?id=uc1.b3135346")</f>
        <v>http://babel.hathitrust.org/cgi/pt?id=uc1.b3135346</v>
      </c>
      <c r="H3144" t="str">
        <f>HYPERLINK("http://catalog.hathitrust.org/Record/006108645")</f>
        <v>http://catalog.hathitrust.org/Record/006108645</v>
      </c>
      <c r="J3144" s="1">
        <v>1876</v>
      </c>
      <c r="K3144" t="s">
        <v>13448</v>
      </c>
      <c r="L3144" t="s">
        <v>15226</v>
      </c>
    </row>
    <row r="3145" spans="1:12">
      <c r="A3145" t="s">
        <v>13449</v>
      </c>
      <c r="B3145" s="1" t="s">
        <v>13447</v>
      </c>
      <c r="F3145">
        <v>1</v>
      </c>
      <c r="G3145" t="str">
        <f>HYPERLINK("http://babel.hathitrust.org/cgi/pt?id=uc2.ark:/13960/t78s4tm33")</f>
        <v>http://babel.hathitrust.org/cgi/pt?id=uc2.ark:/13960/t78s4tm33</v>
      </c>
      <c r="H3145" t="str">
        <f>HYPERLINK("http://catalog.hathitrust.org/Record/006108645")</f>
        <v>http://catalog.hathitrust.org/Record/006108645</v>
      </c>
      <c r="J3145" s="1">
        <v>1876</v>
      </c>
      <c r="K3145" t="s">
        <v>13448</v>
      </c>
      <c r="L3145" t="s">
        <v>15226</v>
      </c>
    </row>
    <row r="3146" spans="1:12">
      <c r="A3146" t="s">
        <v>13450</v>
      </c>
      <c r="B3146" s="1" t="s">
        <v>13451</v>
      </c>
      <c r="E3146">
        <v>1</v>
      </c>
      <c r="G3146" t="str">
        <f>HYPERLINK("http://babel.hathitrust.org/cgi/pt?id=uc1.b3136287")</f>
        <v>http://babel.hathitrust.org/cgi/pt?id=uc1.b3136287</v>
      </c>
      <c r="H3146" t="str">
        <f>HYPERLINK("http://catalog.hathitrust.org/Record/006109210")</f>
        <v>http://catalog.hathitrust.org/Record/006109210</v>
      </c>
      <c r="J3146" s="1">
        <v>1827</v>
      </c>
      <c r="K3146" t="s">
        <v>13452</v>
      </c>
      <c r="L3146" t="s">
        <v>20043</v>
      </c>
    </row>
    <row r="3147" spans="1:12">
      <c r="A3147" t="s">
        <v>13453</v>
      </c>
      <c r="B3147" s="1" t="s">
        <v>13454</v>
      </c>
      <c r="F3147">
        <v>1</v>
      </c>
      <c r="G3147" t="str">
        <f>HYPERLINK("http://babel.hathitrust.org/cgi/pt?id=uc1.b3136572")</f>
        <v>http://babel.hathitrust.org/cgi/pt?id=uc1.b3136572</v>
      </c>
      <c r="H3147" t="str">
        <f>HYPERLINK("http://catalog.hathitrust.org/Record/006109281")</f>
        <v>http://catalog.hathitrust.org/Record/006109281</v>
      </c>
      <c r="J3147" s="1">
        <v>1837</v>
      </c>
      <c r="K3147" t="s">
        <v>13455</v>
      </c>
      <c r="L3147" t="s">
        <v>20043</v>
      </c>
    </row>
    <row r="3148" spans="1:12">
      <c r="A3148" t="s">
        <v>13456</v>
      </c>
      <c r="B3148" s="1" t="s">
        <v>13454</v>
      </c>
      <c r="F3148">
        <v>1</v>
      </c>
      <c r="G3148" t="str">
        <f>HYPERLINK("http://babel.hathitrust.org/cgi/pt?id=uc2.ark:/13960/t4kk9cc2w")</f>
        <v>http://babel.hathitrust.org/cgi/pt?id=uc2.ark:/13960/t4kk9cc2w</v>
      </c>
      <c r="H3148" t="str">
        <f>HYPERLINK("http://catalog.hathitrust.org/Record/006109281")</f>
        <v>http://catalog.hathitrust.org/Record/006109281</v>
      </c>
      <c r="J3148" s="1">
        <v>1837</v>
      </c>
      <c r="K3148" t="s">
        <v>13455</v>
      </c>
      <c r="L3148" t="s">
        <v>20043</v>
      </c>
    </row>
    <row r="3149" spans="1:12">
      <c r="A3149" t="s">
        <v>13457</v>
      </c>
      <c r="B3149" s="1" t="s">
        <v>13458</v>
      </c>
      <c r="F3149">
        <v>1</v>
      </c>
      <c r="G3149" t="str">
        <f>HYPERLINK("http://babel.hathitrust.org/cgi/pt?id=uc1.b3136896")</f>
        <v>http://babel.hathitrust.org/cgi/pt?id=uc1.b3136896</v>
      </c>
      <c r="H3149" t="str">
        <f>HYPERLINK("http://catalog.hathitrust.org/Record/006109361")</f>
        <v>http://catalog.hathitrust.org/Record/006109361</v>
      </c>
      <c r="J3149" s="1">
        <v>1852</v>
      </c>
      <c r="K3149" t="s">
        <v>13459</v>
      </c>
      <c r="L3149" t="s">
        <v>13460</v>
      </c>
    </row>
    <row r="3150" spans="1:12">
      <c r="A3150" t="s">
        <v>13461</v>
      </c>
      <c r="B3150" s="1" t="s">
        <v>13458</v>
      </c>
      <c r="F3150">
        <v>1</v>
      </c>
      <c r="G3150" t="str">
        <f>HYPERLINK("http://babel.hathitrust.org/cgi/pt?id=uc2.ark:/13960/t9k35vr8j")</f>
        <v>http://babel.hathitrust.org/cgi/pt?id=uc2.ark:/13960/t9k35vr8j</v>
      </c>
      <c r="H3150" t="str">
        <f>HYPERLINK("http://catalog.hathitrust.org/Record/006109361")</f>
        <v>http://catalog.hathitrust.org/Record/006109361</v>
      </c>
      <c r="J3150" s="1">
        <v>1852</v>
      </c>
      <c r="K3150" t="s">
        <v>13459</v>
      </c>
      <c r="L3150" t="s">
        <v>13460</v>
      </c>
    </row>
    <row r="3151" spans="1:12">
      <c r="A3151" t="s">
        <v>13462</v>
      </c>
      <c r="B3151" s="1" t="s">
        <v>13463</v>
      </c>
      <c r="E3151">
        <v>1</v>
      </c>
      <c r="F3151">
        <v>1</v>
      </c>
      <c r="G3151" t="str">
        <f>HYPERLINK("http://babel.hathitrust.org/cgi/pt?id=uc1.b3139720")</f>
        <v>http://babel.hathitrust.org/cgi/pt?id=uc1.b3139720</v>
      </c>
      <c r="H3151" t="str">
        <f>HYPERLINK("http://catalog.hathitrust.org/Record/006109445")</f>
        <v>http://catalog.hathitrust.org/Record/006109445</v>
      </c>
      <c r="J3151" s="1">
        <v>1867</v>
      </c>
      <c r="K3151" t="s">
        <v>13464</v>
      </c>
      <c r="L3151" t="s">
        <v>17914</v>
      </c>
    </row>
    <row r="3152" spans="1:12">
      <c r="A3152" t="s">
        <v>13465</v>
      </c>
      <c r="B3152" s="1" t="s">
        <v>13463</v>
      </c>
      <c r="F3152">
        <v>1</v>
      </c>
      <c r="G3152" t="str">
        <f>HYPERLINK("http://babel.hathitrust.org/cgi/pt?id=uc2.ark:/13960/t55d8wk9m")</f>
        <v>http://babel.hathitrust.org/cgi/pt?id=uc2.ark:/13960/t55d8wk9m</v>
      </c>
      <c r="H3152" t="str">
        <f>HYPERLINK("http://catalog.hathitrust.org/Record/006109445")</f>
        <v>http://catalog.hathitrust.org/Record/006109445</v>
      </c>
      <c r="J3152" s="1">
        <v>1867</v>
      </c>
      <c r="K3152" t="s">
        <v>13464</v>
      </c>
      <c r="L3152" t="s">
        <v>17914</v>
      </c>
    </row>
    <row r="3153" spans="1:12">
      <c r="A3153" t="s">
        <v>13466</v>
      </c>
      <c r="B3153" s="1" t="s">
        <v>13467</v>
      </c>
      <c r="F3153">
        <v>1</v>
      </c>
      <c r="G3153" t="str">
        <f>HYPERLINK("http://babel.hathitrust.org/cgi/pt?id=uc1.$b617238")</f>
        <v>http://babel.hathitrust.org/cgi/pt?id=uc1.$b617238</v>
      </c>
      <c r="H3153" t="str">
        <f>HYPERLINK("http://catalog.hathitrust.org/Record/006109550")</f>
        <v>http://catalog.hathitrust.org/Record/006109550</v>
      </c>
      <c r="J3153" s="1">
        <v>1918</v>
      </c>
      <c r="K3153" t="s">
        <v>13468</v>
      </c>
      <c r="L3153" t="s">
        <v>14141</v>
      </c>
    </row>
    <row r="3154" spans="1:12">
      <c r="A3154" t="s">
        <v>13469</v>
      </c>
      <c r="B3154" s="1" t="s">
        <v>13467</v>
      </c>
      <c r="F3154">
        <v>1</v>
      </c>
      <c r="G3154" t="str">
        <f>HYPERLINK("http://babel.hathitrust.org/cgi/pt?id=uc1.b3140735")</f>
        <v>http://babel.hathitrust.org/cgi/pt?id=uc1.b3140735</v>
      </c>
      <c r="H3154" t="str">
        <f>HYPERLINK("http://catalog.hathitrust.org/Record/006109550")</f>
        <v>http://catalog.hathitrust.org/Record/006109550</v>
      </c>
      <c r="J3154" s="1">
        <v>1918</v>
      </c>
      <c r="K3154" t="s">
        <v>13468</v>
      </c>
      <c r="L3154" t="s">
        <v>14141</v>
      </c>
    </row>
    <row r="3155" spans="1:12">
      <c r="A3155" t="s">
        <v>13470</v>
      </c>
      <c r="B3155" s="1" t="s">
        <v>13467</v>
      </c>
      <c r="F3155">
        <v>1</v>
      </c>
      <c r="G3155" t="str">
        <f>HYPERLINK("http://babel.hathitrust.org/cgi/pt?id=uc2.ark:/13960/t4pk0d505")</f>
        <v>http://babel.hathitrust.org/cgi/pt?id=uc2.ark:/13960/t4pk0d505</v>
      </c>
      <c r="H3155" t="str">
        <f>HYPERLINK("http://catalog.hathitrust.org/Record/006109550")</f>
        <v>http://catalog.hathitrust.org/Record/006109550</v>
      </c>
      <c r="J3155" s="1">
        <v>1918</v>
      </c>
      <c r="K3155" t="s">
        <v>13468</v>
      </c>
      <c r="L3155" t="s">
        <v>14141</v>
      </c>
    </row>
    <row r="3156" spans="1:12">
      <c r="A3156" t="s">
        <v>13471</v>
      </c>
      <c r="B3156" s="1" t="s">
        <v>13472</v>
      </c>
      <c r="E3156">
        <v>1</v>
      </c>
      <c r="F3156">
        <v>1</v>
      </c>
      <c r="G3156" t="str">
        <f>HYPERLINK("http://babel.hathitrust.org/cgi/pt?id=uc1.b3146104")</f>
        <v>http://babel.hathitrust.org/cgi/pt?id=uc1.b3146104</v>
      </c>
      <c r="H3156" t="str">
        <f>HYPERLINK("http://catalog.hathitrust.org/Record/006110591")</f>
        <v>http://catalog.hathitrust.org/Record/006110591</v>
      </c>
      <c r="J3156" s="1">
        <v>1885</v>
      </c>
      <c r="K3156" t="s">
        <v>13363</v>
      </c>
      <c r="L3156" t="s">
        <v>13364</v>
      </c>
    </row>
    <row r="3157" spans="1:12">
      <c r="A3157" t="s">
        <v>13365</v>
      </c>
      <c r="B3157" s="1" t="s">
        <v>13472</v>
      </c>
      <c r="F3157">
        <v>1</v>
      </c>
      <c r="G3157" t="str">
        <f>HYPERLINK("http://babel.hathitrust.org/cgi/pt?id=uc2.ark:/13960/t6vx0f74z")</f>
        <v>http://babel.hathitrust.org/cgi/pt?id=uc2.ark:/13960/t6vx0f74z</v>
      </c>
      <c r="H3157" t="str">
        <f>HYPERLINK("http://catalog.hathitrust.org/Record/006110591")</f>
        <v>http://catalog.hathitrust.org/Record/006110591</v>
      </c>
      <c r="J3157" s="1">
        <v>1885</v>
      </c>
      <c r="K3157" t="s">
        <v>13363</v>
      </c>
      <c r="L3157" t="s">
        <v>13364</v>
      </c>
    </row>
    <row r="3158" spans="1:12">
      <c r="A3158" t="s">
        <v>13366</v>
      </c>
      <c r="B3158" s="1" t="s">
        <v>13367</v>
      </c>
      <c r="F3158">
        <v>1</v>
      </c>
      <c r="G3158" t="str">
        <f>HYPERLINK("http://babel.hathitrust.org/cgi/pt?id=nyp.33433081982237")</f>
        <v>http://babel.hathitrust.org/cgi/pt?id=nyp.33433081982237</v>
      </c>
      <c r="H3158" t="str">
        <f>HYPERLINK("http://catalog.hathitrust.org/Record/006110776")</f>
        <v>http://catalog.hathitrust.org/Record/006110776</v>
      </c>
      <c r="J3158" s="1">
        <v>1921</v>
      </c>
      <c r="K3158" t="s">
        <v>13368</v>
      </c>
      <c r="L3158" t="s">
        <v>13369</v>
      </c>
    </row>
    <row r="3159" spans="1:12">
      <c r="A3159" t="s">
        <v>13370</v>
      </c>
      <c r="B3159" s="1" t="s">
        <v>13367</v>
      </c>
      <c r="F3159">
        <v>1</v>
      </c>
      <c r="G3159" t="str">
        <f>HYPERLINK("http://babel.hathitrust.org/cgi/pt?id=uc1.b3146711")</f>
        <v>http://babel.hathitrust.org/cgi/pt?id=uc1.b3146711</v>
      </c>
      <c r="H3159" t="str">
        <f>HYPERLINK("http://catalog.hathitrust.org/Record/006110776")</f>
        <v>http://catalog.hathitrust.org/Record/006110776</v>
      </c>
      <c r="J3159" s="1">
        <v>1921</v>
      </c>
      <c r="K3159" t="s">
        <v>13368</v>
      </c>
      <c r="L3159" t="s">
        <v>13369</v>
      </c>
    </row>
    <row r="3160" spans="1:12">
      <c r="A3160" t="s">
        <v>13371</v>
      </c>
      <c r="B3160" s="1" t="s">
        <v>13367</v>
      </c>
      <c r="F3160">
        <v>1</v>
      </c>
      <c r="G3160" t="str">
        <f>HYPERLINK("http://babel.hathitrust.org/cgi/pt?id=uc2.ark:/13960/t2s46t26v")</f>
        <v>http://babel.hathitrust.org/cgi/pt?id=uc2.ark:/13960/t2s46t26v</v>
      </c>
      <c r="H3160" t="str">
        <f>HYPERLINK("http://catalog.hathitrust.org/Record/006110776")</f>
        <v>http://catalog.hathitrust.org/Record/006110776</v>
      </c>
      <c r="J3160" s="1">
        <v>1921</v>
      </c>
      <c r="K3160" t="s">
        <v>13368</v>
      </c>
      <c r="L3160" t="s">
        <v>13369</v>
      </c>
    </row>
    <row r="3161" spans="1:12">
      <c r="A3161" t="s">
        <v>13372</v>
      </c>
      <c r="B3161" s="1" t="s">
        <v>13373</v>
      </c>
      <c r="E3161">
        <v>1</v>
      </c>
      <c r="F3161">
        <v>1</v>
      </c>
      <c r="G3161" t="str">
        <f>HYPERLINK("http://babel.hathitrust.org/cgi/pt?id=loc.ark:/13960/t3611vm2k")</f>
        <v>http://babel.hathitrust.org/cgi/pt?id=loc.ark:/13960/t3611vm2k</v>
      </c>
      <c r="H3161" t="str">
        <f>HYPERLINK("http://catalog.hathitrust.org/Record/006125244")</f>
        <v>http://catalog.hathitrust.org/Record/006125244</v>
      </c>
      <c r="J3161" s="1">
        <v>1903</v>
      </c>
      <c r="K3161" t="s">
        <v>15441</v>
      </c>
      <c r="L3161" t="s">
        <v>18982</v>
      </c>
    </row>
    <row r="3162" spans="1:12">
      <c r="A3162" t="s">
        <v>13374</v>
      </c>
      <c r="B3162" s="1" t="s">
        <v>13373</v>
      </c>
      <c r="F3162">
        <v>1</v>
      </c>
      <c r="G3162" t="str">
        <f>HYPERLINK("http://babel.hathitrust.org/cgi/pt?id=uc1.b3229122")</f>
        <v>http://babel.hathitrust.org/cgi/pt?id=uc1.b3229122</v>
      </c>
      <c r="H3162" t="str">
        <f>HYPERLINK("http://catalog.hathitrust.org/Record/006125244")</f>
        <v>http://catalog.hathitrust.org/Record/006125244</v>
      </c>
      <c r="J3162" s="1">
        <v>1903</v>
      </c>
      <c r="K3162" t="s">
        <v>15441</v>
      </c>
      <c r="L3162" t="s">
        <v>18982</v>
      </c>
    </row>
    <row r="3163" spans="1:12">
      <c r="A3163" t="s">
        <v>13375</v>
      </c>
      <c r="B3163" s="1" t="s">
        <v>13373</v>
      </c>
      <c r="F3163">
        <v>1</v>
      </c>
      <c r="G3163" t="str">
        <f>HYPERLINK("http://babel.hathitrust.org/cgi/pt?id=uc2.ark:/13960/t7hq41c3x")</f>
        <v>http://babel.hathitrust.org/cgi/pt?id=uc2.ark:/13960/t7hq41c3x</v>
      </c>
      <c r="H3163" t="str">
        <f>HYPERLINK("http://catalog.hathitrust.org/Record/006125244")</f>
        <v>http://catalog.hathitrust.org/Record/006125244</v>
      </c>
      <c r="J3163" s="1">
        <v>1903</v>
      </c>
      <c r="K3163" t="s">
        <v>15441</v>
      </c>
      <c r="L3163" t="s">
        <v>18982</v>
      </c>
    </row>
    <row r="3164" spans="1:12">
      <c r="A3164" t="s">
        <v>13376</v>
      </c>
      <c r="B3164" s="1" t="s">
        <v>13377</v>
      </c>
      <c r="F3164">
        <v>1</v>
      </c>
      <c r="G3164" t="str">
        <f>HYPERLINK("http://babel.hathitrust.org/cgi/pt?id=uc1.b3230395")</f>
        <v>http://babel.hathitrust.org/cgi/pt?id=uc1.b3230395</v>
      </c>
      <c r="H3164" t="str">
        <f>HYPERLINK("http://catalog.hathitrust.org/Record/006125277")</f>
        <v>http://catalog.hathitrust.org/Record/006125277</v>
      </c>
      <c r="J3164" s="1">
        <v>1938</v>
      </c>
      <c r="K3164" t="s">
        <v>13378</v>
      </c>
      <c r="L3164" t="s">
        <v>13379</v>
      </c>
    </row>
    <row r="3165" spans="1:12">
      <c r="A3165" t="s">
        <v>13380</v>
      </c>
      <c r="B3165" s="1" t="s">
        <v>13381</v>
      </c>
      <c r="F3165">
        <v>1</v>
      </c>
      <c r="G3165" t="str">
        <f>HYPERLINK("http://babel.hathitrust.org/cgi/pt?id=uc1.b3290423")</f>
        <v>http://babel.hathitrust.org/cgi/pt?id=uc1.b3290423</v>
      </c>
      <c r="H3165" t="str">
        <f>HYPERLINK("http://catalog.hathitrust.org/Record/006128682")</f>
        <v>http://catalog.hathitrust.org/Record/006128682</v>
      </c>
      <c r="J3165" s="1">
        <v>1903</v>
      </c>
      <c r="K3165" t="s">
        <v>13382</v>
      </c>
      <c r="L3165" t="s">
        <v>18289</v>
      </c>
    </row>
    <row r="3166" spans="1:12">
      <c r="A3166" t="s">
        <v>13383</v>
      </c>
      <c r="B3166" s="1" t="s">
        <v>13381</v>
      </c>
      <c r="F3166">
        <v>1</v>
      </c>
      <c r="G3166" t="str">
        <f>HYPERLINK("http://babel.hathitrust.org/cgi/pt?id=uc2.ark:/13960/t88g8q25b")</f>
        <v>http://babel.hathitrust.org/cgi/pt?id=uc2.ark:/13960/t88g8q25b</v>
      </c>
      <c r="H3166" t="str">
        <f>HYPERLINK("http://catalog.hathitrust.org/Record/006128682")</f>
        <v>http://catalog.hathitrust.org/Record/006128682</v>
      </c>
      <c r="J3166" s="1">
        <v>1903</v>
      </c>
      <c r="K3166" t="s">
        <v>13382</v>
      </c>
      <c r="L3166" t="s">
        <v>18289</v>
      </c>
    </row>
    <row r="3167" spans="1:12">
      <c r="A3167" t="s">
        <v>13384</v>
      </c>
      <c r="B3167" s="1" t="s">
        <v>13385</v>
      </c>
      <c r="F3167">
        <v>1</v>
      </c>
      <c r="G3167" t="str">
        <f>HYPERLINK("http://babel.hathitrust.org/cgi/pt?id=hvd.32044013637319")</f>
        <v>http://babel.hathitrust.org/cgi/pt?id=hvd.32044013637319</v>
      </c>
      <c r="H3167" t="str">
        <f t="shared" ref="H3167:H3175" si="45">HYPERLINK("http://catalog.hathitrust.org/Record/006128966")</f>
        <v>http://catalog.hathitrust.org/Record/006128966</v>
      </c>
      <c r="I3167" s="1" t="s">
        <v>20920</v>
      </c>
      <c r="J3167" s="1">
        <v>1824</v>
      </c>
      <c r="K3167" t="s">
        <v>13386</v>
      </c>
      <c r="L3167" t="s">
        <v>17879</v>
      </c>
    </row>
    <row r="3168" spans="1:12">
      <c r="A3168" t="s">
        <v>13387</v>
      </c>
      <c r="B3168" s="1" t="s">
        <v>13385</v>
      </c>
      <c r="F3168">
        <v>1</v>
      </c>
      <c r="G3168" t="str">
        <f>HYPERLINK("http://babel.hathitrust.org/cgi/pt?id=hvd.32044014224984")</f>
        <v>http://babel.hathitrust.org/cgi/pt?id=hvd.32044014224984</v>
      </c>
      <c r="H3168" t="str">
        <f t="shared" si="45"/>
        <v>http://catalog.hathitrust.org/Record/006128966</v>
      </c>
      <c r="I3168" s="1" t="s">
        <v>20916</v>
      </c>
      <c r="J3168" s="1">
        <v>1824</v>
      </c>
      <c r="K3168" t="s">
        <v>13386</v>
      </c>
      <c r="L3168" t="s">
        <v>17879</v>
      </c>
    </row>
    <row r="3169" spans="1:12">
      <c r="A3169" t="s">
        <v>13388</v>
      </c>
      <c r="B3169" s="1" t="s">
        <v>13385</v>
      </c>
      <c r="F3169">
        <v>1</v>
      </c>
      <c r="G3169" t="str">
        <f>HYPERLINK("http://babel.hathitrust.org/cgi/pt?id=hvd.hwdqf6")</f>
        <v>http://babel.hathitrust.org/cgi/pt?id=hvd.hwdqf6</v>
      </c>
      <c r="H3169" t="str">
        <f t="shared" si="45"/>
        <v>http://catalog.hathitrust.org/Record/006128966</v>
      </c>
      <c r="I3169" s="1" t="s">
        <v>20755</v>
      </c>
      <c r="J3169" s="1">
        <v>1824</v>
      </c>
      <c r="K3169" t="s">
        <v>13386</v>
      </c>
      <c r="L3169" t="s">
        <v>17879</v>
      </c>
    </row>
    <row r="3170" spans="1:12">
      <c r="A3170" t="s">
        <v>13389</v>
      </c>
      <c r="B3170" s="1" t="s">
        <v>13385</v>
      </c>
      <c r="F3170">
        <v>1</v>
      </c>
      <c r="G3170" t="str">
        <f>HYPERLINK("http://babel.hathitrust.org/cgi/pt?id=hvd.hwdqtw")</f>
        <v>http://babel.hathitrust.org/cgi/pt?id=hvd.hwdqtw</v>
      </c>
      <c r="H3170" t="str">
        <f t="shared" si="45"/>
        <v>http://catalog.hathitrust.org/Record/006128966</v>
      </c>
      <c r="I3170" s="1" t="s">
        <v>20920</v>
      </c>
      <c r="J3170" s="1">
        <v>1824</v>
      </c>
      <c r="K3170" t="s">
        <v>13386</v>
      </c>
      <c r="L3170" t="s">
        <v>17879</v>
      </c>
    </row>
    <row r="3171" spans="1:12">
      <c r="A3171" t="s">
        <v>13390</v>
      </c>
      <c r="B3171" s="1" t="s">
        <v>13385</v>
      </c>
      <c r="F3171">
        <v>1</v>
      </c>
      <c r="G3171" t="str">
        <f>HYPERLINK("http://babel.hathitrust.org/cgi/pt?id=hvd.hwdqtx")</f>
        <v>http://babel.hathitrust.org/cgi/pt?id=hvd.hwdqtx</v>
      </c>
      <c r="H3171" t="str">
        <f t="shared" si="45"/>
        <v>http://catalog.hathitrust.org/Record/006128966</v>
      </c>
      <c r="I3171" s="1" t="s">
        <v>20679</v>
      </c>
      <c r="J3171" s="1">
        <v>1824</v>
      </c>
      <c r="K3171" t="s">
        <v>13386</v>
      </c>
      <c r="L3171" t="s">
        <v>17879</v>
      </c>
    </row>
    <row r="3172" spans="1:12">
      <c r="A3172" t="s">
        <v>13391</v>
      </c>
      <c r="B3172" s="1" t="s">
        <v>13385</v>
      </c>
      <c r="F3172">
        <v>1</v>
      </c>
      <c r="G3172" t="str">
        <f>HYPERLINK("http://babel.hathitrust.org/cgi/pt?id=uc1.b3294890")</f>
        <v>http://babel.hathitrust.org/cgi/pt?id=uc1.b3294890</v>
      </c>
      <c r="H3172" t="str">
        <f t="shared" si="45"/>
        <v>http://catalog.hathitrust.org/Record/006128966</v>
      </c>
      <c r="I3172" s="1" t="s">
        <v>20916</v>
      </c>
      <c r="J3172" s="1">
        <v>1824</v>
      </c>
      <c r="K3172" t="s">
        <v>13386</v>
      </c>
      <c r="L3172" t="s">
        <v>17879</v>
      </c>
    </row>
    <row r="3173" spans="1:12">
      <c r="A3173" t="s">
        <v>13392</v>
      </c>
      <c r="B3173" s="1" t="s">
        <v>13385</v>
      </c>
      <c r="F3173">
        <v>1</v>
      </c>
      <c r="G3173" t="str">
        <f>HYPERLINK("http://babel.hathitrust.org/cgi/pt?id=uc1.b3294891")</f>
        <v>http://babel.hathitrust.org/cgi/pt?id=uc1.b3294891</v>
      </c>
      <c r="H3173" t="str">
        <f t="shared" si="45"/>
        <v>http://catalog.hathitrust.org/Record/006128966</v>
      </c>
      <c r="I3173" s="1" t="s">
        <v>20755</v>
      </c>
      <c r="J3173" s="1">
        <v>1824</v>
      </c>
      <c r="K3173" t="s">
        <v>13386</v>
      </c>
      <c r="L3173" t="s">
        <v>17879</v>
      </c>
    </row>
    <row r="3174" spans="1:12">
      <c r="A3174" t="s">
        <v>13393</v>
      </c>
      <c r="B3174" s="1" t="s">
        <v>13385</v>
      </c>
      <c r="F3174">
        <v>1</v>
      </c>
      <c r="G3174" t="str">
        <f>HYPERLINK("http://babel.hathitrust.org/cgi/pt?id=uc1.b3294892")</f>
        <v>http://babel.hathitrust.org/cgi/pt?id=uc1.b3294892</v>
      </c>
      <c r="H3174" t="str">
        <f t="shared" si="45"/>
        <v>http://catalog.hathitrust.org/Record/006128966</v>
      </c>
      <c r="I3174" s="1" t="s">
        <v>20920</v>
      </c>
      <c r="J3174" s="1">
        <v>1824</v>
      </c>
      <c r="K3174" t="s">
        <v>13386</v>
      </c>
      <c r="L3174" t="s">
        <v>17879</v>
      </c>
    </row>
    <row r="3175" spans="1:12">
      <c r="A3175" t="s">
        <v>13394</v>
      </c>
      <c r="B3175" s="1" t="s">
        <v>13385</v>
      </c>
      <c r="F3175">
        <v>1</v>
      </c>
      <c r="G3175" t="str">
        <f>HYPERLINK("http://babel.hathitrust.org/cgi/pt?id=uc1.b3294893")</f>
        <v>http://babel.hathitrust.org/cgi/pt?id=uc1.b3294893</v>
      </c>
      <c r="H3175" t="str">
        <f t="shared" si="45"/>
        <v>http://catalog.hathitrust.org/Record/006128966</v>
      </c>
      <c r="I3175" s="1" t="s">
        <v>20679</v>
      </c>
      <c r="J3175" s="1">
        <v>1824</v>
      </c>
      <c r="K3175" t="s">
        <v>13386</v>
      </c>
      <c r="L3175" t="s">
        <v>17879</v>
      </c>
    </row>
    <row r="3176" spans="1:12">
      <c r="A3176" t="s">
        <v>13395</v>
      </c>
      <c r="B3176" s="1" t="s">
        <v>13396</v>
      </c>
      <c r="E3176">
        <v>1</v>
      </c>
      <c r="G3176" t="str">
        <f>HYPERLINK("http://babel.hathitrust.org/cgi/pt?id=uc1.b3311811")</f>
        <v>http://babel.hathitrust.org/cgi/pt?id=uc1.b3311811</v>
      </c>
      <c r="H3176" t="str">
        <f>HYPERLINK("http://catalog.hathitrust.org/Record/006130355")</f>
        <v>http://catalog.hathitrust.org/Record/006130355</v>
      </c>
      <c r="I3176" s="1" t="s">
        <v>13397</v>
      </c>
      <c r="J3176" s="1">
        <v>1890</v>
      </c>
      <c r="K3176" t="s">
        <v>17259</v>
      </c>
      <c r="L3176" t="s">
        <v>20485</v>
      </c>
    </row>
    <row r="3177" spans="1:12">
      <c r="A3177" t="s">
        <v>13398</v>
      </c>
      <c r="B3177" s="1" t="s">
        <v>13396</v>
      </c>
      <c r="E3177">
        <v>1</v>
      </c>
      <c r="G3177" t="str">
        <f>HYPERLINK("http://babel.hathitrust.org/cgi/pt?id=uc1.b3311812")</f>
        <v>http://babel.hathitrust.org/cgi/pt?id=uc1.b3311812</v>
      </c>
      <c r="H3177" t="str">
        <f>HYPERLINK("http://catalog.hathitrust.org/Record/006130355")</f>
        <v>http://catalog.hathitrust.org/Record/006130355</v>
      </c>
      <c r="I3177" s="1" t="s">
        <v>13399</v>
      </c>
      <c r="J3177" s="1">
        <v>1890</v>
      </c>
      <c r="K3177" t="s">
        <v>17259</v>
      </c>
      <c r="L3177" t="s">
        <v>20485</v>
      </c>
    </row>
    <row r="3178" spans="1:12">
      <c r="A3178" t="s">
        <v>13400</v>
      </c>
      <c r="B3178" s="1" t="s">
        <v>13401</v>
      </c>
      <c r="D3178">
        <v>1</v>
      </c>
      <c r="G3178" t="str">
        <f>HYPERLINK("http://babel.hathitrust.org/cgi/pt?id=uc1.b3311895")</f>
        <v>http://babel.hathitrust.org/cgi/pt?id=uc1.b3311895</v>
      </c>
      <c r="H3178" t="str">
        <f>HYPERLINK("http://catalog.hathitrust.org/Record/006130386")</f>
        <v>http://catalog.hathitrust.org/Record/006130386</v>
      </c>
      <c r="J3178" s="1">
        <v>1892</v>
      </c>
      <c r="K3178" t="s">
        <v>13402</v>
      </c>
      <c r="L3178" t="s">
        <v>19996</v>
      </c>
    </row>
    <row r="3179" spans="1:12">
      <c r="A3179" t="s">
        <v>13403</v>
      </c>
      <c r="B3179" s="1" t="s">
        <v>13404</v>
      </c>
      <c r="D3179">
        <v>1</v>
      </c>
      <c r="G3179" t="str">
        <f>HYPERLINK("http://babel.hathitrust.org/cgi/pt?id=nc01.ark:/13960/t0rr2q686")</f>
        <v>http://babel.hathitrust.org/cgi/pt?id=nc01.ark:/13960/t0rr2q686</v>
      </c>
      <c r="H3179" t="str">
        <f t="shared" ref="H3179:H3186" si="46">HYPERLINK("http://catalog.hathitrust.org/Record/006130413")</f>
        <v>http://catalog.hathitrust.org/Record/006130413</v>
      </c>
      <c r="I3179" s="1" t="s">
        <v>20916</v>
      </c>
      <c r="J3179" s="1">
        <v>1856</v>
      </c>
      <c r="K3179" t="s">
        <v>13405</v>
      </c>
      <c r="L3179" t="s">
        <v>13406</v>
      </c>
    </row>
    <row r="3180" spans="1:12">
      <c r="A3180" t="s">
        <v>13407</v>
      </c>
      <c r="B3180" s="1" t="s">
        <v>13404</v>
      </c>
      <c r="D3180">
        <v>1</v>
      </c>
      <c r="G3180" t="str">
        <f>HYPERLINK("http://babel.hathitrust.org/cgi/pt?id=nc01.ark:/13960/t21c2w19r")</f>
        <v>http://babel.hathitrust.org/cgi/pt?id=nc01.ark:/13960/t21c2w19r</v>
      </c>
      <c r="H3180" t="str">
        <f t="shared" si="46"/>
        <v>http://catalog.hathitrust.org/Record/006130413</v>
      </c>
      <c r="I3180" s="1" t="s">
        <v>20920</v>
      </c>
      <c r="J3180" s="1">
        <v>1856</v>
      </c>
      <c r="K3180" t="s">
        <v>13405</v>
      </c>
      <c r="L3180" t="s">
        <v>13406</v>
      </c>
    </row>
    <row r="3181" spans="1:12">
      <c r="A3181" t="s">
        <v>13408</v>
      </c>
      <c r="B3181" s="1" t="s">
        <v>13404</v>
      </c>
      <c r="D3181">
        <v>1</v>
      </c>
      <c r="G3181" t="str">
        <f>HYPERLINK("http://babel.hathitrust.org/cgi/pt?id=nc01.ark:/13960/t6h13x17k")</f>
        <v>http://babel.hathitrust.org/cgi/pt?id=nc01.ark:/13960/t6h13x17k</v>
      </c>
      <c r="H3181" t="str">
        <f t="shared" si="46"/>
        <v>http://catalog.hathitrust.org/Record/006130413</v>
      </c>
      <c r="I3181" s="1" t="s">
        <v>20755</v>
      </c>
      <c r="J3181" s="1">
        <v>1856</v>
      </c>
      <c r="K3181" t="s">
        <v>13405</v>
      </c>
      <c r="L3181" t="s">
        <v>13406</v>
      </c>
    </row>
    <row r="3182" spans="1:12">
      <c r="A3182" t="s">
        <v>13409</v>
      </c>
      <c r="B3182" s="1" t="s">
        <v>13404</v>
      </c>
      <c r="D3182">
        <v>1</v>
      </c>
      <c r="G3182" t="str">
        <f>HYPERLINK("http://babel.hathitrust.org/cgi/pt?id=nc01.ark:/13960/t6qz3493w")</f>
        <v>http://babel.hathitrust.org/cgi/pt?id=nc01.ark:/13960/t6qz3493w</v>
      </c>
      <c r="H3182" t="str">
        <f t="shared" si="46"/>
        <v>http://catalog.hathitrust.org/Record/006130413</v>
      </c>
      <c r="I3182" s="1" t="s">
        <v>20679</v>
      </c>
      <c r="J3182" s="1">
        <v>1856</v>
      </c>
      <c r="K3182" t="s">
        <v>13405</v>
      </c>
      <c r="L3182" t="s">
        <v>13406</v>
      </c>
    </row>
    <row r="3183" spans="1:12">
      <c r="A3183" t="s">
        <v>13410</v>
      </c>
      <c r="B3183" s="1" t="s">
        <v>13404</v>
      </c>
      <c r="F3183">
        <v>1</v>
      </c>
      <c r="G3183" t="str">
        <f>HYPERLINK("http://babel.hathitrust.org/cgi/pt?id=uc1.b3311977")</f>
        <v>http://babel.hathitrust.org/cgi/pt?id=uc1.b3311977</v>
      </c>
      <c r="H3183" t="str">
        <f t="shared" si="46"/>
        <v>http://catalog.hathitrust.org/Record/006130413</v>
      </c>
      <c r="I3183" s="1" t="s">
        <v>20916</v>
      </c>
      <c r="J3183" s="1">
        <v>1856</v>
      </c>
      <c r="K3183" t="s">
        <v>13405</v>
      </c>
      <c r="L3183" t="s">
        <v>13406</v>
      </c>
    </row>
    <row r="3184" spans="1:12">
      <c r="A3184" t="s">
        <v>13411</v>
      </c>
      <c r="B3184" s="1" t="s">
        <v>13404</v>
      </c>
      <c r="F3184">
        <v>1</v>
      </c>
      <c r="G3184" t="str">
        <f>HYPERLINK("http://babel.hathitrust.org/cgi/pt?id=uc1.b3311978")</f>
        <v>http://babel.hathitrust.org/cgi/pt?id=uc1.b3311978</v>
      </c>
      <c r="H3184" t="str">
        <f t="shared" si="46"/>
        <v>http://catalog.hathitrust.org/Record/006130413</v>
      </c>
      <c r="I3184" s="1" t="s">
        <v>20799</v>
      </c>
      <c r="J3184" s="1">
        <v>1856</v>
      </c>
      <c r="K3184" t="s">
        <v>13405</v>
      </c>
      <c r="L3184" t="s">
        <v>13406</v>
      </c>
    </row>
    <row r="3185" spans="1:12">
      <c r="A3185" t="s">
        <v>13412</v>
      </c>
      <c r="B3185" s="1" t="s">
        <v>13404</v>
      </c>
      <c r="F3185">
        <v>1</v>
      </c>
      <c r="G3185" t="str">
        <f>HYPERLINK("http://babel.hathitrust.org/cgi/pt?id=uc1.b3311979")</f>
        <v>http://babel.hathitrust.org/cgi/pt?id=uc1.b3311979</v>
      </c>
      <c r="H3185" t="str">
        <f t="shared" si="46"/>
        <v>http://catalog.hathitrust.org/Record/006130413</v>
      </c>
      <c r="I3185" s="1" t="s">
        <v>20801</v>
      </c>
      <c r="J3185" s="1">
        <v>1856</v>
      </c>
      <c r="K3185" t="s">
        <v>13405</v>
      </c>
      <c r="L3185" t="s">
        <v>13406</v>
      </c>
    </row>
    <row r="3186" spans="1:12">
      <c r="A3186" t="s">
        <v>13413</v>
      </c>
      <c r="B3186" s="1" t="s">
        <v>13404</v>
      </c>
      <c r="F3186">
        <v>1</v>
      </c>
      <c r="G3186" t="str">
        <f>HYPERLINK("http://babel.hathitrust.org/cgi/pt?id=uc1.b3311980")</f>
        <v>http://babel.hathitrust.org/cgi/pt?id=uc1.b3311980</v>
      </c>
      <c r="H3186" t="str">
        <f t="shared" si="46"/>
        <v>http://catalog.hathitrust.org/Record/006130413</v>
      </c>
      <c r="I3186" s="1" t="s">
        <v>20803</v>
      </c>
      <c r="J3186" s="1">
        <v>1856</v>
      </c>
      <c r="K3186" t="s">
        <v>13405</v>
      </c>
      <c r="L3186" t="s">
        <v>13406</v>
      </c>
    </row>
    <row r="3187" spans="1:12">
      <c r="A3187" t="s">
        <v>13414</v>
      </c>
      <c r="B3187" s="1" t="s">
        <v>13415</v>
      </c>
      <c r="F3187">
        <v>1</v>
      </c>
      <c r="G3187" t="str">
        <f>HYPERLINK("http://babel.hathitrust.org/cgi/pt?id=uc1.b4068650")</f>
        <v>http://babel.hathitrust.org/cgi/pt?id=uc1.b4068650</v>
      </c>
      <c r="H3187" t="str">
        <f>HYPERLINK("http://catalog.hathitrust.org/Record/006142832")</f>
        <v>http://catalog.hathitrust.org/Record/006142832</v>
      </c>
      <c r="J3187" s="1">
        <v>1898</v>
      </c>
      <c r="K3187" t="s">
        <v>13416</v>
      </c>
      <c r="L3187" t="s">
        <v>13417</v>
      </c>
    </row>
    <row r="3188" spans="1:12">
      <c r="A3188" t="s">
        <v>13418</v>
      </c>
      <c r="B3188" s="1" t="s">
        <v>13419</v>
      </c>
      <c r="F3188">
        <v>1</v>
      </c>
      <c r="G3188" t="str">
        <f>HYPERLINK("http://babel.hathitrust.org/cgi/pt?id=nyp.33433081977500")</f>
        <v>http://babel.hathitrust.org/cgi/pt?id=nyp.33433081977500</v>
      </c>
      <c r="H3188" t="str">
        <f>HYPERLINK("http://catalog.hathitrust.org/Record/006147705")</f>
        <v>http://catalog.hathitrust.org/Record/006147705</v>
      </c>
      <c r="J3188" s="1">
        <v>1898</v>
      </c>
      <c r="K3188" t="s">
        <v>13420</v>
      </c>
      <c r="L3188" t="s">
        <v>18304</v>
      </c>
    </row>
    <row r="3189" spans="1:12">
      <c r="A3189" t="s">
        <v>13421</v>
      </c>
      <c r="B3189" s="1" t="s">
        <v>13419</v>
      </c>
      <c r="F3189">
        <v>1</v>
      </c>
      <c r="G3189" t="str">
        <f>HYPERLINK("http://babel.hathitrust.org/cgi/pt?id=uc1.b4082328")</f>
        <v>http://babel.hathitrust.org/cgi/pt?id=uc1.b4082328</v>
      </c>
      <c r="H3189" t="str">
        <f>HYPERLINK("http://catalog.hathitrust.org/Record/006147705")</f>
        <v>http://catalog.hathitrust.org/Record/006147705</v>
      </c>
      <c r="J3189" s="1">
        <v>1898</v>
      </c>
      <c r="K3189" t="s">
        <v>13420</v>
      </c>
      <c r="L3189" t="s">
        <v>18304</v>
      </c>
    </row>
    <row r="3190" spans="1:12">
      <c r="A3190" t="s">
        <v>13422</v>
      </c>
      <c r="B3190" s="1" t="s">
        <v>13423</v>
      </c>
      <c r="F3190">
        <v>1</v>
      </c>
      <c r="G3190" t="str">
        <f>HYPERLINK("http://babel.hathitrust.org/cgi/pt?id=nyp.33433069239592")</f>
        <v>http://babel.hathitrust.org/cgi/pt?id=nyp.33433069239592</v>
      </c>
      <c r="H3190" t="str">
        <f>HYPERLINK("http://catalog.hathitrust.org/Record/006150538")</f>
        <v>http://catalog.hathitrust.org/Record/006150538</v>
      </c>
      <c r="J3190" s="1">
        <v>1888</v>
      </c>
      <c r="K3190" t="s">
        <v>13424</v>
      </c>
      <c r="L3190" t="s">
        <v>13425</v>
      </c>
    </row>
    <row r="3191" spans="1:12">
      <c r="A3191" t="s">
        <v>13306</v>
      </c>
      <c r="B3191" s="1" t="s">
        <v>13307</v>
      </c>
      <c r="F3191">
        <v>1</v>
      </c>
      <c r="G3191" t="str">
        <f>HYPERLINK("http://babel.hathitrust.org/cgi/pt?id=uc1.b4089185")</f>
        <v>http://babel.hathitrust.org/cgi/pt?id=uc1.b4089185</v>
      </c>
      <c r="H3191" t="str">
        <f>HYPERLINK("http://catalog.hathitrust.org/Record/006150549")</f>
        <v>http://catalog.hathitrust.org/Record/006150549</v>
      </c>
      <c r="J3191" s="1">
        <v>1908</v>
      </c>
      <c r="K3191" t="s">
        <v>15723</v>
      </c>
      <c r="L3191" t="s">
        <v>18477</v>
      </c>
    </row>
    <row r="3192" spans="1:12">
      <c r="A3192" t="s">
        <v>13308</v>
      </c>
      <c r="B3192" s="1" t="s">
        <v>13309</v>
      </c>
      <c r="F3192">
        <v>1</v>
      </c>
      <c r="G3192" t="str">
        <f>HYPERLINK("http://babel.hathitrust.org/cgi/pt?id=uc2.ark:/13960/t3cz3cs34")</f>
        <v>http://babel.hathitrust.org/cgi/pt?id=uc2.ark:/13960/t3cz3cs34</v>
      </c>
      <c r="H3192" t="str">
        <f>HYPERLINK("http://catalog.hathitrust.org/Record/006150602")</f>
        <v>http://catalog.hathitrust.org/Record/006150602</v>
      </c>
      <c r="J3192" s="1">
        <v>1862</v>
      </c>
      <c r="K3192" t="s">
        <v>13310</v>
      </c>
      <c r="L3192" t="s">
        <v>20884</v>
      </c>
    </row>
    <row r="3193" spans="1:12">
      <c r="A3193" t="s">
        <v>13311</v>
      </c>
      <c r="B3193" s="1" t="s">
        <v>13312</v>
      </c>
      <c r="F3193">
        <v>1</v>
      </c>
      <c r="G3193" t="str">
        <f>HYPERLINK("http://babel.hathitrust.org/cgi/pt?id=uc2.ark:/13960/t39029345")</f>
        <v>http://babel.hathitrust.org/cgi/pt?id=uc2.ark:/13960/t39029345</v>
      </c>
      <c r="H3193" t="str">
        <f>HYPERLINK("http://catalog.hathitrust.org/Record/006150603")</f>
        <v>http://catalog.hathitrust.org/Record/006150603</v>
      </c>
      <c r="J3193" s="1">
        <v>1877</v>
      </c>
      <c r="K3193" t="s">
        <v>13313</v>
      </c>
      <c r="L3193" t="s">
        <v>20884</v>
      </c>
    </row>
    <row r="3194" spans="1:12">
      <c r="A3194" t="s">
        <v>13314</v>
      </c>
      <c r="B3194" s="1" t="s">
        <v>13315</v>
      </c>
      <c r="F3194">
        <v>1</v>
      </c>
      <c r="G3194" t="str">
        <f>HYPERLINK("http://babel.hathitrust.org/cgi/pt?id=njp.32101067683142")</f>
        <v>http://babel.hathitrust.org/cgi/pt?id=njp.32101067683142</v>
      </c>
      <c r="H3194" t="str">
        <f>HYPERLINK("http://catalog.hathitrust.org/Record/006150759")</f>
        <v>http://catalog.hathitrust.org/Record/006150759</v>
      </c>
      <c r="J3194" s="1">
        <v>1884</v>
      </c>
      <c r="K3194" t="s">
        <v>13316</v>
      </c>
      <c r="L3194" t="s">
        <v>13317</v>
      </c>
    </row>
    <row r="3195" spans="1:12">
      <c r="A3195" t="s">
        <v>13318</v>
      </c>
      <c r="B3195" s="1" t="s">
        <v>13315</v>
      </c>
      <c r="F3195">
        <v>1</v>
      </c>
      <c r="G3195" t="str">
        <f>HYPERLINK("http://babel.hathitrust.org/cgi/pt?id=uc1.b4089903")</f>
        <v>http://babel.hathitrust.org/cgi/pt?id=uc1.b4089903</v>
      </c>
      <c r="H3195" t="str">
        <f>HYPERLINK("http://catalog.hathitrust.org/Record/006150759")</f>
        <v>http://catalog.hathitrust.org/Record/006150759</v>
      </c>
      <c r="J3195" s="1">
        <v>1884</v>
      </c>
      <c r="K3195" t="s">
        <v>13316</v>
      </c>
      <c r="L3195" t="s">
        <v>13317</v>
      </c>
    </row>
    <row r="3196" spans="1:12">
      <c r="A3196" t="s">
        <v>13319</v>
      </c>
      <c r="B3196" s="1" t="s">
        <v>13320</v>
      </c>
      <c r="F3196">
        <v>1</v>
      </c>
      <c r="G3196" t="str">
        <f>HYPERLINK("http://babel.hathitrust.org/cgi/pt?id=njp.32101074743293")</f>
        <v>http://babel.hathitrust.org/cgi/pt?id=njp.32101074743293</v>
      </c>
      <c r="H3196" t="str">
        <f>HYPERLINK("http://catalog.hathitrust.org/Record/006150767")</f>
        <v>http://catalog.hathitrust.org/Record/006150767</v>
      </c>
      <c r="J3196" s="1">
        <v>1870</v>
      </c>
      <c r="K3196" t="s">
        <v>13321</v>
      </c>
      <c r="L3196" t="s">
        <v>13322</v>
      </c>
    </row>
    <row r="3197" spans="1:12">
      <c r="A3197" t="s">
        <v>13323</v>
      </c>
      <c r="B3197" s="1" t="s">
        <v>13320</v>
      </c>
      <c r="F3197">
        <v>1</v>
      </c>
      <c r="G3197" t="str">
        <f>HYPERLINK("http://babel.hathitrust.org/cgi/pt?id=uc1.b4089917")</f>
        <v>http://babel.hathitrust.org/cgi/pt?id=uc1.b4089917</v>
      </c>
      <c r="H3197" t="str">
        <f>HYPERLINK("http://catalog.hathitrust.org/Record/006150767")</f>
        <v>http://catalog.hathitrust.org/Record/006150767</v>
      </c>
      <c r="J3197" s="1">
        <v>1870</v>
      </c>
      <c r="K3197" t="s">
        <v>13321</v>
      </c>
      <c r="L3197" t="s">
        <v>13322</v>
      </c>
    </row>
    <row r="3198" spans="1:12">
      <c r="A3198" t="s">
        <v>13324</v>
      </c>
      <c r="B3198" s="1" t="s">
        <v>13325</v>
      </c>
      <c r="F3198">
        <v>1</v>
      </c>
      <c r="G3198" t="str">
        <f>HYPERLINK("http://babel.hathitrust.org/cgi/pt?id=uc1.b4089918")</f>
        <v>http://babel.hathitrust.org/cgi/pt?id=uc1.b4089918</v>
      </c>
      <c r="H3198" t="str">
        <f>HYPERLINK("http://catalog.hathitrust.org/Record/006150768")</f>
        <v>http://catalog.hathitrust.org/Record/006150768</v>
      </c>
      <c r="J3198" s="1">
        <v>1879</v>
      </c>
      <c r="K3198" t="s">
        <v>13326</v>
      </c>
    </row>
    <row r="3199" spans="1:12">
      <c r="A3199" t="s">
        <v>13327</v>
      </c>
      <c r="B3199" s="1" t="s">
        <v>13325</v>
      </c>
      <c r="F3199">
        <v>1</v>
      </c>
      <c r="G3199" t="str">
        <f>HYPERLINK("http://babel.hathitrust.org/cgi/pt?id=uc2.ark:/13960/t57d3238n")</f>
        <v>http://babel.hathitrust.org/cgi/pt?id=uc2.ark:/13960/t57d3238n</v>
      </c>
      <c r="H3199" t="str">
        <f>HYPERLINK("http://catalog.hathitrust.org/Record/006150768")</f>
        <v>http://catalog.hathitrust.org/Record/006150768</v>
      </c>
      <c r="J3199" s="1">
        <v>1879</v>
      </c>
      <c r="K3199" t="s">
        <v>13326</v>
      </c>
    </row>
    <row r="3200" spans="1:12">
      <c r="A3200" t="s">
        <v>13328</v>
      </c>
      <c r="B3200" s="1" t="s">
        <v>13329</v>
      </c>
      <c r="F3200">
        <v>1</v>
      </c>
      <c r="G3200" t="str">
        <f>HYPERLINK("http://babel.hathitrust.org/cgi/pt?id=uc1.b4089929")</f>
        <v>http://babel.hathitrust.org/cgi/pt?id=uc1.b4089929</v>
      </c>
      <c r="H3200" t="str">
        <f>HYPERLINK("http://catalog.hathitrust.org/Record/006150771")</f>
        <v>http://catalog.hathitrust.org/Record/006150771</v>
      </c>
      <c r="J3200" s="1">
        <v>1907</v>
      </c>
      <c r="K3200" t="s">
        <v>13330</v>
      </c>
      <c r="L3200" t="s">
        <v>19718</v>
      </c>
    </row>
    <row r="3201" spans="1:12">
      <c r="A3201" t="s">
        <v>13331</v>
      </c>
      <c r="B3201" s="1" t="s">
        <v>13329</v>
      </c>
      <c r="F3201">
        <v>1</v>
      </c>
      <c r="G3201" t="str">
        <f>HYPERLINK("http://babel.hathitrust.org/cgi/pt?id=uc2.ark:/13960/t4kk9g153")</f>
        <v>http://babel.hathitrust.org/cgi/pt?id=uc2.ark:/13960/t4kk9g153</v>
      </c>
      <c r="H3201" t="str">
        <f>HYPERLINK("http://catalog.hathitrust.org/Record/006150771")</f>
        <v>http://catalog.hathitrust.org/Record/006150771</v>
      </c>
      <c r="J3201" s="1">
        <v>1907</v>
      </c>
      <c r="K3201" t="s">
        <v>13330</v>
      </c>
      <c r="L3201" t="s">
        <v>19718</v>
      </c>
    </row>
    <row r="3202" spans="1:12">
      <c r="A3202" t="s">
        <v>13332</v>
      </c>
      <c r="B3202" s="1" t="s">
        <v>13333</v>
      </c>
      <c r="F3202">
        <v>1</v>
      </c>
      <c r="G3202" t="str">
        <f>HYPERLINK("http://babel.hathitrust.org/cgi/pt?id=uc2.ark:/13960/t1qf8w058")</f>
        <v>http://babel.hathitrust.org/cgi/pt?id=uc2.ark:/13960/t1qf8w058</v>
      </c>
      <c r="H3202" t="str">
        <f>HYPERLINK("http://catalog.hathitrust.org/Record/006150785")</f>
        <v>http://catalog.hathitrust.org/Record/006150785</v>
      </c>
      <c r="J3202" s="1">
        <v>1905</v>
      </c>
      <c r="K3202" t="s">
        <v>13334</v>
      </c>
      <c r="L3202" t="s">
        <v>18550</v>
      </c>
    </row>
    <row r="3203" spans="1:12">
      <c r="A3203" t="s">
        <v>13335</v>
      </c>
      <c r="B3203" s="1" t="s">
        <v>13336</v>
      </c>
      <c r="F3203">
        <v>1</v>
      </c>
      <c r="G3203" t="str">
        <f>HYPERLINK("http://babel.hathitrust.org/cgi/pt?id=uc1.b4089992")</f>
        <v>http://babel.hathitrust.org/cgi/pt?id=uc1.b4089992</v>
      </c>
      <c r="H3203" t="str">
        <f>HYPERLINK("http://catalog.hathitrust.org/Record/006150802")</f>
        <v>http://catalog.hathitrust.org/Record/006150802</v>
      </c>
      <c r="I3203" s="1" t="s">
        <v>20916</v>
      </c>
      <c r="J3203" s="1">
        <v>1877</v>
      </c>
      <c r="K3203" t="s">
        <v>16509</v>
      </c>
      <c r="L3203" t="s">
        <v>19561</v>
      </c>
    </row>
    <row r="3204" spans="1:12">
      <c r="A3204" t="s">
        <v>13337</v>
      </c>
      <c r="B3204" s="1" t="s">
        <v>13338</v>
      </c>
      <c r="F3204">
        <v>1</v>
      </c>
      <c r="G3204" t="str">
        <f>HYPERLINK("http://babel.hathitrust.org/cgi/pt?id=uc1.b4091086")</f>
        <v>http://babel.hathitrust.org/cgi/pt?id=uc1.b4091086</v>
      </c>
      <c r="H3204" t="str">
        <f>HYPERLINK("http://catalog.hathitrust.org/Record/006151173")</f>
        <v>http://catalog.hathitrust.org/Record/006151173</v>
      </c>
      <c r="J3204" s="1">
        <v>1893</v>
      </c>
      <c r="K3204" t="s">
        <v>13339</v>
      </c>
    </row>
    <row r="3205" spans="1:12">
      <c r="A3205" t="s">
        <v>13340</v>
      </c>
      <c r="B3205" s="1" t="s">
        <v>13338</v>
      </c>
      <c r="F3205">
        <v>1</v>
      </c>
      <c r="G3205" t="str">
        <f>HYPERLINK("http://babel.hathitrust.org/cgi/pt?id=uc2.ark:/13960/t3jw8j71t")</f>
        <v>http://babel.hathitrust.org/cgi/pt?id=uc2.ark:/13960/t3jw8j71t</v>
      </c>
      <c r="H3205" t="str">
        <f>HYPERLINK("http://catalog.hathitrust.org/Record/006151173")</f>
        <v>http://catalog.hathitrust.org/Record/006151173</v>
      </c>
      <c r="J3205" s="1">
        <v>1893</v>
      </c>
      <c r="K3205" t="s">
        <v>13339</v>
      </c>
    </row>
    <row r="3206" spans="1:12">
      <c r="A3206" t="s">
        <v>13341</v>
      </c>
      <c r="B3206" s="1" t="s">
        <v>13342</v>
      </c>
      <c r="D3206">
        <v>1</v>
      </c>
      <c r="G3206" t="str">
        <f>HYPERLINK("http://babel.hathitrust.org/cgi/pt?id=uc1.b4091165")</f>
        <v>http://babel.hathitrust.org/cgi/pt?id=uc1.b4091165</v>
      </c>
      <c r="H3206" t="str">
        <f>HYPERLINK("http://catalog.hathitrust.org/Record/006151214")</f>
        <v>http://catalog.hathitrust.org/Record/006151214</v>
      </c>
      <c r="J3206" s="1">
        <v>1874</v>
      </c>
      <c r="K3206" t="s">
        <v>13343</v>
      </c>
      <c r="L3206" t="s">
        <v>18477</v>
      </c>
    </row>
    <row r="3207" spans="1:12">
      <c r="A3207" t="s">
        <v>13344</v>
      </c>
      <c r="B3207" s="1" t="s">
        <v>13345</v>
      </c>
      <c r="F3207">
        <v>1</v>
      </c>
      <c r="G3207" t="str">
        <f>HYPERLINK("http://babel.hathitrust.org/cgi/pt?id=uc1.b4091167")</f>
        <v>http://babel.hathitrust.org/cgi/pt?id=uc1.b4091167</v>
      </c>
      <c r="H3207" t="str">
        <f>HYPERLINK("http://catalog.hathitrust.org/Record/006151215")</f>
        <v>http://catalog.hathitrust.org/Record/006151215</v>
      </c>
      <c r="I3207" s="1" t="s">
        <v>20755</v>
      </c>
      <c r="J3207" s="1">
        <v>1888</v>
      </c>
      <c r="K3207" t="s">
        <v>13346</v>
      </c>
      <c r="L3207" t="s">
        <v>19827</v>
      </c>
    </row>
    <row r="3208" spans="1:12">
      <c r="A3208" t="s">
        <v>13347</v>
      </c>
      <c r="B3208" s="1" t="s">
        <v>13345</v>
      </c>
      <c r="F3208">
        <v>1</v>
      </c>
      <c r="G3208" t="str">
        <f>HYPERLINK("http://babel.hathitrust.org/cgi/pt?id=uc1.b4093319")</f>
        <v>http://babel.hathitrust.org/cgi/pt?id=uc1.b4093319</v>
      </c>
      <c r="H3208" t="str">
        <f>HYPERLINK("http://catalog.hathitrust.org/Record/006151215")</f>
        <v>http://catalog.hathitrust.org/Record/006151215</v>
      </c>
      <c r="I3208" s="1" t="s">
        <v>17750</v>
      </c>
      <c r="J3208" s="1">
        <v>1888</v>
      </c>
      <c r="K3208" t="s">
        <v>13346</v>
      </c>
      <c r="L3208" t="s">
        <v>19827</v>
      </c>
    </row>
    <row r="3209" spans="1:12">
      <c r="A3209" t="s">
        <v>13348</v>
      </c>
      <c r="B3209" s="1" t="s">
        <v>13349</v>
      </c>
      <c r="F3209">
        <v>1</v>
      </c>
      <c r="G3209" t="str">
        <f>HYPERLINK("http://babel.hathitrust.org/cgi/pt?id=uc1.b4091182")</f>
        <v>http://babel.hathitrust.org/cgi/pt?id=uc1.b4091182</v>
      </c>
      <c r="H3209" t="str">
        <f>HYPERLINK("http://catalog.hathitrust.org/Record/006151225")</f>
        <v>http://catalog.hathitrust.org/Record/006151225</v>
      </c>
      <c r="J3209" s="1">
        <v>1889</v>
      </c>
      <c r="K3209" t="s">
        <v>13350</v>
      </c>
      <c r="L3209" t="s">
        <v>13351</v>
      </c>
    </row>
    <row r="3210" spans="1:12">
      <c r="A3210" t="s">
        <v>13352</v>
      </c>
      <c r="B3210" s="1" t="s">
        <v>13349</v>
      </c>
      <c r="F3210">
        <v>1</v>
      </c>
      <c r="G3210" t="str">
        <f>HYPERLINK("http://babel.hathitrust.org/cgi/pt?id=uc2.ark:/13960/t2891c90w")</f>
        <v>http://babel.hathitrust.org/cgi/pt?id=uc2.ark:/13960/t2891c90w</v>
      </c>
      <c r="H3210" t="str">
        <f>HYPERLINK("http://catalog.hathitrust.org/Record/006151225")</f>
        <v>http://catalog.hathitrust.org/Record/006151225</v>
      </c>
      <c r="J3210" s="1">
        <v>1889</v>
      </c>
      <c r="K3210" t="s">
        <v>13350</v>
      </c>
      <c r="L3210" t="s">
        <v>13351</v>
      </c>
    </row>
    <row r="3211" spans="1:12">
      <c r="A3211" t="s">
        <v>13353</v>
      </c>
      <c r="B3211" s="1" t="s">
        <v>13354</v>
      </c>
      <c r="F3211">
        <v>1</v>
      </c>
      <c r="G3211" t="str">
        <f>HYPERLINK("http://babel.hathitrust.org/cgi/pt?id=hvd.hwp9cr")</f>
        <v>http://babel.hathitrust.org/cgi/pt?id=hvd.hwp9cr</v>
      </c>
      <c r="H3211" t="str">
        <f>HYPERLINK("http://catalog.hathitrust.org/Record/006151237")</f>
        <v>http://catalog.hathitrust.org/Record/006151237</v>
      </c>
      <c r="J3211" s="1">
        <v>1836</v>
      </c>
      <c r="K3211" t="s">
        <v>13355</v>
      </c>
      <c r="L3211" t="s">
        <v>13356</v>
      </c>
    </row>
    <row r="3212" spans="1:12">
      <c r="A3212" t="s">
        <v>13357</v>
      </c>
      <c r="B3212" s="1" t="s">
        <v>13354</v>
      </c>
      <c r="F3212">
        <v>1</v>
      </c>
      <c r="G3212" t="str">
        <f>HYPERLINK("http://babel.hathitrust.org/cgi/pt?id=uc1.b4091208")</f>
        <v>http://babel.hathitrust.org/cgi/pt?id=uc1.b4091208</v>
      </c>
      <c r="H3212" t="str">
        <f>HYPERLINK("http://catalog.hathitrust.org/Record/006151237")</f>
        <v>http://catalog.hathitrust.org/Record/006151237</v>
      </c>
      <c r="J3212" s="1">
        <v>1836</v>
      </c>
      <c r="K3212" t="s">
        <v>13355</v>
      </c>
      <c r="L3212" t="s">
        <v>13356</v>
      </c>
    </row>
    <row r="3213" spans="1:12">
      <c r="A3213" t="s">
        <v>13358</v>
      </c>
      <c r="B3213" s="1" t="s">
        <v>13354</v>
      </c>
      <c r="F3213">
        <v>1</v>
      </c>
      <c r="G3213" t="str">
        <f>HYPERLINK("http://babel.hathitrust.org/cgi/pt?id=uc2.ark:/13960/t0gt5rt81")</f>
        <v>http://babel.hathitrust.org/cgi/pt?id=uc2.ark:/13960/t0gt5rt81</v>
      </c>
      <c r="H3213" t="str">
        <f>HYPERLINK("http://catalog.hathitrust.org/Record/006151237")</f>
        <v>http://catalog.hathitrust.org/Record/006151237</v>
      </c>
      <c r="J3213" s="1">
        <v>1836</v>
      </c>
      <c r="K3213" t="s">
        <v>13355</v>
      </c>
      <c r="L3213" t="s">
        <v>13356</v>
      </c>
    </row>
    <row r="3214" spans="1:12">
      <c r="A3214" t="s">
        <v>13359</v>
      </c>
      <c r="B3214" s="1" t="s">
        <v>13360</v>
      </c>
      <c r="F3214">
        <v>1</v>
      </c>
      <c r="G3214" t="str">
        <f>HYPERLINK("http://babel.hathitrust.org/cgi/pt?id=uc1.b4091209")</f>
        <v>http://babel.hathitrust.org/cgi/pt?id=uc1.b4091209</v>
      </c>
      <c r="H3214" t="str">
        <f>HYPERLINK("http://catalog.hathitrust.org/Record/006151238")</f>
        <v>http://catalog.hathitrust.org/Record/006151238</v>
      </c>
      <c r="J3214" s="1">
        <v>1802</v>
      </c>
      <c r="K3214" t="s">
        <v>13361</v>
      </c>
      <c r="L3214" t="s">
        <v>13362</v>
      </c>
    </row>
    <row r="3215" spans="1:12">
      <c r="A3215" t="s">
        <v>13251</v>
      </c>
      <c r="B3215" s="1" t="s">
        <v>13360</v>
      </c>
      <c r="F3215">
        <v>1</v>
      </c>
      <c r="G3215" t="str">
        <f>HYPERLINK("http://babel.hathitrust.org/cgi/pt?id=uc2.ark:/13960/t7fr02785")</f>
        <v>http://babel.hathitrust.org/cgi/pt?id=uc2.ark:/13960/t7fr02785</v>
      </c>
      <c r="H3215" t="str">
        <f>HYPERLINK("http://catalog.hathitrust.org/Record/006151238")</f>
        <v>http://catalog.hathitrust.org/Record/006151238</v>
      </c>
      <c r="J3215" s="1">
        <v>1802</v>
      </c>
      <c r="K3215" t="s">
        <v>13361</v>
      </c>
      <c r="L3215" t="s">
        <v>13362</v>
      </c>
    </row>
    <row r="3216" spans="1:12">
      <c r="A3216" t="s">
        <v>13252</v>
      </c>
      <c r="B3216" s="1" t="s">
        <v>13253</v>
      </c>
      <c r="F3216">
        <v>1</v>
      </c>
      <c r="G3216" t="str">
        <f>HYPERLINK("http://babel.hathitrust.org/cgi/pt?id=uc1.b4091293")</f>
        <v>http://babel.hathitrust.org/cgi/pt?id=uc1.b4091293</v>
      </c>
      <c r="H3216" t="str">
        <f>HYPERLINK("http://catalog.hathitrust.org/Record/006151282")</f>
        <v>http://catalog.hathitrust.org/Record/006151282</v>
      </c>
      <c r="J3216" s="1">
        <v>1895</v>
      </c>
      <c r="K3216" t="s">
        <v>13254</v>
      </c>
      <c r="L3216" t="s">
        <v>13255</v>
      </c>
    </row>
    <row r="3217" spans="1:12">
      <c r="A3217" t="s">
        <v>13256</v>
      </c>
      <c r="B3217" s="1" t="s">
        <v>13253</v>
      </c>
      <c r="F3217">
        <v>1</v>
      </c>
      <c r="G3217" t="str">
        <f>HYPERLINK("http://babel.hathitrust.org/cgi/pt?id=uc2.ark:/13960/t03x8f74h")</f>
        <v>http://babel.hathitrust.org/cgi/pt?id=uc2.ark:/13960/t03x8f74h</v>
      </c>
      <c r="H3217" t="str">
        <f>HYPERLINK("http://catalog.hathitrust.org/Record/006151282")</f>
        <v>http://catalog.hathitrust.org/Record/006151282</v>
      </c>
      <c r="J3217" s="1">
        <v>1895</v>
      </c>
      <c r="K3217" t="s">
        <v>13254</v>
      </c>
      <c r="L3217" t="s">
        <v>13255</v>
      </c>
    </row>
    <row r="3218" spans="1:12">
      <c r="A3218" t="s">
        <v>13257</v>
      </c>
      <c r="B3218" s="1" t="s">
        <v>13258</v>
      </c>
      <c r="F3218">
        <v>1</v>
      </c>
      <c r="G3218" t="str">
        <f>HYPERLINK("http://babel.hathitrust.org/cgi/pt?id=uc1.b4091295")</f>
        <v>http://babel.hathitrust.org/cgi/pt?id=uc1.b4091295</v>
      </c>
      <c r="H3218" t="str">
        <f>HYPERLINK("http://catalog.hathitrust.org/Record/006151284")</f>
        <v>http://catalog.hathitrust.org/Record/006151284</v>
      </c>
      <c r="J3218" s="1">
        <v>1956</v>
      </c>
      <c r="K3218" t="s">
        <v>13259</v>
      </c>
      <c r="L3218" t="s">
        <v>13260</v>
      </c>
    </row>
    <row r="3219" spans="1:12">
      <c r="A3219" t="s">
        <v>13261</v>
      </c>
      <c r="B3219" s="1" t="s">
        <v>13262</v>
      </c>
      <c r="F3219">
        <v>1</v>
      </c>
      <c r="G3219" t="str">
        <f>HYPERLINK("http://babel.hathitrust.org/cgi/pt?id=nyp.33433082312350")</f>
        <v>http://babel.hathitrust.org/cgi/pt?id=nyp.33433082312350</v>
      </c>
      <c r="H3219" t="str">
        <f>HYPERLINK("http://catalog.hathitrust.org/Record/006151292")</f>
        <v>http://catalog.hathitrust.org/Record/006151292</v>
      </c>
      <c r="J3219" s="1">
        <v>1876</v>
      </c>
      <c r="K3219" t="s">
        <v>13263</v>
      </c>
      <c r="L3219" t="s">
        <v>13264</v>
      </c>
    </row>
    <row r="3220" spans="1:12">
      <c r="A3220" t="s">
        <v>13265</v>
      </c>
      <c r="B3220" s="1" t="s">
        <v>13262</v>
      </c>
      <c r="F3220">
        <v>1</v>
      </c>
      <c r="G3220" t="str">
        <f>HYPERLINK("http://babel.hathitrust.org/cgi/pt?id=uc1.b4091322")</f>
        <v>http://babel.hathitrust.org/cgi/pt?id=uc1.b4091322</v>
      </c>
      <c r="H3220" t="str">
        <f>HYPERLINK("http://catalog.hathitrust.org/Record/006151292")</f>
        <v>http://catalog.hathitrust.org/Record/006151292</v>
      </c>
      <c r="J3220" s="1">
        <v>1876</v>
      </c>
      <c r="K3220" t="s">
        <v>13263</v>
      </c>
      <c r="L3220" t="s">
        <v>13264</v>
      </c>
    </row>
    <row r="3221" spans="1:12">
      <c r="A3221" t="s">
        <v>13266</v>
      </c>
      <c r="B3221" s="1" t="s">
        <v>13262</v>
      </c>
      <c r="F3221">
        <v>1</v>
      </c>
      <c r="G3221" t="str">
        <f>HYPERLINK("http://babel.hathitrust.org/cgi/pt?id=uc2.ark:/13960/t7qn6960g")</f>
        <v>http://babel.hathitrust.org/cgi/pt?id=uc2.ark:/13960/t7qn6960g</v>
      </c>
      <c r="H3221" t="str">
        <f>HYPERLINK("http://catalog.hathitrust.org/Record/006151292")</f>
        <v>http://catalog.hathitrust.org/Record/006151292</v>
      </c>
      <c r="J3221" s="1">
        <v>1876</v>
      </c>
      <c r="K3221" t="s">
        <v>13263</v>
      </c>
      <c r="L3221" t="s">
        <v>13264</v>
      </c>
    </row>
    <row r="3222" spans="1:12">
      <c r="A3222" t="s">
        <v>13267</v>
      </c>
      <c r="B3222" s="1" t="s">
        <v>13268</v>
      </c>
      <c r="F3222">
        <v>1</v>
      </c>
      <c r="G3222" t="str">
        <f>HYPERLINK("http://babel.hathitrust.org/cgi/pt?id=uc1.b306944")</f>
        <v>http://babel.hathitrust.org/cgi/pt?id=uc1.b306944</v>
      </c>
      <c r="H3222" t="str">
        <f>HYPERLINK("http://catalog.hathitrust.org/Record/006151310")</f>
        <v>http://catalog.hathitrust.org/Record/006151310</v>
      </c>
      <c r="J3222" s="1">
        <v>1888</v>
      </c>
      <c r="K3222" t="s">
        <v>13269</v>
      </c>
    </row>
    <row r="3223" spans="1:12">
      <c r="A3223" t="s">
        <v>13270</v>
      </c>
      <c r="B3223" s="1" t="s">
        <v>13268</v>
      </c>
      <c r="F3223">
        <v>1</v>
      </c>
      <c r="G3223" t="str">
        <f>HYPERLINK("http://babel.hathitrust.org/cgi/pt?id=uc1.b4091365")</f>
        <v>http://babel.hathitrust.org/cgi/pt?id=uc1.b4091365</v>
      </c>
      <c r="H3223" t="str">
        <f>HYPERLINK("http://catalog.hathitrust.org/Record/006151310")</f>
        <v>http://catalog.hathitrust.org/Record/006151310</v>
      </c>
      <c r="J3223" s="1">
        <v>1888</v>
      </c>
      <c r="K3223" t="s">
        <v>13269</v>
      </c>
    </row>
    <row r="3224" spans="1:12">
      <c r="A3224" t="s">
        <v>13271</v>
      </c>
      <c r="B3224" s="1" t="s">
        <v>13268</v>
      </c>
      <c r="F3224">
        <v>1</v>
      </c>
      <c r="G3224" t="str">
        <f>HYPERLINK("http://babel.hathitrust.org/cgi/pt?id=uc2.ark:/13960/t6pz5cm38")</f>
        <v>http://babel.hathitrust.org/cgi/pt?id=uc2.ark:/13960/t6pz5cm38</v>
      </c>
      <c r="H3224" t="str">
        <f>HYPERLINK("http://catalog.hathitrust.org/Record/006151310")</f>
        <v>http://catalog.hathitrust.org/Record/006151310</v>
      </c>
      <c r="J3224" s="1">
        <v>1888</v>
      </c>
      <c r="K3224" t="s">
        <v>13269</v>
      </c>
    </row>
    <row r="3225" spans="1:12">
      <c r="A3225" t="s">
        <v>13272</v>
      </c>
      <c r="B3225" s="1" t="s">
        <v>13273</v>
      </c>
      <c r="F3225">
        <v>1</v>
      </c>
      <c r="G3225" t="str">
        <f>HYPERLINK("http://babel.hathitrust.org/cgi/pt?id=uc1.b4091375")</f>
        <v>http://babel.hathitrust.org/cgi/pt?id=uc1.b4091375</v>
      </c>
      <c r="H3225" t="str">
        <f>HYPERLINK("http://catalog.hathitrust.org/Record/006151316")</f>
        <v>http://catalog.hathitrust.org/Record/006151316</v>
      </c>
      <c r="J3225" s="1">
        <v>1945</v>
      </c>
      <c r="K3225" t="s">
        <v>13274</v>
      </c>
    </row>
    <row r="3226" spans="1:12">
      <c r="A3226" t="s">
        <v>13275</v>
      </c>
      <c r="B3226" s="1" t="s">
        <v>13276</v>
      </c>
      <c r="F3226">
        <v>1</v>
      </c>
      <c r="G3226" t="str">
        <f>HYPERLINK("http://babel.hathitrust.org/cgi/pt?id=uc1.b4093207")</f>
        <v>http://babel.hathitrust.org/cgi/pt?id=uc1.b4093207</v>
      </c>
      <c r="H3226" t="str">
        <f>HYPERLINK("http://catalog.hathitrust.org/Record/006151737")</f>
        <v>http://catalog.hathitrust.org/Record/006151737</v>
      </c>
      <c r="I3226" s="1" t="s">
        <v>20916</v>
      </c>
      <c r="J3226" s="1">
        <v>1891</v>
      </c>
      <c r="K3226" t="s">
        <v>13277</v>
      </c>
      <c r="L3226" t="s">
        <v>19487</v>
      </c>
    </row>
    <row r="3227" spans="1:12">
      <c r="A3227" t="s">
        <v>13278</v>
      </c>
      <c r="B3227" s="1" t="s">
        <v>13276</v>
      </c>
      <c r="F3227">
        <v>1</v>
      </c>
      <c r="G3227" t="str">
        <f>HYPERLINK("http://babel.hathitrust.org/cgi/pt?id=uc1.b4093208")</f>
        <v>http://babel.hathitrust.org/cgi/pt?id=uc1.b4093208</v>
      </c>
      <c r="H3227" t="str">
        <f>HYPERLINK("http://catalog.hathitrust.org/Record/006151737")</f>
        <v>http://catalog.hathitrust.org/Record/006151737</v>
      </c>
      <c r="I3227" s="1" t="s">
        <v>20755</v>
      </c>
      <c r="J3227" s="1">
        <v>1891</v>
      </c>
      <c r="K3227" t="s">
        <v>13277</v>
      </c>
      <c r="L3227" t="s">
        <v>19487</v>
      </c>
    </row>
    <row r="3228" spans="1:12">
      <c r="A3228" t="s">
        <v>13279</v>
      </c>
      <c r="B3228" s="1" t="s">
        <v>13280</v>
      </c>
      <c r="F3228">
        <v>1</v>
      </c>
      <c r="G3228" t="str">
        <f>HYPERLINK("http://babel.hathitrust.org/cgi/pt?id=uc1.b4093292")</f>
        <v>http://babel.hathitrust.org/cgi/pt?id=uc1.b4093292</v>
      </c>
      <c r="H3228" t="str">
        <f>HYPERLINK("http://catalog.hathitrust.org/Record/006151764")</f>
        <v>http://catalog.hathitrust.org/Record/006151764</v>
      </c>
      <c r="J3228" s="1">
        <v>1860</v>
      </c>
      <c r="K3228" t="s">
        <v>13281</v>
      </c>
      <c r="L3228" t="s">
        <v>20884</v>
      </c>
    </row>
    <row r="3229" spans="1:12">
      <c r="A3229" t="s">
        <v>13282</v>
      </c>
      <c r="B3229" s="1" t="s">
        <v>13280</v>
      </c>
      <c r="F3229">
        <v>1</v>
      </c>
      <c r="G3229" t="str">
        <f>HYPERLINK("http://babel.hathitrust.org/cgi/pt?id=uc2.ark:/13960/t5h999c1g")</f>
        <v>http://babel.hathitrust.org/cgi/pt?id=uc2.ark:/13960/t5h999c1g</v>
      </c>
      <c r="H3229" t="str">
        <f>HYPERLINK("http://catalog.hathitrust.org/Record/006151764")</f>
        <v>http://catalog.hathitrust.org/Record/006151764</v>
      </c>
      <c r="J3229" s="1">
        <v>1860</v>
      </c>
      <c r="K3229" t="s">
        <v>13281</v>
      </c>
      <c r="L3229" t="s">
        <v>20884</v>
      </c>
    </row>
    <row r="3230" spans="1:12">
      <c r="A3230" t="s">
        <v>13283</v>
      </c>
      <c r="B3230" s="1" t="s">
        <v>13284</v>
      </c>
      <c r="F3230">
        <v>1</v>
      </c>
      <c r="G3230" t="str">
        <f>HYPERLINK("http://babel.hathitrust.org/cgi/pt?id=uc1.b4093298")</f>
        <v>http://babel.hathitrust.org/cgi/pt?id=uc1.b4093298</v>
      </c>
      <c r="H3230" t="str">
        <f>HYPERLINK("http://catalog.hathitrust.org/Record/006151767")</f>
        <v>http://catalog.hathitrust.org/Record/006151767</v>
      </c>
      <c r="J3230" s="1">
        <v>1916</v>
      </c>
      <c r="K3230" t="s">
        <v>13285</v>
      </c>
      <c r="L3230" t="s">
        <v>13286</v>
      </c>
    </row>
    <row r="3231" spans="1:12">
      <c r="A3231" t="s">
        <v>13287</v>
      </c>
      <c r="B3231" s="1" t="s">
        <v>13288</v>
      </c>
      <c r="F3231">
        <v>1</v>
      </c>
      <c r="G3231" t="str">
        <f>HYPERLINK("http://babel.hathitrust.org/cgi/pt?id=uc1.b4093301")</f>
        <v>http://babel.hathitrust.org/cgi/pt?id=uc1.b4093301</v>
      </c>
      <c r="H3231" t="str">
        <f>HYPERLINK("http://catalog.hathitrust.org/Record/006151770")</f>
        <v>http://catalog.hathitrust.org/Record/006151770</v>
      </c>
      <c r="J3231" s="1">
        <v>1946</v>
      </c>
      <c r="K3231" t="s">
        <v>13289</v>
      </c>
      <c r="L3231" t="s">
        <v>13290</v>
      </c>
    </row>
    <row r="3232" spans="1:12">
      <c r="A3232" t="s">
        <v>13291</v>
      </c>
      <c r="B3232" s="1" t="s">
        <v>13292</v>
      </c>
      <c r="F3232">
        <v>1</v>
      </c>
      <c r="G3232" t="str">
        <f>HYPERLINK("http://babel.hathitrust.org/cgi/pt?id=uc1.b4093304")</f>
        <v>http://babel.hathitrust.org/cgi/pt?id=uc1.b4093304</v>
      </c>
      <c r="H3232" t="str">
        <f>HYPERLINK("http://catalog.hathitrust.org/Record/006151773")</f>
        <v>http://catalog.hathitrust.org/Record/006151773</v>
      </c>
      <c r="J3232" s="1">
        <v>1908</v>
      </c>
      <c r="K3232" t="s">
        <v>13293</v>
      </c>
      <c r="L3232" t="s">
        <v>13294</v>
      </c>
    </row>
    <row r="3233" spans="1:12">
      <c r="A3233" t="s">
        <v>13295</v>
      </c>
      <c r="B3233" s="1" t="s">
        <v>13292</v>
      </c>
      <c r="F3233">
        <v>1</v>
      </c>
      <c r="G3233" t="str">
        <f>HYPERLINK("http://babel.hathitrust.org/cgi/pt?id=uc2.ark:/13960/t2j67mf7p")</f>
        <v>http://babel.hathitrust.org/cgi/pt?id=uc2.ark:/13960/t2j67mf7p</v>
      </c>
      <c r="H3233" t="str">
        <f>HYPERLINK("http://catalog.hathitrust.org/Record/006151773")</f>
        <v>http://catalog.hathitrust.org/Record/006151773</v>
      </c>
      <c r="J3233" s="1">
        <v>1908</v>
      </c>
      <c r="K3233" t="s">
        <v>13293</v>
      </c>
      <c r="L3233" t="s">
        <v>13294</v>
      </c>
    </row>
    <row r="3234" spans="1:12">
      <c r="A3234" t="s">
        <v>13296</v>
      </c>
      <c r="B3234" s="1" t="s">
        <v>13297</v>
      </c>
      <c r="F3234">
        <v>1</v>
      </c>
      <c r="G3234" t="str">
        <f>HYPERLINK("http://babel.hathitrust.org/cgi/pt?id=nyp.33433069240806")</f>
        <v>http://babel.hathitrust.org/cgi/pt?id=nyp.33433069240806</v>
      </c>
      <c r="H3234" t="str">
        <f>HYPERLINK("http://catalog.hathitrust.org/Record/006151785")</f>
        <v>http://catalog.hathitrust.org/Record/006151785</v>
      </c>
      <c r="J3234" s="1">
        <v>1904</v>
      </c>
      <c r="K3234" t="s">
        <v>13298</v>
      </c>
      <c r="L3234" t="s">
        <v>20884</v>
      </c>
    </row>
    <row r="3235" spans="1:12">
      <c r="A3235" t="s">
        <v>13299</v>
      </c>
      <c r="B3235" s="1" t="s">
        <v>13297</v>
      </c>
      <c r="F3235">
        <v>1</v>
      </c>
      <c r="G3235" t="str">
        <f>HYPERLINK("http://babel.hathitrust.org/cgi/pt?id=uc1.b4093334")</f>
        <v>http://babel.hathitrust.org/cgi/pt?id=uc1.b4093334</v>
      </c>
      <c r="H3235" t="str">
        <f>HYPERLINK("http://catalog.hathitrust.org/Record/006151785")</f>
        <v>http://catalog.hathitrust.org/Record/006151785</v>
      </c>
      <c r="J3235" s="1">
        <v>1904</v>
      </c>
      <c r="K3235" t="s">
        <v>13298</v>
      </c>
      <c r="L3235" t="s">
        <v>20884</v>
      </c>
    </row>
    <row r="3236" spans="1:12">
      <c r="A3236" t="s">
        <v>13300</v>
      </c>
      <c r="B3236" s="1" t="s">
        <v>13297</v>
      </c>
      <c r="F3236">
        <v>1</v>
      </c>
      <c r="G3236" t="str">
        <f>HYPERLINK("http://babel.hathitrust.org/cgi/pt?id=uc2.ark:/13960/t6rx9f61j")</f>
        <v>http://babel.hathitrust.org/cgi/pt?id=uc2.ark:/13960/t6rx9f61j</v>
      </c>
      <c r="H3236" t="str">
        <f>HYPERLINK("http://catalog.hathitrust.org/Record/006151785")</f>
        <v>http://catalog.hathitrust.org/Record/006151785</v>
      </c>
      <c r="J3236" s="1">
        <v>1904</v>
      </c>
      <c r="K3236" t="s">
        <v>13298</v>
      </c>
      <c r="L3236" t="s">
        <v>20884</v>
      </c>
    </row>
    <row r="3237" spans="1:12">
      <c r="A3237" t="s">
        <v>13301</v>
      </c>
      <c r="B3237" s="1" t="s">
        <v>13302</v>
      </c>
      <c r="E3237">
        <v>1</v>
      </c>
      <c r="F3237">
        <v>1</v>
      </c>
      <c r="G3237" t="str">
        <f>HYPERLINK("http://babel.hathitrust.org/cgi/pt?id=uc1.$b617712")</f>
        <v>http://babel.hathitrust.org/cgi/pt?id=uc1.$b617712</v>
      </c>
      <c r="H3237" t="str">
        <f>HYPERLINK("http://catalog.hathitrust.org/Record/006151790")</f>
        <v>http://catalog.hathitrust.org/Record/006151790</v>
      </c>
      <c r="J3237" s="1">
        <v>1893</v>
      </c>
      <c r="K3237" t="s">
        <v>13303</v>
      </c>
      <c r="L3237" t="s">
        <v>13304</v>
      </c>
    </row>
    <row r="3238" spans="1:12">
      <c r="A3238" t="s">
        <v>13305</v>
      </c>
      <c r="B3238" s="1" t="s">
        <v>13302</v>
      </c>
      <c r="F3238">
        <v>1</v>
      </c>
      <c r="G3238" t="str">
        <f>HYPERLINK("http://babel.hathitrust.org/cgi/pt?id=uc1.b4093346")</f>
        <v>http://babel.hathitrust.org/cgi/pt?id=uc1.b4093346</v>
      </c>
      <c r="H3238" t="str">
        <f>HYPERLINK("http://catalog.hathitrust.org/Record/006151790")</f>
        <v>http://catalog.hathitrust.org/Record/006151790</v>
      </c>
      <c r="I3238" s="1" t="s">
        <v>20439</v>
      </c>
      <c r="J3238" s="1">
        <v>1893</v>
      </c>
      <c r="K3238" t="s">
        <v>13303</v>
      </c>
      <c r="L3238" t="s">
        <v>13304</v>
      </c>
    </row>
    <row r="3239" spans="1:12">
      <c r="A3239" t="s">
        <v>13205</v>
      </c>
      <c r="B3239" s="1" t="s">
        <v>13302</v>
      </c>
      <c r="F3239">
        <v>1</v>
      </c>
      <c r="G3239" t="str">
        <f>HYPERLINK("http://babel.hathitrust.org/cgi/pt?id=uc2.ark:/13960/t78s4wk3g")</f>
        <v>http://babel.hathitrust.org/cgi/pt?id=uc2.ark:/13960/t78s4wk3g</v>
      </c>
      <c r="H3239" t="str">
        <f>HYPERLINK("http://catalog.hathitrust.org/Record/006151790")</f>
        <v>http://catalog.hathitrust.org/Record/006151790</v>
      </c>
      <c r="J3239" s="1">
        <v>1893</v>
      </c>
      <c r="K3239" t="s">
        <v>13303</v>
      </c>
      <c r="L3239" t="s">
        <v>13304</v>
      </c>
    </row>
    <row r="3240" spans="1:12">
      <c r="A3240" t="s">
        <v>13206</v>
      </c>
      <c r="B3240" s="1" t="s">
        <v>13207</v>
      </c>
      <c r="E3240">
        <v>1</v>
      </c>
      <c r="F3240">
        <v>1</v>
      </c>
      <c r="G3240" t="str">
        <f>HYPERLINK("http://babel.hathitrust.org/cgi/pt?id=uc2.ark:/13960/t6j106x67")</f>
        <v>http://babel.hathitrust.org/cgi/pt?id=uc2.ark:/13960/t6j106x67</v>
      </c>
      <c r="H3240" t="str">
        <f>HYPERLINK("http://catalog.hathitrust.org/Record/006152292")</f>
        <v>http://catalog.hathitrust.org/Record/006152292</v>
      </c>
      <c r="J3240" s="1">
        <v>1880</v>
      </c>
      <c r="K3240" t="s">
        <v>13208</v>
      </c>
      <c r="L3240" t="s">
        <v>13209</v>
      </c>
    </row>
    <row r="3241" spans="1:12">
      <c r="A3241" t="s">
        <v>13210</v>
      </c>
      <c r="B3241" s="1" t="s">
        <v>13211</v>
      </c>
      <c r="E3241">
        <v>1</v>
      </c>
      <c r="F3241">
        <v>1</v>
      </c>
      <c r="G3241" t="str">
        <f>HYPERLINK("http://babel.hathitrust.org/cgi/pt?id=uc1.b4095481")</f>
        <v>http://babel.hathitrust.org/cgi/pt?id=uc1.b4095481</v>
      </c>
      <c r="H3241" t="str">
        <f>HYPERLINK("http://catalog.hathitrust.org/Record/006152340")</f>
        <v>http://catalog.hathitrust.org/Record/006152340</v>
      </c>
      <c r="J3241" s="1">
        <v>1818</v>
      </c>
      <c r="K3241" t="s">
        <v>13212</v>
      </c>
      <c r="L3241" t="s">
        <v>20297</v>
      </c>
    </row>
    <row r="3242" spans="1:12">
      <c r="A3242" t="s">
        <v>13213</v>
      </c>
      <c r="B3242" s="1" t="s">
        <v>13214</v>
      </c>
      <c r="F3242">
        <v>1</v>
      </c>
      <c r="G3242" t="str">
        <f>HYPERLINK("http://babel.hathitrust.org/cgi/pt?id=uc1.b4095491")</f>
        <v>http://babel.hathitrust.org/cgi/pt?id=uc1.b4095491</v>
      </c>
      <c r="H3242" t="str">
        <f>HYPERLINK("http://catalog.hathitrust.org/Record/006152345")</f>
        <v>http://catalog.hathitrust.org/Record/006152345</v>
      </c>
      <c r="J3242" s="1">
        <v>1920</v>
      </c>
      <c r="K3242" t="s">
        <v>13215</v>
      </c>
      <c r="L3242" t="s">
        <v>13216</v>
      </c>
    </row>
    <row r="3243" spans="1:12">
      <c r="A3243" t="s">
        <v>13217</v>
      </c>
      <c r="B3243" s="1" t="s">
        <v>13214</v>
      </c>
      <c r="F3243">
        <v>1</v>
      </c>
      <c r="G3243" t="str">
        <f>HYPERLINK("http://babel.hathitrust.org/cgi/pt?id=uc2.ark:/13960/t7sn0c03d")</f>
        <v>http://babel.hathitrust.org/cgi/pt?id=uc2.ark:/13960/t7sn0c03d</v>
      </c>
      <c r="H3243" t="str">
        <f>HYPERLINK("http://catalog.hathitrust.org/Record/006152345")</f>
        <v>http://catalog.hathitrust.org/Record/006152345</v>
      </c>
      <c r="J3243" s="1">
        <v>1920</v>
      </c>
      <c r="K3243" t="s">
        <v>13215</v>
      </c>
      <c r="L3243" t="s">
        <v>13216</v>
      </c>
    </row>
    <row r="3244" spans="1:12">
      <c r="A3244" t="s">
        <v>13218</v>
      </c>
      <c r="B3244" s="1" t="s">
        <v>13219</v>
      </c>
      <c r="D3244">
        <v>1</v>
      </c>
      <c r="G3244" t="str">
        <f>HYPERLINK("http://babel.hathitrust.org/cgi/pt?id=uc1.b4095504")</f>
        <v>http://babel.hathitrust.org/cgi/pt?id=uc1.b4095504</v>
      </c>
      <c r="H3244" t="str">
        <f>HYPERLINK("http://catalog.hathitrust.org/Record/006152349")</f>
        <v>http://catalog.hathitrust.org/Record/006152349</v>
      </c>
      <c r="J3244" s="1">
        <v>1912</v>
      </c>
      <c r="K3244" t="s">
        <v>13220</v>
      </c>
      <c r="L3244" t="s">
        <v>13221</v>
      </c>
    </row>
    <row r="3245" spans="1:12">
      <c r="A3245" t="s">
        <v>13222</v>
      </c>
      <c r="B3245" s="1" t="s">
        <v>13219</v>
      </c>
      <c r="F3245">
        <v>1</v>
      </c>
      <c r="G3245" t="str">
        <f>HYPERLINK("http://babel.hathitrust.org/cgi/pt?id=uc2.ark:/13960/t1fj2mv5f")</f>
        <v>http://babel.hathitrust.org/cgi/pt?id=uc2.ark:/13960/t1fj2mv5f</v>
      </c>
      <c r="H3245" t="str">
        <f>HYPERLINK("http://catalog.hathitrust.org/Record/006152349")</f>
        <v>http://catalog.hathitrust.org/Record/006152349</v>
      </c>
      <c r="J3245" s="1">
        <v>1912</v>
      </c>
      <c r="K3245" t="s">
        <v>13220</v>
      </c>
      <c r="L3245" t="s">
        <v>13221</v>
      </c>
    </row>
    <row r="3246" spans="1:12">
      <c r="A3246" t="s">
        <v>13223</v>
      </c>
      <c r="B3246" s="1" t="s">
        <v>13224</v>
      </c>
      <c r="E3246">
        <v>1</v>
      </c>
      <c r="G3246" t="str">
        <f>HYPERLINK("http://babel.hathitrust.org/cgi/pt?id=uc1.32106001661237")</f>
        <v>http://babel.hathitrust.org/cgi/pt?id=uc1.32106001661237</v>
      </c>
      <c r="H3246" t="str">
        <f>HYPERLINK("http://catalog.hathitrust.org/Record/006152376")</f>
        <v>http://catalog.hathitrust.org/Record/006152376</v>
      </c>
      <c r="J3246" s="1">
        <v>1907</v>
      </c>
      <c r="K3246" t="s">
        <v>13225</v>
      </c>
      <c r="L3246" t="s">
        <v>13226</v>
      </c>
    </row>
    <row r="3247" spans="1:12">
      <c r="A3247" t="s">
        <v>13227</v>
      </c>
      <c r="B3247" s="1" t="s">
        <v>13228</v>
      </c>
      <c r="F3247">
        <v>1</v>
      </c>
      <c r="G3247" t="str">
        <f>HYPERLINK("http://babel.hathitrust.org/cgi/pt?id=uc1.b4095586")</f>
        <v>http://babel.hathitrust.org/cgi/pt?id=uc1.b4095586</v>
      </c>
      <c r="H3247" t="str">
        <f>HYPERLINK("http://catalog.hathitrust.org/Record/006152390")</f>
        <v>http://catalog.hathitrust.org/Record/006152390</v>
      </c>
      <c r="J3247" s="1">
        <v>1951</v>
      </c>
      <c r="K3247" t="s">
        <v>13229</v>
      </c>
      <c r="L3247" t="s">
        <v>13230</v>
      </c>
    </row>
    <row r="3248" spans="1:12">
      <c r="A3248" t="s">
        <v>13231</v>
      </c>
      <c r="B3248" s="1" t="s">
        <v>13232</v>
      </c>
      <c r="F3248">
        <v>1</v>
      </c>
      <c r="G3248" t="str">
        <f>HYPERLINK("http://babel.hathitrust.org/cgi/pt?id=uc1.b4095589")</f>
        <v>http://babel.hathitrust.org/cgi/pt?id=uc1.b4095589</v>
      </c>
      <c r="H3248" t="str">
        <f>HYPERLINK("http://catalog.hathitrust.org/Record/006152391")</f>
        <v>http://catalog.hathitrust.org/Record/006152391</v>
      </c>
      <c r="J3248" s="1">
        <v>1963</v>
      </c>
      <c r="K3248" t="s">
        <v>13233</v>
      </c>
      <c r="L3248" t="s">
        <v>13234</v>
      </c>
    </row>
    <row r="3249" spans="1:12">
      <c r="A3249" t="s">
        <v>13235</v>
      </c>
      <c r="B3249" s="1" t="s">
        <v>13236</v>
      </c>
      <c r="F3249">
        <v>1</v>
      </c>
      <c r="G3249" t="str">
        <f>HYPERLINK("http://babel.hathitrust.org/cgi/pt?id=uc1.b4095619")</f>
        <v>http://babel.hathitrust.org/cgi/pt?id=uc1.b4095619</v>
      </c>
      <c r="H3249" t="str">
        <f>HYPERLINK("http://catalog.hathitrust.org/Record/006152412")</f>
        <v>http://catalog.hathitrust.org/Record/006152412</v>
      </c>
      <c r="J3249" s="1">
        <v>1909</v>
      </c>
      <c r="K3249" t="s">
        <v>13237</v>
      </c>
      <c r="L3249" t="s">
        <v>19601</v>
      </c>
    </row>
    <row r="3250" spans="1:12">
      <c r="A3250" t="s">
        <v>13238</v>
      </c>
      <c r="B3250" s="1" t="s">
        <v>13236</v>
      </c>
      <c r="F3250">
        <v>1</v>
      </c>
      <c r="G3250" t="str">
        <f>HYPERLINK("http://babel.hathitrust.org/cgi/pt?id=uc2.ark:/13960/t5p84fm41")</f>
        <v>http://babel.hathitrust.org/cgi/pt?id=uc2.ark:/13960/t5p84fm41</v>
      </c>
      <c r="H3250" t="str">
        <f>HYPERLINK("http://catalog.hathitrust.org/Record/006152412")</f>
        <v>http://catalog.hathitrust.org/Record/006152412</v>
      </c>
      <c r="J3250" s="1">
        <v>1909</v>
      </c>
      <c r="K3250" t="s">
        <v>13237</v>
      </c>
      <c r="L3250" t="s">
        <v>19601</v>
      </c>
    </row>
    <row r="3251" spans="1:12">
      <c r="A3251" t="s">
        <v>13239</v>
      </c>
      <c r="B3251" s="1" t="s">
        <v>13240</v>
      </c>
      <c r="E3251">
        <v>1</v>
      </c>
      <c r="F3251">
        <v>1</v>
      </c>
      <c r="G3251" t="str">
        <f>HYPERLINK("http://babel.hathitrust.org/cgi/pt?id=uc1.b4097306")</f>
        <v>http://babel.hathitrust.org/cgi/pt?id=uc1.b4097306</v>
      </c>
      <c r="H3251" t="str">
        <f>HYPERLINK("http://catalog.hathitrust.org/Record/006152754")</f>
        <v>http://catalog.hathitrust.org/Record/006152754</v>
      </c>
      <c r="J3251" s="1">
        <v>1878</v>
      </c>
      <c r="K3251" t="s">
        <v>13241</v>
      </c>
      <c r="L3251" t="s">
        <v>13242</v>
      </c>
    </row>
    <row r="3252" spans="1:12">
      <c r="A3252" t="s">
        <v>13243</v>
      </c>
      <c r="B3252" s="1" t="s">
        <v>13240</v>
      </c>
      <c r="F3252">
        <v>1</v>
      </c>
      <c r="G3252" t="str">
        <f>HYPERLINK("http://babel.hathitrust.org/cgi/pt?id=uc2.ark:/13960/t81j9k788")</f>
        <v>http://babel.hathitrust.org/cgi/pt?id=uc2.ark:/13960/t81j9k788</v>
      </c>
      <c r="H3252" t="str">
        <f>HYPERLINK("http://catalog.hathitrust.org/Record/006152754")</f>
        <v>http://catalog.hathitrust.org/Record/006152754</v>
      </c>
      <c r="J3252" s="1">
        <v>1878</v>
      </c>
      <c r="K3252" t="s">
        <v>13241</v>
      </c>
      <c r="L3252" t="s">
        <v>13242</v>
      </c>
    </row>
    <row r="3253" spans="1:12">
      <c r="A3253" t="s">
        <v>13244</v>
      </c>
      <c r="B3253" s="1" t="s">
        <v>13245</v>
      </c>
      <c r="E3253">
        <v>1</v>
      </c>
      <c r="F3253">
        <v>1</v>
      </c>
      <c r="G3253" t="str">
        <f>HYPERLINK("http://babel.hathitrust.org/cgi/pt?id=hvd.hw22ys")</f>
        <v>http://babel.hathitrust.org/cgi/pt?id=hvd.hw22ys</v>
      </c>
      <c r="H3253" t="str">
        <f>HYPERLINK("http://catalog.hathitrust.org/Record/006152759")</f>
        <v>http://catalog.hathitrust.org/Record/006152759</v>
      </c>
      <c r="J3253" s="1">
        <v>1851</v>
      </c>
      <c r="K3253" t="s">
        <v>13246</v>
      </c>
      <c r="L3253" t="s">
        <v>19514</v>
      </c>
    </row>
    <row r="3254" spans="1:12">
      <c r="A3254" t="s">
        <v>13247</v>
      </c>
      <c r="B3254" s="1" t="s">
        <v>13245</v>
      </c>
      <c r="F3254">
        <v>1</v>
      </c>
      <c r="G3254" t="str">
        <f>HYPERLINK("http://babel.hathitrust.org/cgi/pt?id=uc1.b4097318")</f>
        <v>http://babel.hathitrust.org/cgi/pt?id=uc1.b4097318</v>
      </c>
      <c r="H3254" t="str">
        <f>HYPERLINK("http://catalog.hathitrust.org/Record/006152759")</f>
        <v>http://catalog.hathitrust.org/Record/006152759</v>
      </c>
      <c r="J3254" s="1">
        <v>1851</v>
      </c>
      <c r="K3254" t="s">
        <v>13246</v>
      </c>
      <c r="L3254" t="s">
        <v>19514</v>
      </c>
    </row>
    <row r="3255" spans="1:12">
      <c r="A3255" t="s">
        <v>13248</v>
      </c>
      <c r="B3255" s="1" t="s">
        <v>13245</v>
      </c>
      <c r="F3255">
        <v>1</v>
      </c>
      <c r="G3255" t="str">
        <f>HYPERLINK("http://babel.hathitrust.org/cgi/pt?id=uc2.ark:/13960/t2z32056z")</f>
        <v>http://babel.hathitrust.org/cgi/pt?id=uc2.ark:/13960/t2z32056z</v>
      </c>
      <c r="H3255" t="str">
        <f>HYPERLINK("http://catalog.hathitrust.org/Record/006152759")</f>
        <v>http://catalog.hathitrust.org/Record/006152759</v>
      </c>
      <c r="J3255" s="1">
        <v>1851</v>
      </c>
      <c r="K3255" t="s">
        <v>13246</v>
      </c>
      <c r="L3255" t="s">
        <v>19514</v>
      </c>
    </row>
    <row r="3256" spans="1:12">
      <c r="A3256" t="s">
        <v>13249</v>
      </c>
      <c r="B3256" s="1" t="s">
        <v>13250</v>
      </c>
      <c r="F3256">
        <v>1</v>
      </c>
      <c r="G3256" t="str">
        <f>HYPERLINK("http://babel.hathitrust.org/cgi/pt?id=uc1.b4097322")</f>
        <v>http://babel.hathitrust.org/cgi/pt?id=uc1.b4097322</v>
      </c>
      <c r="H3256" t="str">
        <f>HYPERLINK("http://catalog.hathitrust.org/Record/006152762")</f>
        <v>http://catalog.hathitrust.org/Record/006152762</v>
      </c>
      <c r="J3256" s="1">
        <v>1844</v>
      </c>
      <c r="K3256" t="s">
        <v>13157</v>
      </c>
      <c r="L3256" t="s">
        <v>14096</v>
      </c>
    </row>
    <row r="3257" spans="1:12">
      <c r="A3257" t="s">
        <v>13158</v>
      </c>
      <c r="B3257" s="1" t="s">
        <v>13159</v>
      </c>
      <c r="D3257">
        <v>1</v>
      </c>
      <c r="G3257" t="str">
        <f>HYPERLINK("http://babel.hathitrust.org/cgi/pt?id=uc1.b4097397")</f>
        <v>http://babel.hathitrust.org/cgi/pt?id=uc1.b4097397</v>
      </c>
      <c r="H3257" t="str">
        <f>HYPERLINK("http://catalog.hathitrust.org/Record/006152794")</f>
        <v>http://catalog.hathitrust.org/Record/006152794</v>
      </c>
      <c r="J3257" s="1">
        <v>1922</v>
      </c>
      <c r="K3257" t="s">
        <v>13160</v>
      </c>
      <c r="L3257" t="s">
        <v>20010</v>
      </c>
    </row>
    <row r="3258" spans="1:12">
      <c r="A3258" t="s">
        <v>13161</v>
      </c>
      <c r="B3258" s="1" t="s">
        <v>13159</v>
      </c>
      <c r="F3258">
        <v>1</v>
      </c>
      <c r="G3258" t="str">
        <f>HYPERLINK("http://babel.hathitrust.org/cgi/pt?id=uc2.ark:/13960/t28914s3q")</f>
        <v>http://babel.hathitrust.org/cgi/pt?id=uc2.ark:/13960/t28914s3q</v>
      </c>
      <c r="H3258" t="str">
        <f>HYPERLINK("http://catalog.hathitrust.org/Record/006152794")</f>
        <v>http://catalog.hathitrust.org/Record/006152794</v>
      </c>
      <c r="J3258" s="1">
        <v>1922</v>
      </c>
      <c r="K3258" t="s">
        <v>13160</v>
      </c>
      <c r="L3258" t="s">
        <v>20010</v>
      </c>
    </row>
    <row r="3259" spans="1:12">
      <c r="A3259" t="s">
        <v>13162</v>
      </c>
      <c r="B3259" s="1" t="s">
        <v>13163</v>
      </c>
      <c r="F3259">
        <v>1</v>
      </c>
      <c r="G3259" t="str">
        <f>HYPERLINK("http://babel.hathitrust.org/cgi/pt?id=uc1.b4097829")</f>
        <v>http://babel.hathitrust.org/cgi/pt?id=uc1.b4097829</v>
      </c>
      <c r="H3259" t="str">
        <f>HYPERLINK("http://catalog.hathitrust.org/Record/006152998")</f>
        <v>http://catalog.hathitrust.org/Record/006152998</v>
      </c>
      <c r="J3259" s="1">
        <v>1948</v>
      </c>
      <c r="K3259" t="s">
        <v>13164</v>
      </c>
      <c r="L3259" t="s">
        <v>13165</v>
      </c>
    </row>
    <row r="3260" spans="1:12">
      <c r="A3260" t="s">
        <v>13166</v>
      </c>
      <c r="B3260" s="1" t="s">
        <v>13167</v>
      </c>
      <c r="F3260">
        <v>1</v>
      </c>
      <c r="G3260" t="str">
        <f>HYPERLINK("http://babel.hathitrust.org/cgi/pt?id=uc1.b4097989")</f>
        <v>http://babel.hathitrust.org/cgi/pt?id=uc1.b4097989</v>
      </c>
      <c r="H3260" t="str">
        <f>HYPERLINK("http://catalog.hathitrust.org/Record/006153077")</f>
        <v>http://catalog.hathitrust.org/Record/006153077</v>
      </c>
      <c r="J3260" s="1">
        <v>1872</v>
      </c>
      <c r="K3260" t="s">
        <v>13168</v>
      </c>
      <c r="L3260" t="s">
        <v>13169</v>
      </c>
    </row>
    <row r="3261" spans="1:12">
      <c r="A3261" t="s">
        <v>13170</v>
      </c>
      <c r="B3261" s="1" t="s">
        <v>13167</v>
      </c>
      <c r="F3261">
        <v>1</v>
      </c>
      <c r="G3261" t="str">
        <f>HYPERLINK("http://babel.hathitrust.org/cgi/pt?id=uc2.ark:/13960/t9z039c55")</f>
        <v>http://babel.hathitrust.org/cgi/pt?id=uc2.ark:/13960/t9z039c55</v>
      </c>
      <c r="H3261" t="str">
        <f>HYPERLINK("http://catalog.hathitrust.org/Record/006153077")</f>
        <v>http://catalog.hathitrust.org/Record/006153077</v>
      </c>
      <c r="J3261" s="1">
        <v>1872</v>
      </c>
      <c r="K3261" t="s">
        <v>13168</v>
      </c>
      <c r="L3261" t="s">
        <v>13169</v>
      </c>
    </row>
    <row r="3262" spans="1:12">
      <c r="A3262" t="s">
        <v>13171</v>
      </c>
      <c r="B3262" s="1" t="s">
        <v>13172</v>
      </c>
      <c r="F3262">
        <v>1</v>
      </c>
      <c r="G3262" t="str">
        <f>HYPERLINK("http://babel.hathitrust.org/cgi/pt?id=nyp.33433082200001")</f>
        <v>http://babel.hathitrust.org/cgi/pt?id=nyp.33433082200001</v>
      </c>
      <c r="H3262" t="str">
        <f>HYPERLINK("http://catalog.hathitrust.org/Record/006153877")</f>
        <v>http://catalog.hathitrust.org/Record/006153877</v>
      </c>
      <c r="I3262" s="1" t="s">
        <v>20796</v>
      </c>
      <c r="J3262" s="1">
        <v>1857</v>
      </c>
      <c r="K3262" t="s">
        <v>13173</v>
      </c>
      <c r="L3262" t="s">
        <v>20086</v>
      </c>
    </row>
    <row r="3263" spans="1:12">
      <c r="A3263" t="s">
        <v>13174</v>
      </c>
      <c r="B3263" s="1" t="s">
        <v>13172</v>
      </c>
      <c r="F3263">
        <v>1</v>
      </c>
      <c r="G3263" t="str">
        <f>HYPERLINK("http://babel.hathitrust.org/cgi/pt?id=uc1.b4099851")</f>
        <v>http://babel.hathitrust.org/cgi/pt?id=uc1.b4099851</v>
      </c>
      <c r="H3263" t="str">
        <f>HYPERLINK("http://catalog.hathitrust.org/Record/006153877")</f>
        <v>http://catalog.hathitrust.org/Record/006153877</v>
      </c>
      <c r="I3263" s="1" t="s">
        <v>20916</v>
      </c>
      <c r="J3263" s="1">
        <v>1857</v>
      </c>
      <c r="K3263" t="s">
        <v>13173</v>
      </c>
      <c r="L3263" t="s">
        <v>20086</v>
      </c>
    </row>
    <row r="3264" spans="1:12">
      <c r="A3264" t="s">
        <v>13175</v>
      </c>
      <c r="B3264" s="1" t="s">
        <v>13176</v>
      </c>
      <c r="F3264">
        <v>1</v>
      </c>
      <c r="G3264" t="str">
        <f>HYPERLINK("http://babel.hathitrust.org/cgi/pt?id=nyp.33433044520587")</f>
        <v>http://babel.hathitrust.org/cgi/pt?id=nyp.33433044520587</v>
      </c>
      <c r="H3264" t="str">
        <f>HYPERLINK("http://catalog.hathitrust.org/Record/006155847")</f>
        <v>http://catalog.hathitrust.org/Record/006155847</v>
      </c>
      <c r="J3264" s="1">
        <v>1922</v>
      </c>
      <c r="K3264" t="s">
        <v>13177</v>
      </c>
      <c r="L3264" t="s">
        <v>13178</v>
      </c>
    </row>
    <row r="3265" spans="1:12">
      <c r="A3265" t="s">
        <v>13179</v>
      </c>
      <c r="B3265" s="1" t="s">
        <v>13176</v>
      </c>
      <c r="F3265">
        <v>1</v>
      </c>
      <c r="G3265" t="str">
        <f>HYPERLINK("http://babel.hathitrust.org/cgi/pt?id=uc1.b4104389")</f>
        <v>http://babel.hathitrust.org/cgi/pt?id=uc1.b4104389</v>
      </c>
      <c r="H3265" t="str">
        <f>HYPERLINK("http://catalog.hathitrust.org/Record/006155847")</f>
        <v>http://catalog.hathitrust.org/Record/006155847</v>
      </c>
      <c r="J3265" s="1">
        <v>1922</v>
      </c>
      <c r="K3265" t="s">
        <v>13177</v>
      </c>
      <c r="L3265" t="s">
        <v>13178</v>
      </c>
    </row>
    <row r="3266" spans="1:12">
      <c r="A3266" t="s">
        <v>13180</v>
      </c>
      <c r="B3266" s="1" t="s">
        <v>13176</v>
      </c>
      <c r="F3266">
        <v>1</v>
      </c>
      <c r="G3266" t="str">
        <f>HYPERLINK("http://babel.hathitrust.org/cgi/pt?id=uc2.ark:/13960/t5bc44v6b")</f>
        <v>http://babel.hathitrust.org/cgi/pt?id=uc2.ark:/13960/t5bc44v6b</v>
      </c>
      <c r="H3266" t="str">
        <f>HYPERLINK("http://catalog.hathitrust.org/Record/006155847")</f>
        <v>http://catalog.hathitrust.org/Record/006155847</v>
      </c>
      <c r="J3266" s="1">
        <v>1922</v>
      </c>
      <c r="K3266" t="s">
        <v>13177</v>
      </c>
      <c r="L3266" t="s">
        <v>13178</v>
      </c>
    </row>
    <row r="3267" spans="1:12">
      <c r="A3267" t="s">
        <v>13181</v>
      </c>
      <c r="B3267" s="1" t="s">
        <v>13182</v>
      </c>
      <c r="D3267">
        <v>1</v>
      </c>
      <c r="G3267" t="str">
        <f>HYPERLINK("http://babel.hathitrust.org/cgi/pt?id=uc1.b4105547")</f>
        <v>http://babel.hathitrust.org/cgi/pt?id=uc1.b4105547</v>
      </c>
      <c r="H3267" t="str">
        <f>HYPERLINK("http://catalog.hathitrust.org/Record/006156364")</f>
        <v>http://catalog.hathitrust.org/Record/006156364</v>
      </c>
      <c r="J3267" s="1">
        <v>1922</v>
      </c>
      <c r="K3267" t="s">
        <v>13183</v>
      </c>
      <c r="L3267" t="s">
        <v>20006</v>
      </c>
    </row>
    <row r="3268" spans="1:12">
      <c r="A3268" t="s">
        <v>13184</v>
      </c>
      <c r="B3268" s="1" t="s">
        <v>13185</v>
      </c>
      <c r="F3268">
        <v>1</v>
      </c>
      <c r="G3268" t="str">
        <f>HYPERLINK("http://babel.hathitrust.org/cgi/pt?id=uc1.b4109878")</f>
        <v>http://babel.hathitrust.org/cgi/pt?id=uc1.b4109878</v>
      </c>
      <c r="H3268" t="str">
        <f>HYPERLINK("http://catalog.hathitrust.org/Record/006157392")</f>
        <v>http://catalog.hathitrust.org/Record/006157392</v>
      </c>
      <c r="I3268" s="1" t="s">
        <v>20755</v>
      </c>
      <c r="J3268" s="1">
        <v>1892</v>
      </c>
      <c r="K3268" t="s">
        <v>13186</v>
      </c>
      <c r="L3268" t="s">
        <v>17875</v>
      </c>
    </row>
    <row r="3269" spans="1:12">
      <c r="A3269" t="s">
        <v>13187</v>
      </c>
      <c r="B3269" s="1" t="s">
        <v>13185</v>
      </c>
      <c r="F3269">
        <v>1</v>
      </c>
      <c r="G3269" t="str">
        <f>HYPERLINK("http://babel.hathitrust.org/cgi/pt?id=uc1.b55971")</f>
        <v>http://babel.hathitrust.org/cgi/pt?id=uc1.b55971</v>
      </c>
      <c r="H3269" t="str">
        <f>HYPERLINK("http://catalog.hathitrust.org/Record/006157392")</f>
        <v>http://catalog.hathitrust.org/Record/006157392</v>
      </c>
      <c r="I3269" s="1" t="s">
        <v>20796</v>
      </c>
      <c r="J3269" s="1">
        <v>1892</v>
      </c>
      <c r="K3269" t="s">
        <v>13186</v>
      </c>
      <c r="L3269" t="s">
        <v>17875</v>
      </c>
    </row>
    <row r="3270" spans="1:12">
      <c r="A3270" t="s">
        <v>13188</v>
      </c>
      <c r="B3270" s="1" t="s">
        <v>13185</v>
      </c>
      <c r="F3270">
        <v>1</v>
      </c>
      <c r="G3270" t="str">
        <f>HYPERLINK("http://babel.hathitrust.org/cgi/pt?id=uc2.ark:/13960/t2988dd9m")</f>
        <v>http://babel.hathitrust.org/cgi/pt?id=uc2.ark:/13960/t2988dd9m</v>
      </c>
      <c r="H3270" t="str">
        <f>HYPERLINK("http://catalog.hathitrust.org/Record/006157392")</f>
        <v>http://catalog.hathitrust.org/Record/006157392</v>
      </c>
      <c r="I3270" s="1" t="s">
        <v>20755</v>
      </c>
      <c r="J3270" s="1">
        <v>1892</v>
      </c>
      <c r="K3270" t="s">
        <v>13186</v>
      </c>
      <c r="L3270" t="s">
        <v>17875</v>
      </c>
    </row>
    <row r="3271" spans="1:12">
      <c r="A3271" t="s">
        <v>13189</v>
      </c>
      <c r="B3271" s="1" t="s">
        <v>13190</v>
      </c>
      <c r="F3271">
        <v>1</v>
      </c>
      <c r="G3271" t="str">
        <f>HYPERLINK("http://babel.hathitrust.org/cgi/pt?id=hvd.32044051069532")</f>
        <v>http://babel.hathitrust.org/cgi/pt?id=hvd.32044051069532</v>
      </c>
      <c r="H3271" t="str">
        <f>HYPERLINK("http://catalog.hathitrust.org/Record/006157405")</f>
        <v>http://catalog.hathitrust.org/Record/006157405</v>
      </c>
      <c r="J3271" s="1">
        <v>1845</v>
      </c>
      <c r="K3271" t="s">
        <v>13191</v>
      </c>
      <c r="L3271" t="s">
        <v>20297</v>
      </c>
    </row>
    <row r="3272" spans="1:12">
      <c r="A3272" t="s">
        <v>13192</v>
      </c>
      <c r="B3272" s="1" t="s">
        <v>13190</v>
      </c>
      <c r="F3272">
        <v>1</v>
      </c>
      <c r="G3272" t="str">
        <f>HYPERLINK("http://babel.hathitrust.org/cgi/pt?id=hvd.hwkb4j")</f>
        <v>http://babel.hathitrust.org/cgi/pt?id=hvd.hwkb4j</v>
      </c>
      <c r="H3272" t="str">
        <f>HYPERLINK("http://catalog.hathitrust.org/Record/006157405")</f>
        <v>http://catalog.hathitrust.org/Record/006157405</v>
      </c>
      <c r="J3272" s="1">
        <v>1845</v>
      </c>
      <c r="K3272" t="s">
        <v>13191</v>
      </c>
      <c r="L3272" t="s">
        <v>20297</v>
      </c>
    </row>
    <row r="3273" spans="1:12">
      <c r="A3273" t="s">
        <v>13193</v>
      </c>
      <c r="B3273" s="1" t="s">
        <v>13190</v>
      </c>
      <c r="F3273">
        <v>1</v>
      </c>
      <c r="G3273" t="str">
        <f>HYPERLINK("http://babel.hathitrust.org/cgi/pt?id=loc.ark:/13960/t9183w965")</f>
        <v>http://babel.hathitrust.org/cgi/pt?id=loc.ark:/13960/t9183w965</v>
      </c>
      <c r="H3273" t="str">
        <f>HYPERLINK("http://catalog.hathitrust.org/Record/006157405")</f>
        <v>http://catalog.hathitrust.org/Record/006157405</v>
      </c>
      <c r="J3273" s="1">
        <v>1845</v>
      </c>
      <c r="K3273" t="s">
        <v>13191</v>
      </c>
      <c r="L3273" t="s">
        <v>20297</v>
      </c>
    </row>
    <row r="3274" spans="1:12">
      <c r="A3274" t="s">
        <v>13194</v>
      </c>
      <c r="B3274" s="1" t="s">
        <v>13190</v>
      </c>
      <c r="F3274">
        <v>1</v>
      </c>
      <c r="G3274" t="str">
        <f>HYPERLINK("http://babel.hathitrust.org/cgi/pt?id=uc1.b4109916")</f>
        <v>http://babel.hathitrust.org/cgi/pt?id=uc1.b4109916</v>
      </c>
      <c r="H3274" t="str">
        <f>HYPERLINK("http://catalog.hathitrust.org/Record/006157405")</f>
        <v>http://catalog.hathitrust.org/Record/006157405</v>
      </c>
      <c r="J3274" s="1">
        <v>1845</v>
      </c>
      <c r="K3274" t="s">
        <v>13191</v>
      </c>
      <c r="L3274" t="s">
        <v>20297</v>
      </c>
    </row>
    <row r="3275" spans="1:12">
      <c r="A3275" t="s">
        <v>13195</v>
      </c>
      <c r="B3275" s="1" t="s">
        <v>13190</v>
      </c>
      <c r="F3275">
        <v>1</v>
      </c>
      <c r="G3275" t="str">
        <f>HYPERLINK("http://babel.hathitrust.org/cgi/pt?id=uc2.ark:/13960/t83j3nb4v")</f>
        <v>http://babel.hathitrust.org/cgi/pt?id=uc2.ark:/13960/t83j3nb4v</v>
      </c>
      <c r="H3275" t="str">
        <f>HYPERLINK("http://catalog.hathitrust.org/Record/006157405")</f>
        <v>http://catalog.hathitrust.org/Record/006157405</v>
      </c>
      <c r="J3275" s="1">
        <v>1845</v>
      </c>
      <c r="K3275" t="s">
        <v>13191</v>
      </c>
      <c r="L3275" t="s">
        <v>20297</v>
      </c>
    </row>
    <row r="3276" spans="1:12">
      <c r="A3276" t="s">
        <v>13196</v>
      </c>
      <c r="B3276" s="1" t="s">
        <v>13197</v>
      </c>
      <c r="F3276">
        <v>1</v>
      </c>
      <c r="G3276" t="str">
        <f>HYPERLINK("http://babel.hathitrust.org/cgi/pt?id=uc1.b4113554")</f>
        <v>http://babel.hathitrust.org/cgi/pt?id=uc1.b4113554</v>
      </c>
      <c r="H3276" t="str">
        <f>HYPERLINK("http://catalog.hathitrust.org/Record/006157926")</f>
        <v>http://catalog.hathitrust.org/Record/006157926</v>
      </c>
      <c r="J3276" s="1">
        <v>1914</v>
      </c>
      <c r="K3276" t="s">
        <v>13198</v>
      </c>
      <c r="L3276" t="s">
        <v>13199</v>
      </c>
    </row>
    <row r="3277" spans="1:12">
      <c r="A3277" t="s">
        <v>13200</v>
      </c>
      <c r="B3277" s="1" t="s">
        <v>13197</v>
      </c>
      <c r="F3277">
        <v>1</v>
      </c>
      <c r="G3277" t="str">
        <f>HYPERLINK("http://babel.hathitrust.org/cgi/pt?id=uc2.ark:/13960/t3kw59c1w")</f>
        <v>http://babel.hathitrust.org/cgi/pt?id=uc2.ark:/13960/t3kw59c1w</v>
      </c>
      <c r="H3277" t="str">
        <f>HYPERLINK("http://catalog.hathitrust.org/Record/006157926")</f>
        <v>http://catalog.hathitrust.org/Record/006157926</v>
      </c>
      <c r="J3277" s="1">
        <v>1914</v>
      </c>
      <c r="K3277" t="s">
        <v>13198</v>
      </c>
      <c r="L3277" t="s">
        <v>13199</v>
      </c>
    </row>
    <row r="3278" spans="1:12">
      <c r="A3278" t="s">
        <v>13201</v>
      </c>
      <c r="B3278" s="1" t="s">
        <v>13202</v>
      </c>
      <c r="F3278">
        <v>1</v>
      </c>
      <c r="G3278" t="str">
        <f>HYPERLINK("http://babel.hathitrust.org/cgi/pt?id=hvd.hnqqbz")</f>
        <v>http://babel.hathitrust.org/cgi/pt?id=hvd.hnqqbz</v>
      </c>
      <c r="H3278" t="str">
        <f>HYPERLINK("http://catalog.hathitrust.org/Record/006170533")</f>
        <v>http://catalog.hathitrust.org/Record/006170533</v>
      </c>
      <c r="J3278" s="1">
        <v>1824</v>
      </c>
      <c r="K3278" t="s">
        <v>13203</v>
      </c>
      <c r="L3278" t="s">
        <v>13204</v>
      </c>
    </row>
    <row r="3279" spans="1:12">
      <c r="A3279" t="s">
        <v>13099</v>
      </c>
      <c r="B3279" s="1" t="s">
        <v>13202</v>
      </c>
      <c r="F3279">
        <v>1</v>
      </c>
      <c r="G3279" t="str">
        <f>HYPERLINK("http://babel.hathitrust.org/cgi/pt?id=uc2.ark:/13960/t23b5zv9r")</f>
        <v>http://babel.hathitrust.org/cgi/pt?id=uc2.ark:/13960/t23b5zv9r</v>
      </c>
      <c r="H3279" t="str">
        <f>HYPERLINK("http://catalog.hathitrust.org/Record/006170533")</f>
        <v>http://catalog.hathitrust.org/Record/006170533</v>
      </c>
      <c r="J3279" s="1">
        <v>1824</v>
      </c>
      <c r="K3279" t="s">
        <v>13203</v>
      </c>
      <c r="L3279" t="s">
        <v>13204</v>
      </c>
    </row>
    <row r="3280" spans="1:12">
      <c r="A3280" t="s">
        <v>13100</v>
      </c>
      <c r="B3280" s="1" t="s">
        <v>13101</v>
      </c>
      <c r="F3280">
        <v>1</v>
      </c>
      <c r="G3280" t="str">
        <f>HYPERLINK("http://babel.hathitrust.org/cgi/pt?id=pur1.32754074128087")</f>
        <v>http://babel.hathitrust.org/cgi/pt?id=pur1.32754074128087</v>
      </c>
      <c r="H3280" t="str">
        <f>HYPERLINK("http://catalog.hathitrust.org/Record/006183240")</f>
        <v>http://catalog.hathitrust.org/Record/006183240</v>
      </c>
      <c r="J3280" s="1">
        <v>1984</v>
      </c>
      <c r="K3280" t="s">
        <v>13102</v>
      </c>
      <c r="L3280" t="s">
        <v>13103</v>
      </c>
    </row>
    <row r="3281" spans="1:12">
      <c r="A3281" t="s">
        <v>13104</v>
      </c>
      <c r="B3281" s="1" t="s">
        <v>13101</v>
      </c>
      <c r="F3281">
        <v>1</v>
      </c>
      <c r="G3281" t="str">
        <f>HYPERLINK("http://babel.hathitrust.org/cgi/pt?id=uc1.b4195073")</f>
        <v>http://babel.hathitrust.org/cgi/pt?id=uc1.b4195073</v>
      </c>
      <c r="H3281" t="str">
        <f>HYPERLINK("http://catalog.hathitrust.org/Record/006183240")</f>
        <v>http://catalog.hathitrust.org/Record/006183240</v>
      </c>
      <c r="J3281" s="1">
        <v>1984</v>
      </c>
      <c r="K3281" t="s">
        <v>13102</v>
      </c>
      <c r="L3281" t="s">
        <v>13103</v>
      </c>
    </row>
    <row r="3282" spans="1:12">
      <c r="A3282" t="s">
        <v>13105</v>
      </c>
      <c r="B3282" s="1" t="s">
        <v>13106</v>
      </c>
      <c r="F3282">
        <v>1</v>
      </c>
      <c r="G3282" t="str">
        <f>HYPERLINK("http://babel.hathitrust.org/cgi/pt?id=uc1.b4210899")</f>
        <v>http://babel.hathitrust.org/cgi/pt?id=uc1.b4210899</v>
      </c>
      <c r="H3282" t="str">
        <f>HYPERLINK("http://catalog.hathitrust.org/Record/006186943")</f>
        <v>http://catalog.hathitrust.org/Record/006186943</v>
      </c>
      <c r="J3282" s="1">
        <v>1918</v>
      </c>
      <c r="K3282" t="s">
        <v>13107</v>
      </c>
      <c r="L3282" t="s">
        <v>13108</v>
      </c>
    </row>
    <row r="3283" spans="1:12">
      <c r="A3283" t="s">
        <v>13109</v>
      </c>
      <c r="B3283" s="1" t="s">
        <v>13106</v>
      </c>
      <c r="F3283">
        <v>1</v>
      </c>
      <c r="G3283" t="str">
        <f>HYPERLINK("http://babel.hathitrust.org/cgi/pt?id=uc2.ark:/13960/t3pv6gc9s")</f>
        <v>http://babel.hathitrust.org/cgi/pt?id=uc2.ark:/13960/t3pv6gc9s</v>
      </c>
      <c r="H3283" t="str">
        <f>HYPERLINK("http://catalog.hathitrust.org/Record/006186943")</f>
        <v>http://catalog.hathitrust.org/Record/006186943</v>
      </c>
      <c r="J3283" s="1">
        <v>1918</v>
      </c>
      <c r="K3283" t="s">
        <v>13107</v>
      </c>
      <c r="L3283" t="s">
        <v>13108</v>
      </c>
    </row>
    <row r="3284" spans="1:12">
      <c r="A3284" t="s">
        <v>13110</v>
      </c>
      <c r="B3284" s="1" t="s">
        <v>13111</v>
      </c>
      <c r="F3284">
        <v>1</v>
      </c>
      <c r="G3284" t="str">
        <f>HYPERLINK("http://babel.hathitrust.org/cgi/pt?id=hvd.hncbbf")</f>
        <v>http://babel.hathitrust.org/cgi/pt?id=hvd.hncbbf</v>
      </c>
      <c r="H3284" t="str">
        <f>HYPERLINK("http://catalog.hathitrust.org/Record/006193345")</f>
        <v>http://catalog.hathitrust.org/Record/006193345</v>
      </c>
      <c r="J3284" s="1">
        <v>1845</v>
      </c>
      <c r="K3284" t="s">
        <v>13112</v>
      </c>
    </row>
    <row r="3285" spans="1:12">
      <c r="A3285" t="s">
        <v>13113</v>
      </c>
      <c r="B3285" s="1" t="s">
        <v>13111</v>
      </c>
      <c r="F3285">
        <v>1</v>
      </c>
      <c r="G3285" t="str">
        <f>HYPERLINK("http://babel.hathitrust.org/cgi/pt?id=nyp.33433069140089")</f>
        <v>http://babel.hathitrust.org/cgi/pt?id=nyp.33433069140089</v>
      </c>
      <c r="H3285" t="str">
        <f>HYPERLINK("http://catalog.hathitrust.org/Record/006193345")</f>
        <v>http://catalog.hathitrust.org/Record/006193345</v>
      </c>
      <c r="J3285" s="1">
        <v>1845</v>
      </c>
      <c r="K3285" t="s">
        <v>13112</v>
      </c>
    </row>
    <row r="3286" spans="1:12">
      <c r="A3286" t="s">
        <v>13114</v>
      </c>
      <c r="B3286" s="1" t="s">
        <v>13111</v>
      </c>
      <c r="F3286">
        <v>1</v>
      </c>
      <c r="G3286" t="str">
        <f>HYPERLINK("http://babel.hathitrust.org/cgi/pt?id=uc1.b4229640")</f>
        <v>http://babel.hathitrust.org/cgi/pt?id=uc1.b4229640</v>
      </c>
      <c r="H3286" t="str">
        <f>HYPERLINK("http://catalog.hathitrust.org/Record/006193345")</f>
        <v>http://catalog.hathitrust.org/Record/006193345</v>
      </c>
      <c r="J3286" s="1">
        <v>1845</v>
      </c>
      <c r="K3286" t="s">
        <v>13112</v>
      </c>
    </row>
    <row r="3287" spans="1:12">
      <c r="A3287" t="s">
        <v>13115</v>
      </c>
      <c r="B3287" s="1" t="s">
        <v>13111</v>
      </c>
      <c r="F3287">
        <v>1</v>
      </c>
      <c r="G3287" t="str">
        <f>HYPERLINK("http://babel.hathitrust.org/cgi/pt?id=uc2.ark:/13960/t5w66nd2s")</f>
        <v>http://babel.hathitrust.org/cgi/pt?id=uc2.ark:/13960/t5w66nd2s</v>
      </c>
      <c r="H3287" t="str">
        <f>HYPERLINK("http://catalog.hathitrust.org/Record/006193345")</f>
        <v>http://catalog.hathitrust.org/Record/006193345</v>
      </c>
      <c r="J3287" s="1">
        <v>1845</v>
      </c>
      <c r="K3287" t="s">
        <v>13112</v>
      </c>
    </row>
    <row r="3288" spans="1:12">
      <c r="A3288" t="s">
        <v>13116</v>
      </c>
      <c r="B3288" s="1" t="s">
        <v>13117</v>
      </c>
      <c r="F3288">
        <v>1</v>
      </c>
      <c r="G3288" t="str">
        <f>HYPERLINK("http://babel.hathitrust.org/cgi/pt?id=uc1.b4229675")</f>
        <v>http://babel.hathitrust.org/cgi/pt?id=uc1.b4229675</v>
      </c>
      <c r="H3288" t="str">
        <f>HYPERLINK("http://catalog.hathitrust.org/Record/006193356")</f>
        <v>http://catalog.hathitrust.org/Record/006193356</v>
      </c>
      <c r="I3288" s="1" t="s">
        <v>19273</v>
      </c>
      <c r="J3288" s="1">
        <v>1867</v>
      </c>
      <c r="K3288" t="s">
        <v>13118</v>
      </c>
      <c r="L3288" t="s">
        <v>18627</v>
      </c>
    </row>
    <row r="3289" spans="1:12">
      <c r="A3289" t="s">
        <v>13119</v>
      </c>
      <c r="B3289" s="1" t="s">
        <v>13120</v>
      </c>
      <c r="F3289">
        <v>1</v>
      </c>
      <c r="G3289" t="str">
        <f>HYPERLINK("http://babel.hathitrust.org/cgi/pt?id=uc1.b3137696")</f>
        <v>http://babel.hathitrust.org/cgi/pt?id=uc1.b3137696</v>
      </c>
      <c r="H3289" t="str">
        <f>HYPERLINK("http://catalog.hathitrust.org/Record/006209732")</f>
        <v>http://catalog.hathitrust.org/Record/006209732</v>
      </c>
      <c r="I3289" s="1" t="s">
        <v>20916</v>
      </c>
      <c r="J3289" s="1">
        <v>1959</v>
      </c>
      <c r="K3289" t="s">
        <v>13121</v>
      </c>
      <c r="L3289" t="s">
        <v>13122</v>
      </c>
    </row>
    <row r="3290" spans="1:12">
      <c r="A3290" t="s">
        <v>13123</v>
      </c>
      <c r="B3290" s="1" t="s">
        <v>13120</v>
      </c>
      <c r="F3290">
        <v>1</v>
      </c>
      <c r="G3290" t="str">
        <f>HYPERLINK("http://babel.hathitrust.org/cgi/pt?id=uc1.b3137697")</f>
        <v>http://babel.hathitrust.org/cgi/pt?id=uc1.b3137697</v>
      </c>
      <c r="H3290" t="str">
        <f>HYPERLINK("http://catalog.hathitrust.org/Record/006209732")</f>
        <v>http://catalog.hathitrust.org/Record/006209732</v>
      </c>
      <c r="I3290" s="1" t="s">
        <v>20755</v>
      </c>
      <c r="J3290" s="1">
        <v>1959</v>
      </c>
      <c r="K3290" t="s">
        <v>13121</v>
      </c>
      <c r="L3290" t="s">
        <v>13122</v>
      </c>
    </row>
    <row r="3291" spans="1:12">
      <c r="A3291" t="s">
        <v>13124</v>
      </c>
      <c r="B3291" s="1" t="s">
        <v>13120</v>
      </c>
      <c r="F3291">
        <v>1</v>
      </c>
      <c r="G3291" t="str">
        <f>HYPERLINK("http://babel.hathitrust.org/cgi/pt?id=uc1.b3137700")</f>
        <v>http://babel.hathitrust.org/cgi/pt?id=uc1.b3137700</v>
      </c>
      <c r="H3291" t="str">
        <f>HYPERLINK("http://catalog.hathitrust.org/Record/006209732")</f>
        <v>http://catalog.hathitrust.org/Record/006209732</v>
      </c>
      <c r="I3291" s="1" t="s">
        <v>20681</v>
      </c>
      <c r="J3291" s="1">
        <v>1959</v>
      </c>
      <c r="K3291" t="s">
        <v>13121</v>
      </c>
      <c r="L3291" t="s">
        <v>13122</v>
      </c>
    </row>
    <row r="3292" spans="1:12">
      <c r="A3292" t="s">
        <v>13125</v>
      </c>
      <c r="B3292" s="1" t="s">
        <v>13120</v>
      </c>
      <c r="F3292">
        <v>1</v>
      </c>
      <c r="G3292" t="str">
        <f>HYPERLINK("http://babel.hathitrust.org/cgi/pt?id=uc1.b3137701")</f>
        <v>http://babel.hathitrust.org/cgi/pt?id=uc1.b3137701</v>
      </c>
      <c r="H3292" t="str">
        <f>HYPERLINK("http://catalog.hathitrust.org/Record/006209732")</f>
        <v>http://catalog.hathitrust.org/Record/006209732</v>
      </c>
      <c r="I3292" s="1" t="s">
        <v>21018</v>
      </c>
      <c r="J3292" s="1">
        <v>1959</v>
      </c>
      <c r="K3292" t="s">
        <v>13121</v>
      </c>
      <c r="L3292" t="s">
        <v>13122</v>
      </c>
    </row>
    <row r="3293" spans="1:12">
      <c r="A3293" t="s">
        <v>13126</v>
      </c>
      <c r="B3293" s="1" t="s">
        <v>13120</v>
      </c>
      <c r="F3293">
        <v>1</v>
      </c>
      <c r="G3293" t="str">
        <f>HYPERLINK("http://babel.hathitrust.org/cgi/pt?id=uc1.b3137703")</f>
        <v>http://babel.hathitrust.org/cgi/pt?id=uc1.b3137703</v>
      </c>
      <c r="H3293" t="str">
        <f>HYPERLINK("http://catalog.hathitrust.org/Record/006209732")</f>
        <v>http://catalog.hathitrust.org/Record/006209732</v>
      </c>
      <c r="I3293" s="1" t="s">
        <v>21021</v>
      </c>
      <c r="J3293" s="1">
        <v>1959</v>
      </c>
      <c r="K3293" t="s">
        <v>13121</v>
      </c>
      <c r="L3293" t="s">
        <v>13122</v>
      </c>
    </row>
    <row r="3294" spans="1:12">
      <c r="A3294" t="s">
        <v>13127</v>
      </c>
      <c r="B3294" s="1" t="s">
        <v>13128</v>
      </c>
      <c r="F3294">
        <v>1</v>
      </c>
      <c r="G3294" t="str">
        <f>HYPERLINK("http://babel.hathitrust.org/cgi/pt?id=uc1.b4300471")</f>
        <v>http://babel.hathitrust.org/cgi/pt?id=uc1.b4300471</v>
      </c>
      <c r="H3294" t="str">
        <f>HYPERLINK("http://catalog.hathitrust.org/Record/006213714")</f>
        <v>http://catalog.hathitrust.org/Record/006213714</v>
      </c>
      <c r="J3294" s="1">
        <v>1921</v>
      </c>
      <c r="K3294" t="s">
        <v>13129</v>
      </c>
      <c r="L3294" t="s">
        <v>13130</v>
      </c>
    </row>
    <row r="3295" spans="1:12">
      <c r="A3295" t="s">
        <v>13131</v>
      </c>
      <c r="B3295" s="1" t="s">
        <v>13128</v>
      </c>
      <c r="F3295">
        <v>1</v>
      </c>
      <c r="G3295" t="str">
        <f>HYPERLINK("http://babel.hathitrust.org/cgi/pt?id=uc2.ark:/13960/t04x5685q")</f>
        <v>http://babel.hathitrust.org/cgi/pt?id=uc2.ark:/13960/t04x5685q</v>
      </c>
      <c r="H3295" t="str">
        <f>HYPERLINK("http://catalog.hathitrust.org/Record/006213714")</f>
        <v>http://catalog.hathitrust.org/Record/006213714</v>
      </c>
      <c r="J3295" s="1">
        <v>1921</v>
      </c>
      <c r="K3295" t="s">
        <v>13129</v>
      </c>
      <c r="L3295" t="s">
        <v>13130</v>
      </c>
    </row>
    <row r="3296" spans="1:12">
      <c r="A3296" t="s">
        <v>13132</v>
      </c>
      <c r="B3296" s="1" t="s">
        <v>13133</v>
      </c>
      <c r="F3296">
        <v>1</v>
      </c>
      <c r="G3296" t="str">
        <f>HYPERLINK("http://babel.hathitrust.org/cgi/pt?id=uc1.b4305470")</f>
        <v>http://babel.hathitrust.org/cgi/pt?id=uc1.b4305470</v>
      </c>
      <c r="H3296" t="str">
        <f>HYPERLINK("http://catalog.hathitrust.org/Record/006214790")</f>
        <v>http://catalog.hathitrust.org/Record/006214790</v>
      </c>
      <c r="J3296" s="1">
        <v>1907</v>
      </c>
      <c r="K3296" t="s">
        <v>13134</v>
      </c>
      <c r="L3296" t="s">
        <v>13135</v>
      </c>
    </row>
    <row r="3297" spans="1:12">
      <c r="A3297" t="s">
        <v>13136</v>
      </c>
      <c r="B3297" s="1" t="s">
        <v>13133</v>
      </c>
      <c r="F3297">
        <v>1</v>
      </c>
      <c r="G3297" t="str">
        <f>HYPERLINK("http://babel.hathitrust.org/cgi/pt?id=uc2.ark:/13960/t3ws8vs09")</f>
        <v>http://babel.hathitrust.org/cgi/pt?id=uc2.ark:/13960/t3ws8vs09</v>
      </c>
      <c r="H3297" t="str">
        <f>HYPERLINK("http://catalog.hathitrust.org/Record/006214790")</f>
        <v>http://catalog.hathitrust.org/Record/006214790</v>
      </c>
      <c r="J3297" s="1">
        <v>1907</v>
      </c>
      <c r="K3297" t="s">
        <v>13134</v>
      </c>
      <c r="L3297" t="s">
        <v>13135</v>
      </c>
    </row>
    <row r="3298" spans="1:12">
      <c r="A3298" t="s">
        <v>13137</v>
      </c>
      <c r="B3298" s="1" t="s">
        <v>13138</v>
      </c>
      <c r="F3298">
        <v>1</v>
      </c>
      <c r="G3298" t="str">
        <f>HYPERLINK("http://babel.hathitrust.org/cgi/pt?id=uc1.b4498130")</f>
        <v>http://babel.hathitrust.org/cgi/pt?id=uc1.b4498130</v>
      </c>
      <c r="H3298" t="str">
        <f>HYPERLINK("http://catalog.hathitrust.org/Record/006248975")</f>
        <v>http://catalog.hathitrust.org/Record/006248975</v>
      </c>
      <c r="J3298" s="1">
        <v>1912</v>
      </c>
      <c r="K3298" t="s">
        <v>13139</v>
      </c>
      <c r="L3298" t="s">
        <v>13140</v>
      </c>
    </row>
    <row r="3299" spans="1:12">
      <c r="A3299" t="s">
        <v>13141</v>
      </c>
      <c r="B3299" s="1" t="s">
        <v>13138</v>
      </c>
      <c r="F3299">
        <v>1</v>
      </c>
      <c r="G3299" t="str">
        <f>HYPERLINK("http://babel.hathitrust.org/cgi/pt?id=uc2.ark:/13960/t2v40xc7z")</f>
        <v>http://babel.hathitrust.org/cgi/pt?id=uc2.ark:/13960/t2v40xc7z</v>
      </c>
      <c r="H3299" t="str">
        <f>HYPERLINK("http://catalog.hathitrust.org/Record/006248975")</f>
        <v>http://catalog.hathitrust.org/Record/006248975</v>
      </c>
      <c r="J3299" s="1">
        <v>1912</v>
      </c>
      <c r="K3299" t="s">
        <v>13139</v>
      </c>
      <c r="L3299" t="s">
        <v>13140</v>
      </c>
    </row>
    <row r="3300" spans="1:12">
      <c r="A3300" t="s">
        <v>13142</v>
      </c>
      <c r="B3300" s="1" t="s">
        <v>13143</v>
      </c>
      <c r="F3300">
        <v>1</v>
      </c>
      <c r="G3300" t="str">
        <f>HYPERLINK("http://babel.hathitrust.org/cgi/pt?id=uc1.b4500788")</f>
        <v>http://babel.hathitrust.org/cgi/pt?id=uc1.b4500788</v>
      </c>
      <c r="H3300" t="str">
        <f>HYPERLINK("http://catalog.hathitrust.org/Record/006250227")</f>
        <v>http://catalog.hathitrust.org/Record/006250227</v>
      </c>
      <c r="J3300" s="1">
        <v>1896</v>
      </c>
      <c r="K3300" t="s">
        <v>13144</v>
      </c>
      <c r="L3300" t="s">
        <v>20739</v>
      </c>
    </row>
    <row r="3301" spans="1:12">
      <c r="A3301" t="s">
        <v>13145</v>
      </c>
      <c r="B3301" s="1" t="s">
        <v>13143</v>
      </c>
      <c r="F3301">
        <v>1</v>
      </c>
      <c r="G3301" t="str">
        <f>HYPERLINK("http://babel.hathitrust.org/cgi/pt?id=uc2.ark:/13960/t5r78jb0j")</f>
        <v>http://babel.hathitrust.org/cgi/pt?id=uc2.ark:/13960/t5r78jb0j</v>
      </c>
      <c r="H3301" t="str">
        <f>HYPERLINK("http://catalog.hathitrust.org/Record/006250227")</f>
        <v>http://catalog.hathitrust.org/Record/006250227</v>
      </c>
      <c r="J3301" s="1">
        <v>1896</v>
      </c>
      <c r="K3301" t="s">
        <v>13144</v>
      </c>
      <c r="L3301" t="s">
        <v>20739</v>
      </c>
    </row>
    <row r="3302" spans="1:12">
      <c r="A3302" t="s">
        <v>13146</v>
      </c>
      <c r="B3302" s="1" t="s">
        <v>13147</v>
      </c>
      <c r="F3302">
        <v>1</v>
      </c>
      <c r="G3302" t="str">
        <f>HYPERLINK("http://babel.hathitrust.org/cgi/pt?id=uc1.b4517747")</f>
        <v>http://babel.hathitrust.org/cgi/pt?id=uc1.b4517747</v>
      </c>
      <c r="H3302" t="str">
        <f>HYPERLINK("http://catalog.hathitrust.org/Record/006255100")</f>
        <v>http://catalog.hathitrust.org/Record/006255100</v>
      </c>
      <c r="J3302" s="1">
        <v>1911</v>
      </c>
      <c r="K3302" t="s">
        <v>13148</v>
      </c>
      <c r="L3302" t="s">
        <v>13149</v>
      </c>
    </row>
    <row r="3303" spans="1:12">
      <c r="A3303" t="s">
        <v>13150</v>
      </c>
      <c r="B3303" s="1" t="s">
        <v>13151</v>
      </c>
      <c r="F3303">
        <v>1</v>
      </c>
      <c r="G3303" t="str">
        <f>HYPERLINK("http://babel.hathitrust.org/cgi/pt?id=uc1.b3386154")</f>
        <v>http://babel.hathitrust.org/cgi/pt?id=uc1.b3386154</v>
      </c>
      <c r="H3303" t="str">
        <f>HYPERLINK("http://catalog.hathitrust.org/Record/006284003")</f>
        <v>http://catalog.hathitrust.org/Record/006284003</v>
      </c>
      <c r="J3303" s="1">
        <v>1904</v>
      </c>
      <c r="K3303" t="s">
        <v>13152</v>
      </c>
      <c r="L3303" t="s">
        <v>13153</v>
      </c>
    </row>
    <row r="3304" spans="1:12">
      <c r="A3304" t="s">
        <v>13154</v>
      </c>
      <c r="B3304" s="1" t="s">
        <v>13155</v>
      </c>
      <c r="F3304">
        <v>1</v>
      </c>
      <c r="G3304" t="str">
        <f>HYPERLINK("http://babel.hathitrust.org/cgi/pt?id=uc1.b3410107")</f>
        <v>http://babel.hathitrust.org/cgi/pt?id=uc1.b3410107</v>
      </c>
      <c r="H3304" t="str">
        <f>HYPERLINK("http://catalog.hathitrust.org/Record/006291586")</f>
        <v>http://catalog.hathitrust.org/Record/006291586</v>
      </c>
      <c r="I3304" s="1" t="s">
        <v>20796</v>
      </c>
      <c r="J3304" s="1">
        <v>1916</v>
      </c>
      <c r="K3304" t="s">
        <v>13156</v>
      </c>
      <c r="L3304" t="s">
        <v>13036</v>
      </c>
    </row>
    <row r="3305" spans="1:12">
      <c r="A3305" t="s">
        <v>13037</v>
      </c>
      <c r="B3305" s="1" t="s">
        <v>13155</v>
      </c>
      <c r="F3305">
        <v>1</v>
      </c>
      <c r="G3305" t="str">
        <f>HYPERLINK("http://babel.hathitrust.org/cgi/pt?id=uc1.b3410108")</f>
        <v>http://babel.hathitrust.org/cgi/pt?id=uc1.b3410108</v>
      </c>
      <c r="H3305" t="str">
        <f>HYPERLINK("http://catalog.hathitrust.org/Record/006291586")</f>
        <v>http://catalog.hathitrust.org/Record/006291586</v>
      </c>
      <c r="I3305" s="1" t="s">
        <v>20799</v>
      </c>
      <c r="J3305" s="1">
        <v>1916</v>
      </c>
      <c r="K3305" t="s">
        <v>13156</v>
      </c>
      <c r="L3305" t="s">
        <v>13036</v>
      </c>
    </row>
    <row r="3306" spans="1:12">
      <c r="A3306" t="s">
        <v>13038</v>
      </c>
      <c r="B3306" s="1" t="s">
        <v>13039</v>
      </c>
      <c r="F3306">
        <v>1</v>
      </c>
      <c r="G3306" t="str">
        <f>HYPERLINK("http://babel.hathitrust.org/cgi/pt?id=uc1.b3410651")</f>
        <v>http://babel.hathitrust.org/cgi/pt?id=uc1.b3410651</v>
      </c>
      <c r="H3306" t="str">
        <f>HYPERLINK("http://catalog.hathitrust.org/Record/006291693")</f>
        <v>http://catalog.hathitrust.org/Record/006291693</v>
      </c>
      <c r="J3306" s="1">
        <v>1867</v>
      </c>
      <c r="K3306" t="s">
        <v>13040</v>
      </c>
      <c r="L3306" t="s">
        <v>19827</v>
      </c>
    </row>
    <row r="3307" spans="1:12">
      <c r="A3307" t="s">
        <v>13041</v>
      </c>
      <c r="B3307" s="1" t="s">
        <v>13039</v>
      </c>
      <c r="F3307">
        <v>1</v>
      </c>
      <c r="G3307" t="str">
        <f>HYPERLINK("http://babel.hathitrust.org/cgi/pt?id=uc2.ark:/13960/t6348rh2k")</f>
        <v>http://babel.hathitrust.org/cgi/pt?id=uc2.ark:/13960/t6348rh2k</v>
      </c>
      <c r="H3307" t="str">
        <f>HYPERLINK("http://catalog.hathitrust.org/Record/006291693")</f>
        <v>http://catalog.hathitrust.org/Record/006291693</v>
      </c>
      <c r="J3307" s="1">
        <v>1867</v>
      </c>
      <c r="K3307" t="s">
        <v>13040</v>
      </c>
      <c r="L3307" t="s">
        <v>19827</v>
      </c>
    </row>
    <row r="3308" spans="1:12">
      <c r="A3308" t="s">
        <v>13042</v>
      </c>
      <c r="B3308" s="1" t="s">
        <v>13039</v>
      </c>
      <c r="F3308">
        <v>1</v>
      </c>
      <c r="G3308" t="str">
        <f>HYPERLINK("http://babel.hathitrust.org/cgi/pt?id=uva.x000742299")</f>
        <v>http://babel.hathitrust.org/cgi/pt?id=uva.x000742299</v>
      </c>
      <c r="H3308" t="str">
        <f>HYPERLINK("http://catalog.hathitrust.org/Record/006291693")</f>
        <v>http://catalog.hathitrust.org/Record/006291693</v>
      </c>
      <c r="J3308" s="1">
        <v>1867</v>
      </c>
      <c r="K3308" t="s">
        <v>13040</v>
      </c>
      <c r="L3308" t="s">
        <v>19827</v>
      </c>
    </row>
    <row r="3309" spans="1:12">
      <c r="A3309" t="s">
        <v>13043</v>
      </c>
      <c r="B3309" s="1" t="s">
        <v>13044</v>
      </c>
      <c r="E3309">
        <v>1</v>
      </c>
      <c r="G3309" t="str">
        <f>HYPERLINK("http://babel.hathitrust.org/cgi/pt?id=uc1.b3436835")</f>
        <v>http://babel.hathitrust.org/cgi/pt?id=uc1.b3436835</v>
      </c>
      <c r="H3309" t="str">
        <f>HYPERLINK("http://catalog.hathitrust.org/Record/006294555")</f>
        <v>http://catalog.hathitrust.org/Record/006294555</v>
      </c>
      <c r="I3309" s="1" t="s">
        <v>13046</v>
      </c>
      <c r="J3309" s="1">
        <v>1902</v>
      </c>
      <c r="K3309" t="s">
        <v>13045</v>
      </c>
      <c r="L3309" t="s">
        <v>19690</v>
      </c>
    </row>
    <row r="3310" spans="1:12">
      <c r="A3310" t="s">
        <v>13047</v>
      </c>
      <c r="B3310" s="1" t="s">
        <v>13044</v>
      </c>
      <c r="E3310">
        <v>1</v>
      </c>
      <c r="G3310" t="str">
        <f>HYPERLINK("http://babel.hathitrust.org/cgi/pt?id=uc1.b3560702")</f>
        <v>http://babel.hathitrust.org/cgi/pt?id=uc1.b3560702</v>
      </c>
      <c r="H3310" t="str">
        <f>HYPERLINK("http://catalog.hathitrust.org/Record/006294555")</f>
        <v>http://catalog.hathitrust.org/Record/006294555</v>
      </c>
      <c r="I3310" s="1" t="s">
        <v>20916</v>
      </c>
      <c r="J3310" s="1">
        <v>1902</v>
      </c>
      <c r="K3310" t="s">
        <v>13045</v>
      </c>
      <c r="L3310" t="s">
        <v>19690</v>
      </c>
    </row>
    <row r="3311" spans="1:12">
      <c r="A3311" t="s">
        <v>13048</v>
      </c>
      <c r="B3311" s="1" t="s">
        <v>13049</v>
      </c>
      <c r="E3311">
        <v>1</v>
      </c>
      <c r="G3311" t="str">
        <f>HYPERLINK("http://babel.hathitrust.org/cgi/pt?id=hvd.32044090367046")</f>
        <v>http://babel.hathitrust.org/cgi/pt?id=hvd.32044090367046</v>
      </c>
      <c r="H3311" t="str">
        <f>HYPERLINK("http://catalog.hathitrust.org/Record/006301653")</f>
        <v>http://catalog.hathitrust.org/Record/006301653</v>
      </c>
      <c r="I3311" s="1" t="s">
        <v>20679</v>
      </c>
      <c r="J3311" s="1">
        <v>1849</v>
      </c>
      <c r="K3311" t="s">
        <v>13050</v>
      </c>
      <c r="L3311" t="s">
        <v>13051</v>
      </c>
    </row>
    <row r="3312" spans="1:12">
      <c r="A3312" t="s">
        <v>13052</v>
      </c>
      <c r="B3312" s="1" t="s">
        <v>13049</v>
      </c>
      <c r="E3312">
        <v>1</v>
      </c>
      <c r="G3312" t="str">
        <f>HYPERLINK("http://babel.hathitrust.org/cgi/pt?id=hvd.32044090367053")</f>
        <v>http://babel.hathitrust.org/cgi/pt?id=hvd.32044090367053</v>
      </c>
      <c r="H3312" t="str">
        <f>HYPERLINK("http://catalog.hathitrust.org/Record/006301653")</f>
        <v>http://catalog.hathitrust.org/Record/006301653</v>
      </c>
      <c r="I3312" s="1" t="s">
        <v>20920</v>
      </c>
      <c r="J3312" s="1">
        <v>1849</v>
      </c>
      <c r="K3312" t="s">
        <v>13050</v>
      </c>
      <c r="L3312" t="s">
        <v>13051</v>
      </c>
    </row>
    <row r="3313" spans="1:12">
      <c r="A3313" t="s">
        <v>13053</v>
      </c>
      <c r="B3313" s="1" t="s">
        <v>13049</v>
      </c>
      <c r="E3313">
        <v>1</v>
      </c>
      <c r="G3313" t="str">
        <f>HYPERLINK("http://babel.hathitrust.org/cgi/pt?id=hvd.32044090367061")</f>
        <v>http://babel.hathitrust.org/cgi/pt?id=hvd.32044090367061</v>
      </c>
      <c r="H3313" t="str">
        <f>HYPERLINK("http://catalog.hathitrust.org/Record/006301653")</f>
        <v>http://catalog.hathitrust.org/Record/006301653</v>
      </c>
      <c r="I3313" s="1" t="s">
        <v>20681</v>
      </c>
      <c r="J3313" s="1">
        <v>1849</v>
      </c>
      <c r="K3313" t="s">
        <v>13050</v>
      </c>
      <c r="L3313" t="s">
        <v>13051</v>
      </c>
    </row>
    <row r="3314" spans="1:12">
      <c r="A3314" t="s">
        <v>13054</v>
      </c>
      <c r="B3314" s="1" t="s">
        <v>13049</v>
      </c>
      <c r="E3314">
        <v>1</v>
      </c>
      <c r="G3314" t="str">
        <f>HYPERLINK("http://babel.hathitrust.org/cgi/pt?id=nyp.33433075895676")</f>
        <v>http://babel.hathitrust.org/cgi/pt?id=nyp.33433075895676</v>
      </c>
      <c r="H3314" t="str">
        <f>HYPERLINK("http://catalog.hathitrust.org/Record/006301653")</f>
        <v>http://catalog.hathitrust.org/Record/006301653</v>
      </c>
      <c r="I3314" s="1" t="s">
        <v>20799</v>
      </c>
      <c r="J3314" s="1">
        <v>1849</v>
      </c>
      <c r="K3314" t="s">
        <v>13050</v>
      </c>
      <c r="L3314" t="s">
        <v>13051</v>
      </c>
    </row>
    <row r="3315" spans="1:12">
      <c r="A3315" t="s">
        <v>13055</v>
      </c>
      <c r="B3315" s="1" t="s">
        <v>13049</v>
      </c>
      <c r="E3315">
        <v>1</v>
      </c>
      <c r="G3315" t="str">
        <f>HYPERLINK("http://babel.hathitrust.org/cgi/pt?id=nyp.33433075895684")</f>
        <v>http://babel.hathitrust.org/cgi/pt?id=nyp.33433075895684</v>
      </c>
      <c r="H3315" t="str">
        <f>HYPERLINK("http://catalog.hathitrust.org/Record/006301653")</f>
        <v>http://catalog.hathitrust.org/Record/006301653</v>
      </c>
      <c r="I3315" s="1" t="s">
        <v>20796</v>
      </c>
      <c r="J3315" s="1">
        <v>1849</v>
      </c>
      <c r="K3315" t="s">
        <v>13050</v>
      </c>
      <c r="L3315" t="s">
        <v>13051</v>
      </c>
    </row>
    <row r="3316" spans="1:12">
      <c r="A3316" t="s">
        <v>13056</v>
      </c>
      <c r="B3316" s="1" t="s">
        <v>13057</v>
      </c>
      <c r="F3316">
        <v>1</v>
      </c>
      <c r="G3316" t="str">
        <f>HYPERLINK("http://babel.hathitrust.org/cgi/pt?id=uc1.b238480")</f>
        <v>http://babel.hathitrust.org/cgi/pt?id=uc1.b238480</v>
      </c>
      <c r="H3316" t="str">
        <f>HYPERLINK("http://catalog.hathitrust.org/Record/006495290")</f>
        <v>http://catalog.hathitrust.org/Record/006495290</v>
      </c>
      <c r="J3316" s="1">
        <v>1898</v>
      </c>
      <c r="K3316" t="s">
        <v>13058</v>
      </c>
      <c r="L3316" t="s">
        <v>13059</v>
      </c>
    </row>
    <row r="3317" spans="1:12">
      <c r="A3317" t="s">
        <v>13060</v>
      </c>
      <c r="B3317" s="1" t="s">
        <v>13057</v>
      </c>
      <c r="F3317">
        <v>1</v>
      </c>
      <c r="G3317" t="str">
        <f>HYPERLINK("http://babel.hathitrust.org/cgi/pt?id=uc2.ark:/13960/t24b31824")</f>
        <v>http://babel.hathitrust.org/cgi/pt?id=uc2.ark:/13960/t24b31824</v>
      </c>
      <c r="H3317" t="str">
        <f>HYPERLINK("http://catalog.hathitrust.org/Record/006495290")</f>
        <v>http://catalog.hathitrust.org/Record/006495290</v>
      </c>
      <c r="J3317" s="1">
        <v>1898</v>
      </c>
      <c r="K3317" t="s">
        <v>13058</v>
      </c>
      <c r="L3317" t="s">
        <v>13059</v>
      </c>
    </row>
    <row r="3318" spans="1:12">
      <c r="A3318" t="s">
        <v>13061</v>
      </c>
      <c r="B3318" s="1" t="s">
        <v>13062</v>
      </c>
      <c r="E3318">
        <v>1</v>
      </c>
      <c r="F3318">
        <v>1</v>
      </c>
      <c r="G3318" t="str">
        <f>HYPERLINK("http://babel.hathitrust.org/cgi/pt?id=uc1.b238492")</f>
        <v>http://babel.hathitrust.org/cgi/pt?id=uc1.b238492</v>
      </c>
      <c r="H3318" t="str">
        <f>HYPERLINK("http://catalog.hathitrust.org/Record/006495298")</f>
        <v>http://catalog.hathitrust.org/Record/006495298</v>
      </c>
      <c r="J3318" s="1">
        <v>1893</v>
      </c>
      <c r="K3318" t="s">
        <v>13063</v>
      </c>
      <c r="L3318" t="s">
        <v>15662</v>
      </c>
    </row>
    <row r="3319" spans="1:12">
      <c r="A3319" t="s">
        <v>13064</v>
      </c>
      <c r="B3319" s="1" t="s">
        <v>13062</v>
      </c>
      <c r="F3319">
        <v>1</v>
      </c>
      <c r="G3319" t="str">
        <f>HYPERLINK("http://babel.hathitrust.org/cgi/pt?id=uc2.ark:/13960/t3028rz7c")</f>
        <v>http://babel.hathitrust.org/cgi/pt?id=uc2.ark:/13960/t3028rz7c</v>
      </c>
      <c r="H3319" t="str">
        <f>HYPERLINK("http://catalog.hathitrust.org/Record/006495298")</f>
        <v>http://catalog.hathitrust.org/Record/006495298</v>
      </c>
      <c r="J3319" s="1">
        <v>1893</v>
      </c>
      <c r="K3319" t="s">
        <v>13063</v>
      </c>
      <c r="L3319" t="s">
        <v>15662</v>
      </c>
    </row>
    <row r="3320" spans="1:12">
      <c r="A3320" t="s">
        <v>13065</v>
      </c>
      <c r="B3320" s="1" t="s">
        <v>13066</v>
      </c>
      <c r="E3320">
        <v>1</v>
      </c>
      <c r="F3320">
        <v>1</v>
      </c>
      <c r="G3320" t="str">
        <f>HYPERLINK("http://babel.hathitrust.org/cgi/pt?id=uc1.b238497")</f>
        <v>http://babel.hathitrust.org/cgi/pt?id=uc1.b238497</v>
      </c>
      <c r="H3320" t="str">
        <f>HYPERLINK("http://catalog.hathitrust.org/Record/006495302")</f>
        <v>http://catalog.hathitrust.org/Record/006495302</v>
      </c>
      <c r="J3320" s="1">
        <v>1880</v>
      </c>
      <c r="K3320" t="s">
        <v>13067</v>
      </c>
      <c r="L3320" t="s">
        <v>13364</v>
      </c>
    </row>
    <row r="3321" spans="1:12">
      <c r="A3321" t="s">
        <v>13068</v>
      </c>
      <c r="B3321" s="1" t="s">
        <v>13066</v>
      </c>
      <c r="F3321">
        <v>1</v>
      </c>
      <c r="G3321" t="str">
        <f>HYPERLINK("http://babel.hathitrust.org/cgi/pt?id=uc2.ark:/13960/t55d8r42r")</f>
        <v>http://babel.hathitrust.org/cgi/pt?id=uc2.ark:/13960/t55d8r42r</v>
      </c>
      <c r="H3321" t="str">
        <f>HYPERLINK("http://catalog.hathitrust.org/Record/006495302")</f>
        <v>http://catalog.hathitrust.org/Record/006495302</v>
      </c>
      <c r="J3321" s="1">
        <v>1880</v>
      </c>
      <c r="K3321" t="s">
        <v>13067</v>
      </c>
      <c r="L3321" t="s">
        <v>13364</v>
      </c>
    </row>
    <row r="3322" spans="1:12">
      <c r="A3322" t="s">
        <v>13069</v>
      </c>
      <c r="B3322" s="1" t="s">
        <v>13070</v>
      </c>
      <c r="F3322">
        <v>1</v>
      </c>
      <c r="G3322" t="str">
        <f>HYPERLINK("http://babel.hathitrust.org/cgi/pt?id=uc1.b239092")</f>
        <v>http://babel.hathitrust.org/cgi/pt?id=uc1.b239092</v>
      </c>
      <c r="H3322" t="str">
        <f>HYPERLINK("http://catalog.hathitrust.org/Record/006495673")</f>
        <v>http://catalog.hathitrust.org/Record/006495673</v>
      </c>
      <c r="J3322" s="1">
        <v>1925</v>
      </c>
      <c r="K3322" t="s">
        <v>13071</v>
      </c>
      <c r="L3322" t="s">
        <v>14052</v>
      </c>
    </row>
    <row r="3323" spans="1:12">
      <c r="A3323" t="s">
        <v>13072</v>
      </c>
      <c r="B3323" s="1" t="s">
        <v>13073</v>
      </c>
      <c r="E3323">
        <v>1</v>
      </c>
      <c r="G3323" t="str">
        <f>HYPERLINK("http://babel.hathitrust.org/cgi/pt?id=uc1.b240548")</f>
        <v>http://babel.hathitrust.org/cgi/pt?id=uc1.b240548</v>
      </c>
      <c r="H3323" t="str">
        <f>HYPERLINK("http://catalog.hathitrust.org/Record/006496500")</f>
        <v>http://catalog.hathitrust.org/Record/006496500</v>
      </c>
      <c r="J3323" s="1">
        <v>1920</v>
      </c>
      <c r="K3323" t="s">
        <v>15500</v>
      </c>
      <c r="L3323" t="s">
        <v>15501</v>
      </c>
    </row>
    <row r="3324" spans="1:12">
      <c r="A3324" t="s">
        <v>13074</v>
      </c>
      <c r="B3324" s="1" t="s">
        <v>13075</v>
      </c>
      <c r="E3324">
        <v>1</v>
      </c>
      <c r="G3324" t="str">
        <f>HYPERLINK("http://babel.hathitrust.org/cgi/pt?id=uc1.b240549")</f>
        <v>http://babel.hathitrust.org/cgi/pt?id=uc1.b240549</v>
      </c>
      <c r="H3324" t="str">
        <f>HYPERLINK("http://catalog.hathitrust.org/Record/006496501")</f>
        <v>http://catalog.hathitrust.org/Record/006496501</v>
      </c>
      <c r="J3324" s="1">
        <v>1921</v>
      </c>
      <c r="K3324" t="s">
        <v>13076</v>
      </c>
      <c r="L3324" t="s">
        <v>15501</v>
      </c>
    </row>
    <row r="3325" spans="1:12">
      <c r="A3325" t="s">
        <v>13077</v>
      </c>
      <c r="B3325" s="1" t="s">
        <v>13078</v>
      </c>
      <c r="E3325">
        <v>1</v>
      </c>
      <c r="G3325" t="str">
        <f>HYPERLINK("http://babel.hathitrust.org/cgi/pt?id=uc1.b240574")</f>
        <v>http://babel.hathitrust.org/cgi/pt?id=uc1.b240574</v>
      </c>
      <c r="H3325" t="str">
        <f>HYPERLINK("http://catalog.hathitrust.org/Record/006496510")</f>
        <v>http://catalog.hathitrust.org/Record/006496510</v>
      </c>
      <c r="J3325" s="1">
        <v>1915</v>
      </c>
      <c r="K3325" t="s">
        <v>15500</v>
      </c>
      <c r="L3325" t="s">
        <v>13079</v>
      </c>
    </row>
    <row r="3326" spans="1:12">
      <c r="A3326" t="s">
        <v>13080</v>
      </c>
      <c r="B3326" s="1" t="s">
        <v>13081</v>
      </c>
      <c r="F3326">
        <v>1</v>
      </c>
      <c r="G3326" t="str">
        <f>HYPERLINK("http://babel.hathitrust.org/cgi/pt?id=loc.ark:/13960/t6640bh9w")</f>
        <v>http://babel.hathitrust.org/cgi/pt?id=loc.ark:/13960/t6640bh9w</v>
      </c>
      <c r="H3326" t="str">
        <f>HYPERLINK("http://catalog.hathitrust.org/Record/006501035")</f>
        <v>http://catalog.hathitrust.org/Record/006501035</v>
      </c>
      <c r="J3326" s="1">
        <v>1919</v>
      </c>
      <c r="K3326" t="s">
        <v>13082</v>
      </c>
      <c r="L3326" t="s">
        <v>20382</v>
      </c>
    </row>
    <row r="3327" spans="1:12">
      <c r="A3327" t="s">
        <v>13083</v>
      </c>
      <c r="B3327" s="1" t="s">
        <v>13081</v>
      </c>
      <c r="F3327">
        <v>1</v>
      </c>
      <c r="G3327" t="str">
        <f>HYPERLINK("http://babel.hathitrust.org/cgi/pt?id=nyp.33433082515333")</f>
        <v>http://babel.hathitrust.org/cgi/pt?id=nyp.33433082515333</v>
      </c>
      <c r="H3327" t="str">
        <f>HYPERLINK("http://catalog.hathitrust.org/Record/006501035")</f>
        <v>http://catalog.hathitrust.org/Record/006501035</v>
      </c>
      <c r="J3327" s="1">
        <v>1919</v>
      </c>
      <c r="K3327" t="s">
        <v>13082</v>
      </c>
      <c r="L3327" t="s">
        <v>20382</v>
      </c>
    </row>
    <row r="3328" spans="1:12">
      <c r="A3328" t="s">
        <v>13084</v>
      </c>
      <c r="B3328" s="1" t="s">
        <v>13081</v>
      </c>
      <c r="F3328">
        <v>1</v>
      </c>
      <c r="G3328" t="str">
        <f>HYPERLINK("http://babel.hathitrust.org/cgi/pt?id=uc1.b247923")</f>
        <v>http://babel.hathitrust.org/cgi/pt?id=uc1.b247923</v>
      </c>
      <c r="H3328" t="str">
        <f>HYPERLINK("http://catalog.hathitrust.org/Record/006501035")</f>
        <v>http://catalog.hathitrust.org/Record/006501035</v>
      </c>
      <c r="J3328" s="1">
        <v>1919</v>
      </c>
      <c r="K3328" t="s">
        <v>13082</v>
      </c>
      <c r="L3328" t="s">
        <v>20382</v>
      </c>
    </row>
    <row r="3329" spans="1:12">
      <c r="A3329" t="s">
        <v>13085</v>
      </c>
      <c r="B3329" s="1" t="s">
        <v>13081</v>
      </c>
      <c r="F3329">
        <v>1</v>
      </c>
      <c r="G3329" t="str">
        <f>HYPERLINK("http://babel.hathitrust.org/cgi/pt?id=uc2.ark:/13960/t8x925r9h")</f>
        <v>http://babel.hathitrust.org/cgi/pt?id=uc2.ark:/13960/t8x925r9h</v>
      </c>
      <c r="H3329" t="str">
        <f>HYPERLINK("http://catalog.hathitrust.org/Record/006501035")</f>
        <v>http://catalog.hathitrust.org/Record/006501035</v>
      </c>
      <c r="J3329" s="1">
        <v>1919</v>
      </c>
      <c r="K3329" t="s">
        <v>13082</v>
      </c>
      <c r="L3329" t="s">
        <v>20382</v>
      </c>
    </row>
    <row r="3330" spans="1:12">
      <c r="A3330" t="s">
        <v>13086</v>
      </c>
      <c r="B3330" s="1" t="s">
        <v>13087</v>
      </c>
      <c r="E3330">
        <v>1</v>
      </c>
      <c r="G3330" t="str">
        <f>HYPERLINK("http://babel.hathitrust.org/cgi/pt?id=uc1.b248084")</f>
        <v>http://babel.hathitrust.org/cgi/pt?id=uc1.b248084</v>
      </c>
      <c r="H3330" t="str">
        <f>HYPERLINK("http://catalog.hathitrust.org/Record/006501118")</f>
        <v>http://catalog.hathitrust.org/Record/006501118</v>
      </c>
      <c r="I3330" s="1" t="s">
        <v>20916</v>
      </c>
      <c r="J3330" s="1">
        <v>1918</v>
      </c>
      <c r="K3330" t="s">
        <v>13088</v>
      </c>
      <c r="L3330" t="s">
        <v>17406</v>
      </c>
    </row>
    <row r="3331" spans="1:12">
      <c r="A3331" t="s">
        <v>13089</v>
      </c>
      <c r="B3331" s="1" t="s">
        <v>13087</v>
      </c>
      <c r="E3331">
        <v>1</v>
      </c>
      <c r="G3331" t="str">
        <f>HYPERLINK("http://babel.hathitrust.org/cgi/pt?id=uc1.b248085")</f>
        <v>http://babel.hathitrust.org/cgi/pt?id=uc1.b248085</v>
      </c>
      <c r="H3331" t="str">
        <f>HYPERLINK("http://catalog.hathitrust.org/Record/006501118")</f>
        <v>http://catalog.hathitrust.org/Record/006501118</v>
      </c>
      <c r="I3331" s="1" t="s">
        <v>20755</v>
      </c>
      <c r="J3331" s="1">
        <v>1918</v>
      </c>
      <c r="K3331" t="s">
        <v>13088</v>
      </c>
      <c r="L3331" t="s">
        <v>17406</v>
      </c>
    </row>
    <row r="3332" spans="1:12">
      <c r="A3332" t="s">
        <v>13090</v>
      </c>
      <c r="B3332" s="1" t="s">
        <v>13091</v>
      </c>
      <c r="E3332">
        <v>1</v>
      </c>
      <c r="G3332" t="str">
        <f>HYPERLINK("http://babel.hathitrust.org/cgi/pt?id=uc1.b248190")</f>
        <v>http://babel.hathitrust.org/cgi/pt?id=uc1.b248190</v>
      </c>
      <c r="H3332" t="str">
        <f>HYPERLINK("http://catalog.hathitrust.org/Record/006501192")</f>
        <v>http://catalog.hathitrust.org/Record/006501192</v>
      </c>
      <c r="I3332" s="1" t="s">
        <v>20755</v>
      </c>
      <c r="J3332" s="1">
        <v>1882</v>
      </c>
      <c r="K3332" t="s">
        <v>17962</v>
      </c>
      <c r="L3332" t="s">
        <v>17963</v>
      </c>
    </row>
    <row r="3333" spans="1:12">
      <c r="A3333" t="s">
        <v>13092</v>
      </c>
      <c r="B3333" s="1" t="s">
        <v>13091</v>
      </c>
      <c r="E3333">
        <v>1</v>
      </c>
      <c r="G3333" t="str">
        <f>HYPERLINK("http://babel.hathitrust.org/cgi/pt?id=uc1.b248191")</f>
        <v>http://babel.hathitrust.org/cgi/pt?id=uc1.b248191</v>
      </c>
      <c r="H3333" t="str">
        <f>HYPERLINK("http://catalog.hathitrust.org/Record/006501192")</f>
        <v>http://catalog.hathitrust.org/Record/006501192</v>
      </c>
      <c r="I3333" s="1" t="s">
        <v>20920</v>
      </c>
      <c r="J3333" s="1">
        <v>1882</v>
      </c>
      <c r="K3333" t="s">
        <v>17962</v>
      </c>
      <c r="L3333" t="s">
        <v>17963</v>
      </c>
    </row>
    <row r="3334" spans="1:12">
      <c r="A3334" t="s">
        <v>13093</v>
      </c>
      <c r="B3334" s="1" t="s">
        <v>13091</v>
      </c>
      <c r="E3334">
        <v>1</v>
      </c>
      <c r="G3334" t="str">
        <f>HYPERLINK("http://babel.hathitrust.org/cgi/pt?id=uc1.b248192")</f>
        <v>http://babel.hathitrust.org/cgi/pt?id=uc1.b248192</v>
      </c>
      <c r="H3334" t="str">
        <f>HYPERLINK("http://catalog.hathitrust.org/Record/006501192")</f>
        <v>http://catalog.hathitrust.org/Record/006501192</v>
      </c>
      <c r="I3334" s="1" t="s">
        <v>20679</v>
      </c>
      <c r="J3334" s="1">
        <v>1882</v>
      </c>
      <c r="K3334" t="s">
        <v>17962</v>
      </c>
      <c r="L3334" t="s">
        <v>17963</v>
      </c>
    </row>
    <row r="3335" spans="1:12">
      <c r="A3335" t="s">
        <v>13094</v>
      </c>
      <c r="B3335" s="1" t="s">
        <v>13091</v>
      </c>
      <c r="E3335">
        <v>1</v>
      </c>
      <c r="G3335" t="str">
        <f>HYPERLINK("http://babel.hathitrust.org/cgi/pt?id=uc1.b248193")</f>
        <v>http://babel.hathitrust.org/cgi/pt?id=uc1.b248193</v>
      </c>
      <c r="H3335" t="str">
        <f>HYPERLINK("http://catalog.hathitrust.org/Record/006501192")</f>
        <v>http://catalog.hathitrust.org/Record/006501192</v>
      </c>
      <c r="I3335" s="1" t="s">
        <v>20681</v>
      </c>
      <c r="J3335" s="1">
        <v>1882</v>
      </c>
      <c r="K3335" t="s">
        <v>17962</v>
      </c>
      <c r="L3335" t="s">
        <v>17963</v>
      </c>
    </row>
    <row r="3336" spans="1:12">
      <c r="A3336" t="s">
        <v>13095</v>
      </c>
      <c r="B3336" s="1" t="s">
        <v>13091</v>
      </c>
      <c r="E3336">
        <v>1</v>
      </c>
      <c r="G3336" t="str">
        <f>HYPERLINK("http://babel.hathitrust.org/cgi/pt?id=uc1.b252943")</f>
        <v>http://babel.hathitrust.org/cgi/pt?id=uc1.b252943</v>
      </c>
      <c r="H3336" t="str">
        <f>HYPERLINK("http://catalog.hathitrust.org/Record/006501192")</f>
        <v>http://catalog.hathitrust.org/Record/006501192</v>
      </c>
      <c r="I3336" s="1" t="s">
        <v>20916</v>
      </c>
      <c r="J3336" s="1">
        <v>1882</v>
      </c>
      <c r="K3336" t="s">
        <v>17962</v>
      </c>
      <c r="L3336" t="s">
        <v>17963</v>
      </c>
    </row>
    <row r="3337" spans="1:12">
      <c r="A3337" t="s">
        <v>13096</v>
      </c>
      <c r="B3337" s="1" t="s">
        <v>13097</v>
      </c>
      <c r="F3337">
        <v>1</v>
      </c>
      <c r="G3337" t="str">
        <f>HYPERLINK("http://babel.hathitrust.org/cgi/pt?id=uc1.31158009907113")</f>
        <v>http://babel.hathitrust.org/cgi/pt?id=uc1.31158009907113</v>
      </c>
      <c r="H3337" t="str">
        <f>HYPERLINK("http://catalog.hathitrust.org/Record/006501935")</f>
        <v>http://catalog.hathitrust.org/Record/006501935</v>
      </c>
      <c r="I3337" s="1" t="s">
        <v>18595</v>
      </c>
      <c r="J3337" s="1">
        <v>1913</v>
      </c>
      <c r="K3337" t="s">
        <v>13098</v>
      </c>
      <c r="L3337" t="s">
        <v>12985</v>
      </c>
    </row>
    <row r="3338" spans="1:12">
      <c r="A3338" t="s">
        <v>12986</v>
      </c>
      <c r="B3338" s="1" t="s">
        <v>13097</v>
      </c>
      <c r="F3338">
        <v>1</v>
      </c>
      <c r="G3338" t="str">
        <f>HYPERLINK("http://babel.hathitrust.org/cgi/pt?id=uc1.b249288")</f>
        <v>http://babel.hathitrust.org/cgi/pt?id=uc1.b249288</v>
      </c>
      <c r="H3338" t="str">
        <f>HYPERLINK("http://catalog.hathitrust.org/Record/006501935")</f>
        <v>http://catalog.hathitrust.org/Record/006501935</v>
      </c>
      <c r="I3338" s="1" t="s">
        <v>20796</v>
      </c>
      <c r="J3338" s="1">
        <v>1913</v>
      </c>
      <c r="K3338" t="s">
        <v>13098</v>
      </c>
      <c r="L3338" t="s">
        <v>12985</v>
      </c>
    </row>
    <row r="3339" spans="1:12">
      <c r="A3339" t="s">
        <v>12987</v>
      </c>
      <c r="B3339" s="1" t="s">
        <v>13097</v>
      </c>
      <c r="F3339">
        <v>1</v>
      </c>
      <c r="G3339" t="str">
        <f>HYPERLINK("http://babel.hathitrust.org/cgi/pt?id=uc1.b249289")</f>
        <v>http://babel.hathitrust.org/cgi/pt?id=uc1.b249289</v>
      </c>
      <c r="H3339" t="str">
        <f>HYPERLINK("http://catalog.hathitrust.org/Record/006501935")</f>
        <v>http://catalog.hathitrust.org/Record/006501935</v>
      </c>
      <c r="I3339" s="1" t="s">
        <v>20799</v>
      </c>
      <c r="J3339" s="1">
        <v>1913</v>
      </c>
      <c r="K3339" t="s">
        <v>13098</v>
      </c>
      <c r="L3339" t="s">
        <v>12985</v>
      </c>
    </row>
    <row r="3340" spans="1:12">
      <c r="A3340" t="s">
        <v>12988</v>
      </c>
      <c r="B3340" s="1" t="s">
        <v>13097</v>
      </c>
      <c r="F3340">
        <v>1</v>
      </c>
      <c r="G3340" t="str">
        <f>HYPERLINK("http://babel.hathitrust.org/cgi/pt?id=uc2.ark:/13960/t52f7sh43")</f>
        <v>http://babel.hathitrust.org/cgi/pt?id=uc2.ark:/13960/t52f7sh43</v>
      </c>
      <c r="H3340" t="str">
        <f>HYPERLINK("http://catalog.hathitrust.org/Record/006501935")</f>
        <v>http://catalog.hathitrust.org/Record/006501935</v>
      </c>
      <c r="I3340" s="1" t="s">
        <v>20755</v>
      </c>
      <c r="J3340" s="1">
        <v>1913</v>
      </c>
      <c r="K3340" t="s">
        <v>13098</v>
      </c>
      <c r="L3340" t="s">
        <v>12985</v>
      </c>
    </row>
    <row r="3341" spans="1:12">
      <c r="A3341" t="s">
        <v>12989</v>
      </c>
      <c r="B3341" s="1" t="s">
        <v>13097</v>
      </c>
      <c r="F3341">
        <v>1</v>
      </c>
      <c r="G3341" t="str">
        <f>HYPERLINK("http://babel.hathitrust.org/cgi/pt?id=uc2.ark:/13960/t85h7kt3m")</f>
        <v>http://babel.hathitrust.org/cgi/pt?id=uc2.ark:/13960/t85h7kt3m</v>
      </c>
      <c r="H3341" t="str">
        <f>HYPERLINK("http://catalog.hathitrust.org/Record/006501935")</f>
        <v>http://catalog.hathitrust.org/Record/006501935</v>
      </c>
      <c r="I3341" s="1" t="s">
        <v>20916</v>
      </c>
      <c r="J3341" s="1">
        <v>1913</v>
      </c>
      <c r="K3341" t="s">
        <v>13098</v>
      </c>
      <c r="L3341" t="s">
        <v>12985</v>
      </c>
    </row>
    <row r="3342" spans="1:12">
      <c r="A3342" t="s">
        <v>12990</v>
      </c>
      <c r="B3342" s="1" t="s">
        <v>12991</v>
      </c>
      <c r="F3342">
        <v>1</v>
      </c>
      <c r="G3342" t="str">
        <f>HYPERLINK("http://babel.hathitrust.org/cgi/pt?id=hvd.hn1k3v")</f>
        <v>http://babel.hathitrust.org/cgi/pt?id=hvd.hn1k3v</v>
      </c>
      <c r="H3342" t="str">
        <f>HYPERLINK("http://catalog.hathitrust.org/Record/006501944")</f>
        <v>http://catalog.hathitrust.org/Record/006501944</v>
      </c>
      <c r="J3342" s="1">
        <v>1837</v>
      </c>
      <c r="K3342" t="s">
        <v>12992</v>
      </c>
      <c r="L3342" t="s">
        <v>12993</v>
      </c>
    </row>
    <row r="3343" spans="1:12">
      <c r="A3343" t="s">
        <v>12994</v>
      </c>
      <c r="B3343" s="1" t="s">
        <v>12991</v>
      </c>
      <c r="F3343">
        <v>1</v>
      </c>
      <c r="G3343" t="str">
        <f>HYPERLINK("http://babel.hathitrust.org/cgi/pt?id=nyp.33433074785498")</f>
        <v>http://babel.hathitrust.org/cgi/pt?id=nyp.33433074785498</v>
      </c>
      <c r="H3343" t="str">
        <f>HYPERLINK("http://catalog.hathitrust.org/Record/006501944")</f>
        <v>http://catalog.hathitrust.org/Record/006501944</v>
      </c>
      <c r="J3343" s="1">
        <v>1837</v>
      </c>
      <c r="K3343" t="s">
        <v>12992</v>
      </c>
      <c r="L3343" t="s">
        <v>12993</v>
      </c>
    </row>
    <row r="3344" spans="1:12">
      <c r="A3344" t="s">
        <v>12995</v>
      </c>
      <c r="B3344" s="1" t="s">
        <v>12991</v>
      </c>
      <c r="F3344">
        <v>1</v>
      </c>
      <c r="G3344" t="str">
        <f>HYPERLINK("http://babel.hathitrust.org/cgi/pt?id=uc1.b249317")</f>
        <v>http://babel.hathitrust.org/cgi/pt?id=uc1.b249317</v>
      </c>
      <c r="H3344" t="str">
        <f>HYPERLINK("http://catalog.hathitrust.org/Record/006501944")</f>
        <v>http://catalog.hathitrust.org/Record/006501944</v>
      </c>
      <c r="J3344" s="1">
        <v>1837</v>
      </c>
      <c r="K3344" t="s">
        <v>12992</v>
      </c>
      <c r="L3344" t="s">
        <v>12993</v>
      </c>
    </row>
    <row r="3345" spans="1:12">
      <c r="A3345" t="s">
        <v>12996</v>
      </c>
      <c r="B3345" s="1" t="s">
        <v>12991</v>
      </c>
      <c r="F3345">
        <v>1</v>
      </c>
      <c r="G3345" t="str">
        <f>HYPERLINK("http://babel.hathitrust.org/cgi/pt?id=uc2.ark:/13960/t5p846m7k")</f>
        <v>http://babel.hathitrust.org/cgi/pt?id=uc2.ark:/13960/t5p846m7k</v>
      </c>
      <c r="H3345" t="str">
        <f>HYPERLINK("http://catalog.hathitrust.org/Record/006501944")</f>
        <v>http://catalog.hathitrust.org/Record/006501944</v>
      </c>
      <c r="J3345" s="1">
        <v>1837</v>
      </c>
      <c r="K3345" t="s">
        <v>12992</v>
      </c>
      <c r="L3345" t="s">
        <v>12993</v>
      </c>
    </row>
    <row r="3346" spans="1:12">
      <c r="A3346" t="s">
        <v>12997</v>
      </c>
      <c r="B3346" s="1" t="s">
        <v>12998</v>
      </c>
      <c r="F3346">
        <v>1</v>
      </c>
      <c r="G3346" t="str">
        <f>HYPERLINK("http://babel.hathitrust.org/cgi/pt?id=uc1.b249327")</f>
        <v>http://babel.hathitrust.org/cgi/pt?id=uc1.b249327</v>
      </c>
      <c r="H3346" t="str">
        <f>HYPERLINK("http://catalog.hathitrust.org/Record/006501950")</f>
        <v>http://catalog.hathitrust.org/Record/006501950</v>
      </c>
      <c r="J3346" s="1">
        <v>1889</v>
      </c>
      <c r="K3346" t="s">
        <v>12999</v>
      </c>
      <c r="L3346" t="s">
        <v>13000</v>
      </c>
    </row>
    <row r="3347" spans="1:12">
      <c r="A3347" t="s">
        <v>13001</v>
      </c>
      <c r="B3347" s="1" t="s">
        <v>12998</v>
      </c>
      <c r="F3347">
        <v>1</v>
      </c>
      <c r="G3347" t="str">
        <f>HYPERLINK("http://babel.hathitrust.org/cgi/pt?id=uc2.ark:/13960/t8ff3pz8b")</f>
        <v>http://babel.hathitrust.org/cgi/pt?id=uc2.ark:/13960/t8ff3pz8b</v>
      </c>
      <c r="H3347" t="str">
        <f>HYPERLINK("http://catalog.hathitrust.org/Record/006501950")</f>
        <v>http://catalog.hathitrust.org/Record/006501950</v>
      </c>
      <c r="J3347" s="1">
        <v>1889</v>
      </c>
      <c r="K3347" t="s">
        <v>12999</v>
      </c>
      <c r="L3347" t="s">
        <v>13000</v>
      </c>
    </row>
    <row r="3348" spans="1:12">
      <c r="A3348" t="s">
        <v>13002</v>
      </c>
      <c r="B3348" s="1" t="s">
        <v>13003</v>
      </c>
      <c r="E3348">
        <v>1</v>
      </c>
      <c r="G3348" t="str">
        <f>HYPERLINK("http://babel.hathitrust.org/cgi/pt?id=uc1.b249334")</f>
        <v>http://babel.hathitrust.org/cgi/pt?id=uc1.b249334</v>
      </c>
      <c r="H3348" t="str">
        <f>HYPERLINK("http://catalog.hathitrust.org/Record/006501955")</f>
        <v>http://catalog.hathitrust.org/Record/006501955</v>
      </c>
      <c r="J3348" s="1">
        <v>1906</v>
      </c>
      <c r="K3348" t="s">
        <v>13004</v>
      </c>
      <c r="L3348" t="s">
        <v>13005</v>
      </c>
    </row>
    <row r="3349" spans="1:12">
      <c r="A3349" t="s">
        <v>13006</v>
      </c>
      <c r="B3349" s="1" t="s">
        <v>13007</v>
      </c>
      <c r="F3349">
        <v>1</v>
      </c>
      <c r="G3349" t="str">
        <f>HYPERLINK("http://babel.hathitrust.org/cgi/pt?id=uc1.b250043")</f>
        <v>http://babel.hathitrust.org/cgi/pt?id=uc1.b250043</v>
      </c>
      <c r="H3349" t="str">
        <f>HYPERLINK("http://catalog.hathitrust.org/Record/006502393")</f>
        <v>http://catalog.hathitrust.org/Record/006502393</v>
      </c>
      <c r="J3349" s="1">
        <v>1894</v>
      </c>
      <c r="K3349" t="s">
        <v>13008</v>
      </c>
      <c r="L3349" t="s">
        <v>20507</v>
      </c>
    </row>
    <row r="3350" spans="1:12">
      <c r="A3350" t="s">
        <v>13009</v>
      </c>
      <c r="B3350" s="1" t="s">
        <v>13010</v>
      </c>
      <c r="F3350">
        <v>1</v>
      </c>
      <c r="G3350" t="str">
        <f>HYPERLINK("http://babel.hathitrust.org/cgi/pt?id=uc1.b250280")</f>
        <v>http://babel.hathitrust.org/cgi/pt?id=uc1.b250280</v>
      </c>
      <c r="H3350" t="str">
        <f>HYPERLINK("http://catalog.hathitrust.org/Record/006502477")</f>
        <v>http://catalog.hathitrust.org/Record/006502477</v>
      </c>
      <c r="J3350" s="1">
        <v>1895</v>
      </c>
      <c r="K3350" t="s">
        <v>13011</v>
      </c>
      <c r="L3350" t="s">
        <v>20193</v>
      </c>
    </row>
    <row r="3351" spans="1:12">
      <c r="A3351" t="s">
        <v>13012</v>
      </c>
      <c r="B3351" s="1" t="s">
        <v>13010</v>
      </c>
      <c r="F3351">
        <v>1</v>
      </c>
      <c r="G3351" t="str">
        <f>HYPERLINK("http://babel.hathitrust.org/cgi/pt?id=uc2.ark:/13960/t6f18w89j")</f>
        <v>http://babel.hathitrust.org/cgi/pt?id=uc2.ark:/13960/t6f18w89j</v>
      </c>
      <c r="H3351" t="str">
        <f>HYPERLINK("http://catalog.hathitrust.org/Record/006502477")</f>
        <v>http://catalog.hathitrust.org/Record/006502477</v>
      </c>
      <c r="J3351" s="1">
        <v>1895</v>
      </c>
      <c r="K3351" t="s">
        <v>13011</v>
      </c>
      <c r="L3351" t="s">
        <v>20193</v>
      </c>
    </row>
    <row r="3352" spans="1:12">
      <c r="A3352" t="s">
        <v>13013</v>
      </c>
      <c r="B3352" s="1" t="s">
        <v>13014</v>
      </c>
      <c r="E3352">
        <v>1</v>
      </c>
      <c r="F3352">
        <v>1</v>
      </c>
      <c r="G3352" t="str">
        <f>HYPERLINK("http://babel.hathitrust.org/cgi/pt?id=uc1.b250890")</f>
        <v>http://babel.hathitrust.org/cgi/pt?id=uc1.b250890</v>
      </c>
      <c r="H3352" t="str">
        <f>HYPERLINK("http://catalog.hathitrust.org/Record/006502729")</f>
        <v>http://catalog.hathitrust.org/Record/006502729</v>
      </c>
      <c r="J3352" s="1">
        <v>1890</v>
      </c>
      <c r="K3352" t="s">
        <v>13015</v>
      </c>
      <c r="L3352" t="s">
        <v>14322</v>
      </c>
    </row>
    <row r="3353" spans="1:12">
      <c r="A3353" t="s">
        <v>13016</v>
      </c>
      <c r="B3353" s="1" t="s">
        <v>13014</v>
      </c>
      <c r="F3353">
        <v>1</v>
      </c>
      <c r="G3353" t="str">
        <f>HYPERLINK("http://babel.hathitrust.org/cgi/pt?id=uc2.ark:/13960/t47p8x499")</f>
        <v>http://babel.hathitrust.org/cgi/pt?id=uc2.ark:/13960/t47p8x499</v>
      </c>
      <c r="H3353" t="str">
        <f>HYPERLINK("http://catalog.hathitrust.org/Record/006502729")</f>
        <v>http://catalog.hathitrust.org/Record/006502729</v>
      </c>
      <c r="J3353" s="1">
        <v>1890</v>
      </c>
      <c r="K3353" t="s">
        <v>13015</v>
      </c>
      <c r="L3353" t="s">
        <v>14322</v>
      </c>
    </row>
    <row r="3354" spans="1:12">
      <c r="A3354" t="s">
        <v>13017</v>
      </c>
      <c r="B3354" s="1" t="s">
        <v>13018</v>
      </c>
      <c r="E3354">
        <v>1</v>
      </c>
      <c r="F3354">
        <v>1</v>
      </c>
      <c r="G3354" t="str">
        <f>HYPERLINK("http://babel.hathitrust.org/cgi/pt?id=hvd.32044011231156")</f>
        <v>http://babel.hathitrust.org/cgi/pt?id=hvd.32044011231156</v>
      </c>
      <c r="H3354" t="str">
        <f t="shared" ref="H3354:H3359" si="47">HYPERLINK("http://catalog.hathitrust.org/Record/006502761")</f>
        <v>http://catalog.hathitrust.org/Record/006502761</v>
      </c>
      <c r="I3354" s="1" t="s">
        <v>20916</v>
      </c>
      <c r="J3354" s="1">
        <v>1845</v>
      </c>
      <c r="K3354" t="s">
        <v>13019</v>
      </c>
      <c r="L3354" t="s">
        <v>20753</v>
      </c>
    </row>
    <row r="3355" spans="1:12">
      <c r="A3355" t="s">
        <v>13020</v>
      </c>
      <c r="B3355" s="1" t="s">
        <v>13018</v>
      </c>
      <c r="E3355">
        <v>1</v>
      </c>
      <c r="F3355">
        <v>1</v>
      </c>
      <c r="G3355" t="str">
        <f>HYPERLINK("http://babel.hathitrust.org/cgi/pt?id=hvd.32044090276544")</f>
        <v>http://babel.hathitrust.org/cgi/pt?id=hvd.32044090276544</v>
      </c>
      <c r="H3355" t="str">
        <f t="shared" si="47"/>
        <v>http://catalog.hathitrust.org/Record/006502761</v>
      </c>
      <c r="I3355" s="1" t="s">
        <v>20755</v>
      </c>
      <c r="J3355" s="1">
        <v>1845</v>
      </c>
      <c r="K3355" t="s">
        <v>13019</v>
      </c>
      <c r="L3355" t="s">
        <v>20753</v>
      </c>
    </row>
    <row r="3356" spans="1:12">
      <c r="A3356" t="s">
        <v>13021</v>
      </c>
      <c r="B3356" s="1" t="s">
        <v>13018</v>
      </c>
      <c r="F3356">
        <v>1</v>
      </c>
      <c r="G3356" t="str">
        <f>HYPERLINK("http://babel.hathitrust.org/cgi/pt?id=hvd.32044090276551")</f>
        <v>http://babel.hathitrust.org/cgi/pt?id=hvd.32044090276551</v>
      </c>
      <c r="H3356" t="str">
        <f t="shared" si="47"/>
        <v>http://catalog.hathitrust.org/Record/006502761</v>
      </c>
      <c r="I3356" s="1" t="s">
        <v>20920</v>
      </c>
      <c r="J3356" s="1">
        <v>1845</v>
      </c>
      <c r="K3356" t="s">
        <v>13019</v>
      </c>
      <c r="L3356" t="s">
        <v>20753</v>
      </c>
    </row>
    <row r="3357" spans="1:12">
      <c r="A3357" t="s">
        <v>13022</v>
      </c>
      <c r="B3357" s="1" t="s">
        <v>13018</v>
      </c>
      <c r="F3357">
        <v>1</v>
      </c>
      <c r="G3357" t="str">
        <f>HYPERLINK("http://babel.hathitrust.org/cgi/pt?id=uc1.b250941")</f>
        <v>http://babel.hathitrust.org/cgi/pt?id=uc1.b250941</v>
      </c>
      <c r="H3357" t="str">
        <f t="shared" si="47"/>
        <v>http://catalog.hathitrust.org/Record/006502761</v>
      </c>
      <c r="I3357" s="1" t="s">
        <v>20916</v>
      </c>
      <c r="J3357" s="1">
        <v>1845</v>
      </c>
      <c r="K3357" t="s">
        <v>13019</v>
      </c>
      <c r="L3357" t="s">
        <v>20753</v>
      </c>
    </row>
    <row r="3358" spans="1:12">
      <c r="A3358" t="s">
        <v>13023</v>
      </c>
      <c r="B3358" s="1" t="s">
        <v>13018</v>
      </c>
      <c r="F3358">
        <v>1</v>
      </c>
      <c r="G3358" t="str">
        <f>HYPERLINK("http://babel.hathitrust.org/cgi/pt?id=uc1.b250942")</f>
        <v>http://babel.hathitrust.org/cgi/pt?id=uc1.b250942</v>
      </c>
      <c r="H3358" t="str">
        <f t="shared" si="47"/>
        <v>http://catalog.hathitrust.org/Record/006502761</v>
      </c>
      <c r="I3358" s="1" t="s">
        <v>20755</v>
      </c>
      <c r="J3358" s="1">
        <v>1845</v>
      </c>
      <c r="K3358" t="s">
        <v>13019</v>
      </c>
      <c r="L3358" t="s">
        <v>20753</v>
      </c>
    </row>
    <row r="3359" spans="1:12">
      <c r="A3359" t="s">
        <v>13024</v>
      </c>
      <c r="B3359" s="1" t="s">
        <v>13018</v>
      </c>
      <c r="F3359">
        <v>1</v>
      </c>
      <c r="G3359" t="str">
        <f>HYPERLINK("http://babel.hathitrust.org/cgi/pt?id=uc1.b250943")</f>
        <v>http://babel.hathitrust.org/cgi/pt?id=uc1.b250943</v>
      </c>
      <c r="H3359" t="str">
        <f t="shared" si="47"/>
        <v>http://catalog.hathitrust.org/Record/006502761</v>
      </c>
      <c r="I3359" s="1" t="s">
        <v>20920</v>
      </c>
      <c r="J3359" s="1">
        <v>1845</v>
      </c>
      <c r="K3359" t="s">
        <v>13019</v>
      </c>
      <c r="L3359" t="s">
        <v>20753</v>
      </c>
    </row>
    <row r="3360" spans="1:12">
      <c r="A3360" t="s">
        <v>13025</v>
      </c>
      <c r="B3360" s="1" t="s">
        <v>13026</v>
      </c>
      <c r="F3360">
        <v>1</v>
      </c>
      <c r="G3360" t="str">
        <f>HYPERLINK("http://babel.hathitrust.org/cgi/pt?id=uc1.b251131")</f>
        <v>http://babel.hathitrust.org/cgi/pt?id=uc1.b251131</v>
      </c>
      <c r="H3360" t="str">
        <f>HYPERLINK("http://catalog.hathitrust.org/Record/006502882")</f>
        <v>http://catalog.hathitrust.org/Record/006502882</v>
      </c>
      <c r="J3360" s="1">
        <v>1859</v>
      </c>
      <c r="K3360" t="s">
        <v>13027</v>
      </c>
      <c r="L3360" t="s">
        <v>20960</v>
      </c>
    </row>
    <row r="3361" spans="1:12">
      <c r="A3361" t="s">
        <v>13028</v>
      </c>
      <c r="B3361" s="1" t="s">
        <v>13026</v>
      </c>
      <c r="F3361">
        <v>1</v>
      </c>
      <c r="G3361" t="str">
        <f>HYPERLINK("http://babel.hathitrust.org/cgi/pt?id=uc2.ark:/13960/t0js9kp41")</f>
        <v>http://babel.hathitrust.org/cgi/pt?id=uc2.ark:/13960/t0js9kp41</v>
      </c>
      <c r="H3361" t="str">
        <f>HYPERLINK("http://catalog.hathitrust.org/Record/006502882")</f>
        <v>http://catalog.hathitrust.org/Record/006502882</v>
      </c>
      <c r="J3361" s="1">
        <v>1859</v>
      </c>
      <c r="K3361" t="s">
        <v>13027</v>
      </c>
      <c r="L3361" t="s">
        <v>20960</v>
      </c>
    </row>
    <row r="3362" spans="1:12">
      <c r="A3362" t="s">
        <v>13029</v>
      </c>
      <c r="B3362" s="1" t="s">
        <v>13030</v>
      </c>
      <c r="F3362">
        <v>1</v>
      </c>
      <c r="G3362" t="str">
        <f>HYPERLINK("http://babel.hathitrust.org/cgi/pt?id=uc1.b252311")</f>
        <v>http://babel.hathitrust.org/cgi/pt?id=uc1.b252311</v>
      </c>
      <c r="H3362" t="str">
        <f>HYPERLINK("http://catalog.hathitrust.org/Record/006503697")</f>
        <v>http://catalog.hathitrust.org/Record/006503697</v>
      </c>
      <c r="J3362" s="1">
        <v>1915</v>
      </c>
      <c r="K3362" t="s">
        <v>13031</v>
      </c>
      <c r="L3362" t="s">
        <v>13032</v>
      </c>
    </row>
    <row r="3363" spans="1:12">
      <c r="A3363" t="s">
        <v>13033</v>
      </c>
      <c r="B3363" s="1" t="s">
        <v>13030</v>
      </c>
      <c r="F3363">
        <v>1</v>
      </c>
      <c r="G3363" t="str">
        <f>HYPERLINK("http://babel.hathitrust.org/cgi/pt?id=uc2.ark:/13960/t8x924h2k")</f>
        <v>http://babel.hathitrust.org/cgi/pt?id=uc2.ark:/13960/t8x924h2k</v>
      </c>
      <c r="H3363" t="str">
        <f>HYPERLINK("http://catalog.hathitrust.org/Record/006503697")</f>
        <v>http://catalog.hathitrust.org/Record/006503697</v>
      </c>
      <c r="J3363" s="1">
        <v>1915</v>
      </c>
      <c r="K3363" t="s">
        <v>13031</v>
      </c>
      <c r="L3363" t="s">
        <v>13032</v>
      </c>
    </row>
    <row r="3364" spans="1:12">
      <c r="A3364" t="s">
        <v>13034</v>
      </c>
      <c r="B3364" s="1" t="s">
        <v>13035</v>
      </c>
      <c r="F3364">
        <v>1</v>
      </c>
      <c r="G3364" t="str">
        <f>HYPERLINK("http://babel.hathitrust.org/cgi/pt?id=uc1.b252326")</f>
        <v>http://babel.hathitrust.org/cgi/pt?id=uc1.b252326</v>
      </c>
      <c r="H3364" t="str">
        <f>HYPERLINK("http://catalog.hathitrust.org/Record/006503706")</f>
        <v>http://catalog.hathitrust.org/Record/006503706</v>
      </c>
      <c r="J3364" s="1">
        <v>1883</v>
      </c>
      <c r="K3364" t="s">
        <v>12930</v>
      </c>
      <c r="L3364" t="s">
        <v>12931</v>
      </c>
    </row>
    <row r="3365" spans="1:12">
      <c r="A3365" t="s">
        <v>12932</v>
      </c>
      <c r="B3365" s="1" t="s">
        <v>13035</v>
      </c>
      <c r="F3365">
        <v>1</v>
      </c>
      <c r="G3365" t="str">
        <f>HYPERLINK("http://babel.hathitrust.org/cgi/pt?id=uc2.ark:/13960/t11n81621")</f>
        <v>http://babel.hathitrust.org/cgi/pt?id=uc2.ark:/13960/t11n81621</v>
      </c>
      <c r="H3365" t="str">
        <f>HYPERLINK("http://catalog.hathitrust.org/Record/006503706")</f>
        <v>http://catalog.hathitrust.org/Record/006503706</v>
      </c>
      <c r="J3365" s="1">
        <v>1883</v>
      </c>
      <c r="K3365" t="s">
        <v>12930</v>
      </c>
      <c r="L3365" t="s">
        <v>12931</v>
      </c>
    </row>
    <row r="3366" spans="1:12">
      <c r="A3366" t="s">
        <v>12933</v>
      </c>
      <c r="B3366" s="1" t="s">
        <v>12934</v>
      </c>
      <c r="F3366">
        <v>1</v>
      </c>
      <c r="G3366" t="str">
        <f>HYPERLINK("http://babel.hathitrust.org/cgi/pt?id=uc1.b252328")</f>
        <v>http://babel.hathitrust.org/cgi/pt?id=uc1.b252328</v>
      </c>
      <c r="H3366" t="str">
        <f>HYPERLINK("http://catalog.hathitrust.org/Record/006503708")</f>
        <v>http://catalog.hathitrust.org/Record/006503708</v>
      </c>
      <c r="J3366" s="1">
        <v>1913</v>
      </c>
      <c r="K3366" t="s">
        <v>12935</v>
      </c>
      <c r="L3366" t="s">
        <v>12936</v>
      </c>
    </row>
    <row r="3367" spans="1:12">
      <c r="A3367" t="s">
        <v>12937</v>
      </c>
      <c r="B3367" s="1" t="s">
        <v>12938</v>
      </c>
      <c r="F3367">
        <v>1</v>
      </c>
      <c r="G3367" t="str">
        <f>HYPERLINK("http://babel.hathitrust.org/cgi/pt?id=uc1.b252552")</f>
        <v>http://babel.hathitrust.org/cgi/pt?id=uc1.b252552</v>
      </c>
      <c r="H3367" t="str">
        <f>HYPERLINK("http://catalog.hathitrust.org/Record/006503875")</f>
        <v>http://catalog.hathitrust.org/Record/006503875</v>
      </c>
      <c r="J3367" s="1">
        <v>1865</v>
      </c>
      <c r="K3367" t="s">
        <v>12939</v>
      </c>
      <c r="L3367" t="s">
        <v>12940</v>
      </c>
    </row>
    <row r="3368" spans="1:12">
      <c r="A3368" t="s">
        <v>12941</v>
      </c>
      <c r="B3368" s="1" t="s">
        <v>12938</v>
      </c>
      <c r="F3368">
        <v>1</v>
      </c>
      <c r="G3368" t="str">
        <f>HYPERLINK("http://babel.hathitrust.org/cgi/pt?id=uc2.ark:/13960/t4wh2h42v")</f>
        <v>http://babel.hathitrust.org/cgi/pt?id=uc2.ark:/13960/t4wh2h42v</v>
      </c>
      <c r="H3368" t="str">
        <f>HYPERLINK("http://catalog.hathitrust.org/Record/006503875")</f>
        <v>http://catalog.hathitrust.org/Record/006503875</v>
      </c>
      <c r="J3368" s="1">
        <v>1865</v>
      </c>
      <c r="K3368" t="s">
        <v>12939</v>
      </c>
      <c r="L3368" t="s">
        <v>12940</v>
      </c>
    </row>
    <row r="3369" spans="1:12">
      <c r="A3369" t="s">
        <v>12942</v>
      </c>
      <c r="B3369" s="1" t="s">
        <v>12943</v>
      </c>
      <c r="D3369">
        <v>1</v>
      </c>
      <c r="G3369" t="str">
        <f>HYPERLINK("http://babel.hathitrust.org/cgi/pt?id=uc1.b252795")</f>
        <v>http://babel.hathitrust.org/cgi/pt?id=uc1.b252795</v>
      </c>
      <c r="H3369" t="str">
        <f>HYPERLINK("http://catalog.hathitrust.org/Record/006503996")</f>
        <v>http://catalog.hathitrust.org/Record/006503996</v>
      </c>
      <c r="J3369" s="1">
        <v>1903</v>
      </c>
      <c r="K3369" t="s">
        <v>12944</v>
      </c>
      <c r="L3369" t="s">
        <v>20615</v>
      </c>
    </row>
    <row r="3370" spans="1:12">
      <c r="A3370" t="s">
        <v>12945</v>
      </c>
      <c r="B3370" s="1" t="s">
        <v>12943</v>
      </c>
      <c r="F3370">
        <v>1</v>
      </c>
      <c r="G3370" t="str">
        <f>HYPERLINK("http://babel.hathitrust.org/cgi/pt?id=uc2.ark:/13960/t0sq8vg2s")</f>
        <v>http://babel.hathitrust.org/cgi/pt?id=uc2.ark:/13960/t0sq8vg2s</v>
      </c>
      <c r="H3370" t="str">
        <f>HYPERLINK("http://catalog.hathitrust.org/Record/006503996")</f>
        <v>http://catalog.hathitrust.org/Record/006503996</v>
      </c>
      <c r="J3370" s="1">
        <v>1903</v>
      </c>
      <c r="K3370" t="s">
        <v>12944</v>
      </c>
      <c r="L3370" t="s">
        <v>20615</v>
      </c>
    </row>
    <row r="3371" spans="1:12">
      <c r="A3371" t="s">
        <v>12946</v>
      </c>
      <c r="B3371" s="1" t="s">
        <v>12947</v>
      </c>
      <c r="F3371">
        <v>1</v>
      </c>
      <c r="G3371" t="str">
        <f>HYPERLINK("http://babel.hathitrust.org/cgi/pt?id=uc1.b253179")</f>
        <v>http://babel.hathitrust.org/cgi/pt?id=uc1.b253179</v>
      </c>
      <c r="H3371" t="str">
        <f>HYPERLINK("http://catalog.hathitrust.org/Record/006504262")</f>
        <v>http://catalog.hathitrust.org/Record/006504262</v>
      </c>
      <c r="J3371" s="1">
        <v>1877</v>
      </c>
      <c r="K3371" t="s">
        <v>12948</v>
      </c>
      <c r="L3371" t="s">
        <v>12949</v>
      </c>
    </row>
    <row r="3372" spans="1:12">
      <c r="A3372" t="s">
        <v>12950</v>
      </c>
      <c r="B3372" s="1" t="s">
        <v>12947</v>
      </c>
      <c r="F3372">
        <v>1</v>
      </c>
      <c r="G3372" t="str">
        <f>HYPERLINK("http://babel.hathitrust.org/cgi/pt?id=uc2.ark:/13960/t7gq6v05b")</f>
        <v>http://babel.hathitrust.org/cgi/pt?id=uc2.ark:/13960/t7gq6v05b</v>
      </c>
      <c r="H3372" t="str">
        <f>HYPERLINK("http://catalog.hathitrust.org/Record/006504262")</f>
        <v>http://catalog.hathitrust.org/Record/006504262</v>
      </c>
      <c r="J3372" s="1">
        <v>1877</v>
      </c>
      <c r="K3372" t="s">
        <v>12948</v>
      </c>
      <c r="L3372" t="s">
        <v>12949</v>
      </c>
    </row>
    <row r="3373" spans="1:12">
      <c r="A3373" t="s">
        <v>12951</v>
      </c>
      <c r="B3373" s="1" t="s">
        <v>12952</v>
      </c>
      <c r="F3373">
        <v>1</v>
      </c>
      <c r="G3373" t="str">
        <f>HYPERLINK("http://babel.hathitrust.org/cgi/pt?id=hvd.32044097062368")</f>
        <v>http://babel.hathitrust.org/cgi/pt?id=hvd.32044097062368</v>
      </c>
      <c r="H3373" t="str">
        <f>HYPERLINK("http://catalog.hathitrust.org/Record/006504318")</f>
        <v>http://catalog.hathitrust.org/Record/006504318</v>
      </c>
      <c r="J3373" s="1">
        <v>1860</v>
      </c>
      <c r="K3373" t="s">
        <v>12953</v>
      </c>
      <c r="L3373" t="s">
        <v>12954</v>
      </c>
    </row>
    <row r="3374" spans="1:12">
      <c r="A3374" t="s">
        <v>12955</v>
      </c>
      <c r="B3374" s="1" t="s">
        <v>12952</v>
      </c>
      <c r="F3374">
        <v>1</v>
      </c>
      <c r="G3374" t="str">
        <f>HYPERLINK("http://babel.hathitrust.org/cgi/pt?id=uc1.b253256")</f>
        <v>http://babel.hathitrust.org/cgi/pt?id=uc1.b253256</v>
      </c>
      <c r="H3374" t="str">
        <f>HYPERLINK("http://catalog.hathitrust.org/Record/006504318")</f>
        <v>http://catalog.hathitrust.org/Record/006504318</v>
      </c>
      <c r="J3374" s="1">
        <v>1860</v>
      </c>
      <c r="K3374" t="s">
        <v>12953</v>
      </c>
      <c r="L3374" t="s">
        <v>12954</v>
      </c>
    </row>
    <row r="3375" spans="1:12">
      <c r="A3375" t="s">
        <v>12956</v>
      </c>
      <c r="B3375" s="1" t="s">
        <v>12952</v>
      </c>
      <c r="F3375">
        <v>1</v>
      </c>
      <c r="G3375" t="str">
        <f>HYPERLINK("http://babel.hathitrust.org/cgi/pt?id=uc2.ark:/13960/t1jh3gm44")</f>
        <v>http://babel.hathitrust.org/cgi/pt?id=uc2.ark:/13960/t1jh3gm44</v>
      </c>
      <c r="H3375" t="str">
        <f>HYPERLINK("http://catalog.hathitrust.org/Record/006504318")</f>
        <v>http://catalog.hathitrust.org/Record/006504318</v>
      </c>
      <c r="J3375" s="1">
        <v>1860</v>
      </c>
      <c r="K3375" t="s">
        <v>12953</v>
      </c>
      <c r="L3375" t="s">
        <v>12954</v>
      </c>
    </row>
    <row r="3376" spans="1:12">
      <c r="A3376" t="s">
        <v>12957</v>
      </c>
      <c r="B3376" s="1" t="s">
        <v>12958</v>
      </c>
      <c r="E3376">
        <v>1</v>
      </c>
      <c r="G3376" t="str">
        <f>HYPERLINK("http://babel.hathitrust.org/cgi/pt?id=uc1.b253853")</f>
        <v>http://babel.hathitrust.org/cgi/pt?id=uc1.b253853</v>
      </c>
      <c r="H3376" t="str">
        <f>HYPERLINK("http://catalog.hathitrust.org/Record/006504735")</f>
        <v>http://catalog.hathitrust.org/Record/006504735</v>
      </c>
      <c r="J3376" s="1">
        <v>1855</v>
      </c>
      <c r="K3376" t="s">
        <v>12959</v>
      </c>
      <c r="L3376" t="s">
        <v>12960</v>
      </c>
    </row>
    <row r="3377" spans="1:12">
      <c r="A3377" t="s">
        <v>12961</v>
      </c>
      <c r="B3377" s="1" t="s">
        <v>12962</v>
      </c>
      <c r="E3377">
        <v>1</v>
      </c>
      <c r="G3377" t="str">
        <f>HYPERLINK("http://babel.hathitrust.org/cgi/pt?id=nyp.33433069244089")</f>
        <v>http://babel.hathitrust.org/cgi/pt?id=nyp.33433069244089</v>
      </c>
      <c r="H3377" t="str">
        <f>HYPERLINK("http://catalog.hathitrust.org/Record/006504736")</f>
        <v>http://catalog.hathitrust.org/Record/006504736</v>
      </c>
      <c r="J3377" s="1">
        <v>1846</v>
      </c>
      <c r="K3377" t="s">
        <v>12963</v>
      </c>
      <c r="L3377" t="s">
        <v>12960</v>
      </c>
    </row>
    <row r="3378" spans="1:12">
      <c r="A3378" t="s">
        <v>12964</v>
      </c>
      <c r="B3378" s="1" t="s">
        <v>12965</v>
      </c>
      <c r="F3378">
        <v>1</v>
      </c>
      <c r="G3378" t="str">
        <f>HYPERLINK("http://babel.hathitrust.org/cgi/pt?id=uc1.b253881")</f>
        <v>http://babel.hathitrust.org/cgi/pt?id=uc1.b253881</v>
      </c>
      <c r="H3378" t="str">
        <f>HYPERLINK("http://catalog.hathitrust.org/Record/006504756")</f>
        <v>http://catalog.hathitrust.org/Record/006504756</v>
      </c>
      <c r="J3378" s="1">
        <v>1902</v>
      </c>
      <c r="K3378" t="s">
        <v>12966</v>
      </c>
      <c r="L3378" t="s">
        <v>12967</v>
      </c>
    </row>
    <row r="3379" spans="1:12">
      <c r="A3379" t="s">
        <v>12968</v>
      </c>
      <c r="B3379" s="1" t="s">
        <v>12965</v>
      </c>
      <c r="F3379">
        <v>1</v>
      </c>
      <c r="G3379" t="str">
        <f>HYPERLINK("http://babel.hathitrust.org/cgi/pt?id=uc2.ark:/13960/t4qj7bn64")</f>
        <v>http://babel.hathitrust.org/cgi/pt?id=uc2.ark:/13960/t4qj7bn64</v>
      </c>
      <c r="H3379" t="str">
        <f>HYPERLINK("http://catalog.hathitrust.org/Record/006504756")</f>
        <v>http://catalog.hathitrust.org/Record/006504756</v>
      </c>
      <c r="J3379" s="1">
        <v>1902</v>
      </c>
      <c r="K3379" t="s">
        <v>12966</v>
      </c>
      <c r="L3379" t="s">
        <v>12967</v>
      </c>
    </row>
    <row r="3380" spans="1:12">
      <c r="A3380" t="s">
        <v>12969</v>
      </c>
      <c r="B3380" s="1" t="s">
        <v>12970</v>
      </c>
      <c r="F3380">
        <v>1</v>
      </c>
      <c r="G3380" t="str">
        <f>HYPERLINK("http://babel.hathitrust.org/cgi/pt?id=nyp.33433069240830")</f>
        <v>http://babel.hathitrust.org/cgi/pt?id=nyp.33433069240830</v>
      </c>
      <c r="H3380" t="str">
        <f>HYPERLINK("http://catalog.hathitrust.org/Record/006505605")</f>
        <v>http://catalog.hathitrust.org/Record/006505605</v>
      </c>
      <c r="J3380" s="1">
        <v>1866</v>
      </c>
      <c r="K3380" t="s">
        <v>12971</v>
      </c>
      <c r="L3380" t="s">
        <v>20884</v>
      </c>
    </row>
    <row r="3381" spans="1:12">
      <c r="A3381" t="s">
        <v>12972</v>
      </c>
      <c r="B3381" s="1" t="s">
        <v>12970</v>
      </c>
      <c r="F3381">
        <v>1</v>
      </c>
      <c r="G3381" t="str">
        <f>HYPERLINK("http://babel.hathitrust.org/cgi/pt?id=uc1.b255318")</f>
        <v>http://babel.hathitrust.org/cgi/pt?id=uc1.b255318</v>
      </c>
      <c r="H3381" t="str">
        <f>HYPERLINK("http://catalog.hathitrust.org/Record/006505605")</f>
        <v>http://catalog.hathitrust.org/Record/006505605</v>
      </c>
      <c r="J3381" s="1">
        <v>1866</v>
      </c>
      <c r="K3381" t="s">
        <v>12971</v>
      </c>
      <c r="L3381" t="s">
        <v>20884</v>
      </c>
    </row>
    <row r="3382" spans="1:12">
      <c r="A3382" t="s">
        <v>12973</v>
      </c>
      <c r="B3382" s="1" t="s">
        <v>12970</v>
      </c>
      <c r="F3382">
        <v>1</v>
      </c>
      <c r="G3382" t="str">
        <f>HYPERLINK("http://babel.hathitrust.org/cgi/pt?id=uc2.ark:/13960/t3vt1kb6f")</f>
        <v>http://babel.hathitrust.org/cgi/pt?id=uc2.ark:/13960/t3vt1kb6f</v>
      </c>
      <c r="H3382" t="str">
        <f>HYPERLINK("http://catalog.hathitrust.org/Record/006505605")</f>
        <v>http://catalog.hathitrust.org/Record/006505605</v>
      </c>
      <c r="J3382" s="1">
        <v>1866</v>
      </c>
      <c r="K3382" t="s">
        <v>12971</v>
      </c>
      <c r="L3382" t="s">
        <v>20884</v>
      </c>
    </row>
    <row r="3383" spans="1:12">
      <c r="A3383" t="s">
        <v>12974</v>
      </c>
      <c r="B3383" s="1" t="s">
        <v>12975</v>
      </c>
      <c r="F3383">
        <v>1</v>
      </c>
      <c r="G3383" t="str">
        <f>HYPERLINK("http://babel.hathitrust.org/cgi/pt?id=uc1.b256010")</f>
        <v>http://babel.hathitrust.org/cgi/pt?id=uc1.b256010</v>
      </c>
      <c r="H3383" t="str">
        <f>HYPERLINK("http://catalog.hathitrust.org/Record/006506071")</f>
        <v>http://catalog.hathitrust.org/Record/006506071</v>
      </c>
      <c r="J3383" s="1">
        <v>1920</v>
      </c>
      <c r="K3383" t="s">
        <v>12976</v>
      </c>
      <c r="L3383" t="s">
        <v>18209</v>
      </c>
    </row>
    <row r="3384" spans="1:12">
      <c r="A3384" t="s">
        <v>12977</v>
      </c>
      <c r="B3384" s="1" t="s">
        <v>12975</v>
      </c>
      <c r="F3384">
        <v>1</v>
      </c>
      <c r="G3384" t="str">
        <f>HYPERLINK("http://babel.hathitrust.org/cgi/pt?id=uc2.ark:/13960/t6rx96802")</f>
        <v>http://babel.hathitrust.org/cgi/pt?id=uc2.ark:/13960/t6rx96802</v>
      </c>
      <c r="H3384" t="str">
        <f>HYPERLINK("http://catalog.hathitrust.org/Record/006506071")</f>
        <v>http://catalog.hathitrust.org/Record/006506071</v>
      </c>
      <c r="J3384" s="1">
        <v>1920</v>
      </c>
      <c r="K3384" t="s">
        <v>12976</v>
      </c>
      <c r="L3384" t="s">
        <v>18209</v>
      </c>
    </row>
    <row r="3385" spans="1:12">
      <c r="A3385" t="s">
        <v>12978</v>
      </c>
      <c r="B3385" s="1" t="s">
        <v>12979</v>
      </c>
      <c r="F3385">
        <v>1</v>
      </c>
      <c r="G3385" t="str">
        <f>HYPERLINK("http://babel.hathitrust.org/cgi/pt?id=uc1.b256738")</f>
        <v>http://babel.hathitrust.org/cgi/pt?id=uc1.b256738</v>
      </c>
      <c r="H3385" t="str">
        <f>HYPERLINK("http://catalog.hathitrust.org/Record/006506602")</f>
        <v>http://catalog.hathitrust.org/Record/006506602</v>
      </c>
      <c r="J3385" s="1">
        <v>1918</v>
      </c>
      <c r="K3385" t="s">
        <v>12980</v>
      </c>
      <c r="L3385" t="s">
        <v>12981</v>
      </c>
    </row>
    <row r="3386" spans="1:12">
      <c r="A3386" t="s">
        <v>12982</v>
      </c>
      <c r="B3386" s="1" t="s">
        <v>12979</v>
      </c>
      <c r="F3386">
        <v>1</v>
      </c>
      <c r="G3386" t="str">
        <f>HYPERLINK("http://babel.hathitrust.org/cgi/pt?id=uc2.ark:/13960/t3222tw84")</f>
        <v>http://babel.hathitrust.org/cgi/pt?id=uc2.ark:/13960/t3222tw84</v>
      </c>
      <c r="H3386" t="str">
        <f>HYPERLINK("http://catalog.hathitrust.org/Record/006506602")</f>
        <v>http://catalog.hathitrust.org/Record/006506602</v>
      </c>
      <c r="J3386" s="1">
        <v>1918</v>
      </c>
      <c r="K3386" t="s">
        <v>12980</v>
      </c>
      <c r="L3386" t="s">
        <v>12981</v>
      </c>
    </row>
    <row r="3387" spans="1:12">
      <c r="A3387" t="s">
        <v>12983</v>
      </c>
      <c r="B3387" s="1" t="s">
        <v>12984</v>
      </c>
      <c r="F3387">
        <v>1</v>
      </c>
      <c r="G3387" t="str">
        <f>HYPERLINK("http://babel.hathitrust.org/cgi/pt?id=uc1.b256884")</f>
        <v>http://babel.hathitrust.org/cgi/pt?id=uc1.b256884</v>
      </c>
      <c r="H3387" t="str">
        <f>HYPERLINK("http://catalog.hathitrust.org/Record/006506683")</f>
        <v>http://catalog.hathitrust.org/Record/006506683</v>
      </c>
      <c r="J3387" s="1">
        <v>1902</v>
      </c>
      <c r="K3387" t="s">
        <v>12869</v>
      </c>
      <c r="L3387" t="s">
        <v>15658</v>
      </c>
    </row>
    <row r="3388" spans="1:12">
      <c r="A3388" t="s">
        <v>12870</v>
      </c>
      <c r="B3388" s="1" t="s">
        <v>12871</v>
      </c>
      <c r="F3388">
        <v>1</v>
      </c>
      <c r="G3388" t="str">
        <f>HYPERLINK("http://babel.hathitrust.org/cgi/pt?id=nyp.33433075910434")</f>
        <v>http://babel.hathitrust.org/cgi/pt?id=nyp.33433075910434</v>
      </c>
      <c r="H3388" t="str">
        <f>HYPERLINK("http://catalog.hathitrust.org/Record/006506684")</f>
        <v>http://catalog.hathitrust.org/Record/006506684</v>
      </c>
      <c r="J3388" s="1">
        <v>1910</v>
      </c>
      <c r="K3388" t="s">
        <v>12872</v>
      </c>
      <c r="L3388" t="s">
        <v>12873</v>
      </c>
    </row>
    <row r="3389" spans="1:12">
      <c r="A3389" t="s">
        <v>12874</v>
      </c>
      <c r="B3389" s="1" t="s">
        <v>12871</v>
      </c>
      <c r="F3389">
        <v>1</v>
      </c>
      <c r="G3389" t="str">
        <f>HYPERLINK("http://babel.hathitrust.org/cgi/pt?id=uc1.b256886")</f>
        <v>http://babel.hathitrust.org/cgi/pt?id=uc1.b256886</v>
      </c>
      <c r="H3389" t="str">
        <f>HYPERLINK("http://catalog.hathitrust.org/Record/006506684")</f>
        <v>http://catalog.hathitrust.org/Record/006506684</v>
      </c>
      <c r="J3389" s="1">
        <v>1910</v>
      </c>
      <c r="K3389" t="s">
        <v>12872</v>
      </c>
      <c r="L3389" t="s">
        <v>12873</v>
      </c>
    </row>
    <row r="3390" spans="1:12">
      <c r="A3390" t="s">
        <v>12875</v>
      </c>
      <c r="B3390" s="1" t="s">
        <v>12871</v>
      </c>
      <c r="F3390">
        <v>1</v>
      </c>
      <c r="G3390" t="str">
        <f>HYPERLINK("http://babel.hathitrust.org/cgi/pt?id=uc2.ark:/13960/t9r20vz2n")</f>
        <v>http://babel.hathitrust.org/cgi/pt?id=uc2.ark:/13960/t9r20vz2n</v>
      </c>
      <c r="H3390" t="str">
        <f>HYPERLINK("http://catalog.hathitrust.org/Record/006506684")</f>
        <v>http://catalog.hathitrust.org/Record/006506684</v>
      </c>
      <c r="J3390" s="1">
        <v>1910</v>
      </c>
      <c r="K3390" t="s">
        <v>12872</v>
      </c>
      <c r="L3390" t="s">
        <v>12873</v>
      </c>
    </row>
    <row r="3391" spans="1:12">
      <c r="A3391" t="s">
        <v>12876</v>
      </c>
      <c r="B3391" s="1" t="s">
        <v>12877</v>
      </c>
      <c r="F3391">
        <v>1</v>
      </c>
      <c r="G3391" t="str">
        <f>HYPERLINK("http://babel.hathitrust.org/cgi/pt?id=uc1.b256891")</f>
        <v>http://babel.hathitrust.org/cgi/pt?id=uc1.b256891</v>
      </c>
      <c r="H3391" t="str">
        <f>HYPERLINK("http://catalog.hathitrust.org/Record/006506687")</f>
        <v>http://catalog.hathitrust.org/Record/006506687</v>
      </c>
      <c r="J3391" s="1">
        <v>1909</v>
      </c>
      <c r="K3391" t="s">
        <v>12878</v>
      </c>
      <c r="L3391" t="s">
        <v>12879</v>
      </c>
    </row>
    <row r="3392" spans="1:12">
      <c r="A3392" t="s">
        <v>12880</v>
      </c>
      <c r="B3392" s="1" t="s">
        <v>12877</v>
      </c>
      <c r="F3392">
        <v>1</v>
      </c>
      <c r="G3392" t="str">
        <f>HYPERLINK("http://babel.hathitrust.org/cgi/pt?id=uc2.ark:/13960/t8df6p45z")</f>
        <v>http://babel.hathitrust.org/cgi/pt?id=uc2.ark:/13960/t8df6p45z</v>
      </c>
      <c r="H3392" t="str">
        <f>HYPERLINK("http://catalog.hathitrust.org/Record/006506687")</f>
        <v>http://catalog.hathitrust.org/Record/006506687</v>
      </c>
      <c r="J3392" s="1">
        <v>1909</v>
      </c>
      <c r="K3392" t="s">
        <v>12878</v>
      </c>
      <c r="L3392" t="s">
        <v>12879</v>
      </c>
    </row>
    <row r="3393" spans="1:12">
      <c r="A3393" t="s">
        <v>12881</v>
      </c>
      <c r="B3393" s="1" t="s">
        <v>12882</v>
      </c>
      <c r="F3393">
        <v>1</v>
      </c>
      <c r="G3393" t="str">
        <f>HYPERLINK("http://babel.hathitrust.org/cgi/pt?id=uc1.b256921")</f>
        <v>http://babel.hathitrust.org/cgi/pt?id=uc1.b256921</v>
      </c>
      <c r="H3393" t="str">
        <f>HYPERLINK("http://catalog.hathitrust.org/Record/006506705")</f>
        <v>http://catalog.hathitrust.org/Record/006506705</v>
      </c>
      <c r="J3393" s="1">
        <v>1909</v>
      </c>
      <c r="K3393" t="s">
        <v>12883</v>
      </c>
      <c r="L3393" t="s">
        <v>12884</v>
      </c>
    </row>
    <row r="3394" spans="1:12">
      <c r="A3394" t="s">
        <v>12885</v>
      </c>
      <c r="B3394" s="1" t="s">
        <v>12882</v>
      </c>
      <c r="F3394">
        <v>1</v>
      </c>
      <c r="G3394" t="str">
        <f>HYPERLINK("http://babel.hathitrust.org/cgi/pt?id=uc2.ark:/13960/t20c4w711")</f>
        <v>http://babel.hathitrust.org/cgi/pt?id=uc2.ark:/13960/t20c4w711</v>
      </c>
      <c r="H3394" t="str">
        <f>HYPERLINK("http://catalog.hathitrust.org/Record/006506705")</f>
        <v>http://catalog.hathitrust.org/Record/006506705</v>
      </c>
      <c r="J3394" s="1">
        <v>1909</v>
      </c>
      <c r="K3394" t="s">
        <v>12883</v>
      </c>
      <c r="L3394" t="s">
        <v>12884</v>
      </c>
    </row>
    <row r="3395" spans="1:12">
      <c r="A3395" t="s">
        <v>12886</v>
      </c>
      <c r="B3395" s="1" t="s">
        <v>12887</v>
      </c>
      <c r="F3395">
        <v>1</v>
      </c>
      <c r="G3395" t="str">
        <f>HYPERLINK("http://babel.hathitrust.org/cgi/pt?id=uc1.b257290")</f>
        <v>http://babel.hathitrust.org/cgi/pt?id=uc1.b257290</v>
      </c>
      <c r="H3395" t="str">
        <f>HYPERLINK("http://catalog.hathitrust.org/Record/006506849")</f>
        <v>http://catalog.hathitrust.org/Record/006506849</v>
      </c>
      <c r="J3395" s="1">
        <v>1896</v>
      </c>
      <c r="K3395" t="s">
        <v>12888</v>
      </c>
      <c r="L3395" t="s">
        <v>12889</v>
      </c>
    </row>
    <row r="3396" spans="1:12">
      <c r="A3396" t="s">
        <v>12890</v>
      </c>
      <c r="B3396" s="1" t="s">
        <v>12887</v>
      </c>
      <c r="F3396">
        <v>1</v>
      </c>
      <c r="G3396" t="str">
        <f>HYPERLINK("http://babel.hathitrust.org/cgi/pt?id=uc2.ark:/13960/t8df6p49w")</f>
        <v>http://babel.hathitrust.org/cgi/pt?id=uc2.ark:/13960/t8df6p49w</v>
      </c>
      <c r="H3396" t="str">
        <f>HYPERLINK("http://catalog.hathitrust.org/Record/006506849")</f>
        <v>http://catalog.hathitrust.org/Record/006506849</v>
      </c>
      <c r="J3396" s="1">
        <v>1896</v>
      </c>
      <c r="K3396" t="s">
        <v>12888</v>
      </c>
      <c r="L3396" t="s">
        <v>12889</v>
      </c>
    </row>
    <row r="3397" spans="1:12">
      <c r="A3397" t="s">
        <v>12891</v>
      </c>
      <c r="B3397" s="1" t="s">
        <v>12892</v>
      </c>
      <c r="F3397">
        <v>1</v>
      </c>
      <c r="G3397" t="str">
        <f>HYPERLINK("http://babel.hathitrust.org/cgi/pt?id=uc1.b257296")</f>
        <v>http://babel.hathitrust.org/cgi/pt?id=uc1.b257296</v>
      </c>
      <c r="H3397" t="str">
        <f>HYPERLINK("http://catalog.hathitrust.org/Record/006506852")</f>
        <v>http://catalog.hathitrust.org/Record/006506852</v>
      </c>
      <c r="J3397" s="1">
        <v>1918</v>
      </c>
      <c r="K3397" t="s">
        <v>12893</v>
      </c>
      <c r="L3397" t="s">
        <v>12894</v>
      </c>
    </row>
    <row r="3398" spans="1:12">
      <c r="A3398" t="s">
        <v>12895</v>
      </c>
      <c r="B3398" s="1" t="s">
        <v>12892</v>
      </c>
      <c r="F3398">
        <v>1</v>
      </c>
      <c r="G3398" t="str">
        <f>HYPERLINK("http://babel.hathitrust.org/cgi/pt?id=uc2.ark:/13960/t84j0f01m")</f>
        <v>http://babel.hathitrust.org/cgi/pt?id=uc2.ark:/13960/t84j0f01m</v>
      </c>
      <c r="H3398" t="str">
        <f>HYPERLINK("http://catalog.hathitrust.org/Record/006506852")</f>
        <v>http://catalog.hathitrust.org/Record/006506852</v>
      </c>
      <c r="J3398" s="1">
        <v>1918</v>
      </c>
      <c r="K3398" t="s">
        <v>12893</v>
      </c>
      <c r="L3398" t="s">
        <v>12894</v>
      </c>
    </row>
    <row r="3399" spans="1:12">
      <c r="A3399" t="s">
        <v>12896</v>
      </c>
      <c r="B3399" s="1" t="s">
        <v>12897</v>
      </c>
      <c r="F3399">
        <v>1</v>
      </c>
      <c r="G3399" t="str">
        <f>HYPERLINK("http://babel.hathitrust.org/cgi/pt?id=hvd.hn1ttx")</f>
        <v>http://babel.hathitrust.org/cgi/pt?id=hvd.hn1ttx</v>
      </c>
      <c r="H3399" t="str">
        <f>HYPERLINK("http://catalog.hathitrust.org/Record/006506860")</f>
        <v>http://catalog.hathitrust.org/Record/006506860</v>
      </c>
      <c r="J3399" s="1">
        <v>1865</v>
      </c>
      <c r="K3399" t="s">
        <v>12898</v>
      </c>
      <c r="L3399" t="s">
        <v>12899</v>
      </c>
    </row>
    <row r="3400" spans="1:12">
      <c r="A3400" t="s">
        <v>12900</v>
      </c>
      <c r="B3400" s="1" t="s">
        <v>12897</v>
      </c>
      <c r="F3400">
        <v>1</v>
      </c>
      <c r="G3400" t="str">
        <f>HYPERLINK("http://babel.hathitrust.org/cgi/pt?id=hvd.hnyvds")</f>
        <v>http://babel.hathitrust.org/cgi/pt?id=hvd.hnyvds</v>
      </c>
      <c r="H3400" t="str">
        <f>HYPERLINK("http://catalog.hathitrust.org/Record/006506860")</f>
        <v>http://catalog.hathitrust.org/Record/006506860</v>
      </c>
      <c r="J3400" s="1">
        <v>1865</v>
      </c>
      <c r="K3400" t="s">
        <v>12898</v>
      </c>
      <c r="L3400" t="s">
        <v>12899</v>
      </c>
    </row>
    <row r="3401" spans="1:12">
      <c r="A3401" t="s">
        <v>12901</v>
      </c>
      <c r="B3401" s="1" t="s">
        <v>12897</v>
      </c>
      <c r="F3401">
        <v>1</v>
      </c>
      <c r="G3401" t="str">
        <f>HYPERLINK("http://babel.hathitrust.org/cgi/pt?id=uc1.b257321")</f>
        <v>http://babel.hathitrust.org/cgi/pt?id=uc1.b257321</v>
      </c>
      <c r="H3401" t="str">
        <f>HYPERLINK("http://catalog.hathitrust.org/Record/006506860")</f>
        <v>http://catalog.hathitrust.org/Record/006506860</v>
      </c>
      <c r="J3401" s="1">
        <v>1865</v>
      </c>
      <c r="K3401" t="s">
        <v>12898</v>
      </c>
      <c r="L3401" t="s">
        <v>12899</v>
      </c>
    </row>
    <row r="3402" spans="1:12">
      <c r="A3402" t="s">
        <v>12902</v>
      </c>
      <c r="B3402" s="1" t="s">
        <v>12897</v>
      </c>
      <c r="F3402">
        <v>1</v>
      </c>
      <c r="G3402" t="str">
        <f>HYPERLINK("http://babel.hathitrust.org/cgi/pt?id=uc2.ark:/13960/t1pg1jn0m")</f>
        <v>http://babel.hathitrust.org/cgi/pt?id=uc2.ark:/13960/t1pg1jn0m</v>
      </c>
      <c r="H3402" t="str">
        <f>HYPERLINK("http://catalog.hathitrust.org/Record/006506860")</f>
        <v>http://catalog.hathitrust.org/Record/006506860</v>
      </c>
      <c r="J3402" s="1">
        <v>1865</v>
      </c>
      <c r="K3402" t="s">
        <v>12898</v>
      </c>
      <c r="L3402" t="s">
        <v>12899</v>
      </c>
    </row>
    <row r="3403" spans="1:12">
      <c r="A3403" t="s">
        <v>12903</v>
      </c>
      <c r="B3403" s="1" t="s">
        <v>12904</v>
      </c>
      <c r="F3403">
        <v>1</v>
      </c>
      <c r="G3403" t="str">
        <f>HYPERLINK("http://babel.hathitrust.org/cgi/pt?id=uc1.b257440")</f>
        <v>http://babel.hathitrust.org/cgi/pt?id=uc1.b257440</v>
      </c>
      <c r="H3403" t="str">
        <f>HYPERLINK("http://catalog.hathitrust.org/Record/006506950")</f>
        <v>http://catalog.hathitrust.org/Record/006506950</v>
      </c>
      <c r="J3403" s="1">
        <v>1920</v>
      </c>
      <c r="K3403" t="s">
        <v>12905</v>
      </c>
      <c r="L3403" t="s">
        <v>17281</v>
      </c>
    </row>
    <row r="3404" spans="1:12">
      <c r="A3404" t="s">
        <v>12906</v>
      </c>
      <c r="B3404" s="1" t="s">
        <v>12907</v>
      </c>
      <c r="F3404">
        <v>1</v>
      </c>
      <c r="G3404" t="str">
        <f>HYPERLINK("http://babel.hathitrust.org/cgi/pt?id=uc1.b257552")</f>
        <v>http://babel.hathitrust.org/cgi/pt?id=uc1.b257552</v>
      </c>
      <c r="H3404" t="str">
        <f>HYPERLINK("http://catalog.hathitrust.org/Record/006507013")</f>
        <v>http://catalog.hathitrust.org/Record/006507013</v>
      </c>
      <c r="J3404" s="1">
        <v>1922</v>
      </c>
      <c r="K3404" t="s">
        <v>12908</v>
      </c>
      <c r="L3404" t="s">
        <v>16396</v>
      </c>
    </row>
    <row r="3405" spans="1:12">
      <c r="A3405" t="s">
        <v>12909</v>
      </c>
      <c r="B3405" s="1" t="s">
        <v>12907</v>
      </c>
      <c r="F3405">
        <v>1</v>
      </c>
      <c r="G3405" t="str">
        <f>HYPERLINK("http://babel.hathitrust.org/cgi/pt?id=uc2.ark:/13960/t22b8z09c")</f>
        <v>http://babel.hathitrust.org/cgi/pt?id=uc2.ark:/13960/t22b8z09c</v>
      </c>
      <c r="H3405" t="str">
        <f>HYPERLINK("http://catalog.hathitrust.org/Record/006507013")</f>
        <v>http://catalog.hathitrust.org/Record/006507013</v>
      </c>
      <c r="J3405" s="1">
        <v>1922</v>
      </c>
      <c r="K3405" t="s">
        <v>12908</v>
      </c>
      <c r="L3405" t="s">
        <v>16396</v>
      </c>
    </row>
    <row r="3406" spans="1:12">
      <c r="A3406" t="s">
        <v>12910</v>
      </c>
      <c r="B3406" s="1" t="s">
        <v>12911</v>
      </c>
      <c r="F3406">
        <v>1</v>
      </c>
      <c r="G3406" t="str">
        <f>HYPERLINK("http://babel.hathitrust.org/cgi/pt?id=njp.32101067682672")</f>
        <v>http://babel.hathitrust.org/cgi/pt?id=njp.32101067682672</v>
      </c>
      <c r="H3406" t="str">
        <f>HYPERLINK("http://catalog.hathitrust.org/Record/006507014")</f>
        <v>http://catalog.hathitrust.org/Record/006507014</v>
      </c>
      <c r="J3406" s="1">
        <v>1904</v>
      </c>
      <c r="K3406" t="s">
        <v>12912</v>
      </c>
      <c r="L3406" t="s">
        <v>12913</v>
      </c>
    </row>
    <row r="3407" spans="1:12">
      <c r="A3407" t="s">
        <v>12914</v>
      </c>
      <c r="B3407" s="1" t="s">
        <v>12911</v>
      </c>
      <c r="F3407">
        <v>1</v>
      </c>
      <c r="G3407" t="str">
        <f>HYPERLINK("http://babel.hathitrust.org/cgi/pt?id=uc1.b257554")</f>
        <v>http://babel.hathitrust.org/cgi/pt?id=uc1.b257554</v>
      </c>
      <c r="H3407" t="str">
        <f>HYPERLINK("http://catalog.hathitrust.org/Record/006507014")</f>
        <v>http://catalog.hathitrust.org/Record/006507014</v>
      </c>
      <c r="J3407" s="1">
        <v>1904</v>
      </c>
      <c r="K3407" t="s">
        <v>12912</v>
      </c>
      <c r="L3407" t="s">
        <v>12913</v>
      </c>
    </row>
    <row r="3408" spans="1:12">
      <c r="A3408" t="s">
        <v>12915</v>
      </c>
      <c r="B3408" s="1" t="s">
        <v>12916</v>
      </c>
      <c r="F3408">
        <v>1</v>
      </c>
      <c r="G3408" t="str">
        <f>HYPERLINK("http://babel.hathitrust.org/cgi/pt?id=uc1.b257560")</f>
        <v>http://babel.hathitrust.org/cgi/pt?id=uc1.b257560</v>
      </c>
      <c r="H3408" t="str">
        <f>HYPERLINK("http://catalog.hathitrust.org/Record/006507016")</f>
        <v>http://catalog.hathitrust.org/Record/006507016</v>
      </c>
      <c r="J3408" s="1">
        <v>1909</v>
      </c>
      <c r="K3408" t="s">
        <v>12917</v>
      </c>
      <c r="L3408" t="s">
        <v>16360</v>
      </c>
    </row>
    <row r="3409" spans="1:12">
      <c r="A3409" t="s">
        <v>12918</v>
      </c>
      <c r="B3409" s="1" t="s">
        <v>12916</v>
      </c>
      <c r="F3409">
        <v>1</v>
      </c>
      <c r="G3409" t="str">
        <f>HYPERLINK("http://babel.hathitrust.org/cgi/pt?id=uc2.ark:/13960/t5k93cr03")</f>
        <v>http://babel.hathitrust.org/cgi/pt?id=uc2.ark:/13960/t5k93cr03</v>
      </c>
      <c r="H3409" t="str">
        <f>HYPERLINK("http://catalog.hathitrust.org/Record/006507016")</f>
        <v>http://catalog.hathitrust.org/Record/006507016</v>
      </c>
      <c r="J3409" s="1">
        <v>1909</v>
      </c>
      <c r="K3409" t="s">
        <v>12917</v>
      </c>
      <c r="L3409" t="s">
        <v>16360</v>
      </c>
    </row>
    <row r="3410" spans="1:12">
      <c r="A3410" t="s">
        <v>12919</v>
      </c>
      <c r="B3410" s="1" t="s">
        <v>12920</v>
      </c>
      <c r="F3410">
        <v>1</v>
      </c>
      <c r="G3410" t="str">
        <f>HYPERLINK("http://babel.hathitrust.org/cgi/pt?id=uc1.b257570")</f>
        <v>http://babel.hathitrust.org/cgi/pt?id=uc1.b257570</v>
      </c>
      <c r="H3410" t="str">
        <f>HYPERLINK("http://catalog.hathitrust.org/Record/006507020")</f>
        <v>http://catalog.hathitrust.org/Record/006507020</v>
      </c>
      <c r="J3410" s="1">
        <v>1919</v>
      </c>
      <c r="K3410" t="s">
        <v>12921</v>
      </c>
      <c r="L3410" t="s">
        <v>12922</v>
      </c>
    </row>
    <row r="3411" spans="1:12">
      <c r="A3411" t="s">
        <v>12923</v>
      </c>
      <c r="B3411" s="1" t="s">
        <v>12920</v>
      </c>
      <c r="F3411">
        <v>1</v>
      </c>
      <c r="G3411" t="str">
        <f>HYPERLINK("http://babel.hathitrust.org/cgi/pt?id=uc2.ark:/13960/t5r788g5f")</f>
        <v>http://babel.hathitrust.org/cgi/pt?id=uc2.ark:/13960/t5r788g5f</v>
      </c>
      <c r="H3411" t="str">
        <f>HYPERLINK("http://catalog.hathitrust.org/Record/006507020")</f>
        <v>http://catalog.hathitrust.org/Record/006507020</v>
      </c>
      <c r="J3411" s="1">
        <v>1919</v>
      </c>
      <c r="K3411" t="s">
        <v>12921</v>
      </c>
      <c r="L3411" t="s">
        <v>12922</v>
      </c>
    </row>
    <row r="3412" spans="1:12">
      <c r="A3412" t="s">
        <v>12924</v>
      </c>
      <c r="B3412" s="1" t="s">
        <v>12925</v>
      </c>
      <c r="F3412">
        <v>1</v>
      </c>
      <c r="G3412" t="str">
        <f>HYPERLINK("http://babel.hathitrust.org/cgi/pt?id=uc1.b257577")</f>
        <v>http://babel.hathitrust.org/cgi/pt?id=uc1.b257577</v>
      </c>
      <c r="H3412" t="str">
        <f>HYPERLINK("http://catalog.hathitrust.org/Record/006507024")</f>
        <v>http://catalog.hathitrust.org/Record/006507024</v>
      </c>
      <c r="J3412" s="1">
        <v>1873</v>
      </c>
      <c r="K3412" t="s">
        <v>12926</v>
      </c>
    </row>
    <row r="3413" spans="1:12">
      <c r="A3413" t="s">
        <v>12927</v>
      </c>
      <c r="B3413" s="1" t="s">
        <v>12925</v>
      </c>
      <c r="F3413">
        <v>1</v>
      </c>
      <c r="G3413" t="str">
        <f>HYPERLINK("http://babel.hathitrust.org/cgi/pt?id=uc2.ark:/13960/t7pn91c5n")</f>
        <v>http://babel.hathitrust.org/cgi/pt?id=uc2.ark:/13960/t7pn91c5n</v>
      </c>
      <c r="H3413" t="str">
        <f>HYPERLINK("http://catalog.hathitrust.org/Record/006507024")</f>
        <v>http://catalog.hathitrust.org/Record/006507024</v>
      </c>
      <c r="J3413" s="1">
        <v>1873</v>
      </c>
      <c r="K3413" t="s">
        <v>12926</v>
      </c>
    </row>
    <row r="3414" spans="1:12">
      <c r="A3414" t="s">
        <v>12928</v>
      </c>
      <c r="B3414" s="1" t="s">
        <v>12929</v>
      </c>
      <c r="F3414">
        <v>1</v>
      </c>
      <c r="G3414" t="str">
        <f>HYPERLINK("http://babel.hathitrust.org/cgi/pt?id=uc1.b257581")</f>
        <v>http://babel.hathitrust.org/cgi/pt?id=uc1.b257581</v>
      </c>
      <c r="H3414" t="str">
        <f>HYPERLINK("http://catalog.hathitrust.org/Record/006507025")</f>
        <v>http://catalog.hathitrust.org/Record/006507025</v>
      </c>
      <c r="J3414" s="1">
        <v>1918</v>
      </c>
      <c r="K3414" t="s">
        <v>12811</v>
      </c>
      <c r="L3414" t="s">
        <v>12812</v>
      </c>
    </row>
    <row r="3415" spans="1:12">
      <c r="A3415" t="s">
        <v>12813</v>
      </c>
      <c r="B3415" s="1" t="s">
        <v>12929</v>
      </c>
      <c r="F3415">
        <v>1</v>
      </c>
      <c r="G3415" t="str">
        <f>HYPERLINK("http://babel.hathitrust.org/cgi/pt?id=uc2.ark:/13960/t0ft8h175")</f>
        <v>http://babel.hathitrust.org/cgi/pt?id=uc2.ark:/13960/t0ft8h175</v>
      </c>
      <c r="H3415" t="str">
        <f>HYPERLINK("http://catalog.hathitrust.org/Record/006507025")</f>
        <v>http://catalog.hathitrust.org/Record/006507025</v>
      </c>
      <c r="J3415" s="1">
        <v>1918</v>
      </c>
      <c r="K3415" t="s">
        <v>12811</v>
      </c>
      <c r="L3415" t="s">
        <v>12812</v>
      </c>
    </row>
    <row r="3416" spans="1:12">
      <c r="A3416" t="s">
        <v>12814</v>
      </c>
      <c r="B3416" s="1" t="s">
        <v>12815</v>
      </c>
      <c r="E3416">
        <v>1</v>
      </c>
      <c r="F3416">
        <v>1</v>
      </c>
      <c r="G3416" t="str">
        <f>HYPERLINK("http://babel.hathitrust.org/cgi/pt?id=uc1.b257607")</f>
        <v>http://babel.hathitrust.org/cgi/pt?id=uc1.b257607</v>
      </c>
      <c r="H3416" t="str">
        <f>HYPERLINK("http://catalog.hathitrust.org/Record/006507035")</f>
        <v>http://catalog.hathitrust.org/Record/006507035</v>
      </c>
      <c r="J3416" s="1">
        <v>1872</v>
      </c>
      <c r="K3416" t="s">
        <v>12816</v>
      </c>
      <c r="L3416" t="s">
        <v>12817</v>
      </c>
    </row>
    <row r="3417" spans="1:12">
      <c r="A3417" t="s">
        <v>12818</v>
      </c>
      <c r="B3417" s="1" t="s">
        <v>12815</v>
      </c>
      <c r="F3417">
        <v>1</v>
      </c>
      <c r="G3417" t="str">
        <f>HYPERLINK("http://babel.hathitrust.org/cgi/pt?id=uc1.b307012")</f>
        <v>http://babel.hathitrust.org/cgi/pt?id=uc1.b307012</v>
      </c>
      <c r="H3417" t="str">
        <f>HYPERLINK("http://catalog.hathitrust.org/Record/006507035")</f>
        <v>http://catalog.hathitrust.org/Record/006507035</v>
      </c>
      <c r="J3417" s="1">
        <v>1872</v>
      </c>
      <c r="K3417" t="s">
        <v>12816</v>
      </c>
      <c r="L3417" t="s">
        <v>12817</v>
      </c>
    </row>
    <row r="3418" spans="1:12">
      <c r="A3418" t="s">
        <v>12819</v>
      </c>
      <c r="B3418" s="1" t="s">
        <v>12815</v>
      </c>
      <c r="F3418">
        <v>1</v>
      </c>
      <c r="G3418" t="str">
        <f>HYPERLINK("http://babel.hathitrust.org/cgi/pt?id=uc2.ark:/13960/t56d5s627")</f>
        <v>http://babel.hathitrust.org/cgi/pt?id=uc2.ark:/13960/t56d5s627</v>
      </c>
      <c r="H3418" t="str">
        <f>HYPERLINK("http://catalog.hathitrust.org/Record/006507035")</f>
        <v>http://catalog.hathitrust.org/Record/006507035</v>
      </c>
      <c r="J3418" s="1">
        <v>1872</v>
      </c>
      <c r="K3418" t="s">
        <v>12816</v>
      </c>
      <c r="L3418" t="s">
        <v>12817</v>
      </c>
    </row>
    <row r="3419" spans="1:12">
      <c r="A3419" t="s">
        <v>12820</v>
      </c>
      <c r="B3419" s="1" t="s">
        <v>12821</v>
      </c>
      <c r="E3419">
        <v>1</v>
      </c>
      <c r="F3419">
        <v>1</v>
      </c>
      <c r="G3419" t="str">
        <f>HYPERLINK("http://babel.hathitrust.org/cgi/pt?id=uc1.b257609")</f>
        <v>http://babel.hathitrust.org/cgi/pt?id=uc1.b257609</v>
      </c>
      <c r="H3419" t="str">
        <f>HYPERLINK("http://catalog.hathitrust.org/Record/006507036")</f>
        <v>http://catalog.hathitrust.org/Record/006507036</v>
      </c>
      <c r="J3419" s="1">
        <v>1874</v>
      </c>
      <c r="K3419" t="s">
        <v>12822</v>
      </c>
      <c r="L3419" t="s">
        <v>12817</v>
      </c>
    </row>
    <row r="3420" spans="1:12">
      <c r="A3420" t="s">
        <v>12823</v>
      </c>
      <c r="B3420" s="1" t="s">
        <v>12821</v>
      </c>
      <c r="F3420">
        <v>1</v>
      </c>
      <c r="G3420" t="str">
        <f>HYPERLINK("http://babel.hathitrust.org/cgi/pt?id=uc1.b307013")</f>
        <v>http://babel.hathitrust.org/cgi/pt?id=uc1.b307013</v>
      </c>
      <c r="H3420" t="str">
        <f>HYPERLINK("http://catalog.hathitrust.org/Record/006507036")</f>
        <v>http://catalog.hathitrust.org/Record/006507036</v>
      </c>
      <c r="J3420" s="1">
        <v>1874</v>
      </c>
      <c r="K3420" t="s">
        <v>12822</v>
      </c>
      <c r="L3420" t="s">
        <v>12817</v>
      </c>
    </row>
    <row r="3421" spans="1:12">
      <c r="A3421" t="s">
        <v>12824</v>
      </c>
      <c r="B3421" s="1" t="s">
        <v>12821</v>
      </c>
      <c r="F3421">
        <v>1</v>
      </c>
      <c r="G3421" t="str">
        <f>HYPERLINK("http://babel.hathitrust.org/cgi/pt?id=uc2.ark:/13960/t85h7fw3v")</f>
        <v>http://babel.hathitrust.org/cgi/pt?id=uc2.ark:/13960/t85h7fw3v</v>
      </c>
      <c r="H3421" t="str">
        <f>HYPERLINK("http://catalog.hathitrust.org/Record/006507036")</f>
        <v>http://catalog.hathitrust.org/Record/006507036</v>
      </c>
      <c r="J3421" s="1">
        <v>1874</v>
      </c>
      <c r="K3421" t="s">
        <v>12822</v>
      </c>
      <c r="L3421" t="s">
        <v>12817</v>
      </c>
    </row>
    <row r="3422" spans="1:12">
      <c r="A3422" t="s">
        <v>12825</v>
      </c>
      <c r="B3422" s="1" t="s">
        <v>12826</v>
      </c>
      <c r="F3422">
        <v>1</v>
      </c>
      <c r="G3422" t="str">
        <f>HYPERLINK("http://babel.hathitrust.org/cgi/pt?id=uc1.b257610")</f>
        <v>http://babel.hathitrust.org/cgi/pt?id=uc1.b257610</v>
      </c>
      <c r="H3422" t="str">
        <f>HYPERLINK("http://catalog.hathitrust.org/Record/006507037")</f>
        <v>http://catalog.hathitrust.org/Record/006507037</v>
      </c>
      <c r="J3422" s="1">
        <v>1886</v>
      </c>
      <c r="K3422" t="s">
        <v>12827</v>
      </c>
      <c r="L3422" t="s">
        <v>12828</v>
      </c>
    </row>
    <row r="3423" spans="1:12">
      <c r="A3423" t="s">
        <v>12829</v>
      </c>
      <c r="B3423" s="1" t="s">
        <v>12826</v>
      </c>
      <c r="F3423">
        <v>1</v>
      </c>
      <c r="G3423" t="str">
        <f>HYPERLINK("http://babel.hathitrust.org/cgi/pt?id=uc1.b307017")</f>
        <v>http://babel.hathitrust.org/cgi/pt?id=uc1.b307017</v>
      </c>
      <c r="H3423" t="str">
        <f>HYPERLINK("http://catalog.hathitrust.org/Record/006507037")</f>
        <v>http://catalog.hathitrust.org/Record/006507037</v>
      </c>
      <c r="J3423" s="1">
        <v>1886</v>
      </c>
      <c r="K3423" t="s">
        <v>12827</v>
      </c>
      <c r="L3423" t="s">
        <v>12828</v>
      </c>
    </row>
    <row r="3424" spans="1:12">
      <c r="A3424" t="s">
        <v>12830</v>
      </c>
      <c r="B3424" s="1" t="s">
        <v>12826</v>
      </c>
      <c r="F3424">
        <v>1</v>
      </c>
      <c r="G3424" t="str">
        <f>HYPERLINK("http://babel.hathitrust.org/cgi/pt?id=uc2.ark:/13960/t82j6c66j")</f>
        <v>http://babel.hathitrust.org/cgi/pt?id=uc2.ark:/13960/t82j6c66j</v>
      </c>
      <c r="H3424" t="str">
        <f>HYPERLINK("http://catalog.hathitrust.org/Record/006507037")</f>
        <v>http://catalog.hathitrust.org/Record/006507037</v>
      </c>
      <c r="J3424" s="1">
        <v>1886</v>
      </c>
      <c r="K3424" t="s">
        <v>12827</v>
      </c>
      <c r="L3424" t="s">
        <v>12828</v>
      </c>
    </row>
    <row r="3425" spans="1:12">
      <c r="A3425" t="s">
        <v>12831</v>
      </c>
      <c r="B3425" s="1" t="s">
        <v>12832</v>
      </c>
      <c r="F3425">
        <v>1</v>
      </c>
      <c r="G3425" t="str">
        <f>HYPERLINK("http://babel.hathitrust.org/cgi/pt?id=uc1.b257614")</f>
        <v>http://babel.hathitrust.org/cgi/pt?id=uc1.b257614</v>
      </c>
      <c r="H3425" t="str">
        <f>HYPERLINK("http://catalog.hathitrust.org/Record/006507039")</f>
        <v>http://catalog.hathitrust.org/Record/006507039</v>
      </c>
      <c r="J3425" s="1">
        <v>1912</v>
      </c>
      <c r="K3425" t="s">
        <v>16438</v>
      </c>
      <c r="L3425" t="s">
        <v>12833</v>
      </c>
    </row>
    <row r="3426" spans="1:12">
      <c r="A3426" t="s">
        <v>12834</v>
      </c>
      <c r="B3426" s="1" t="s">
        <v>12832</v>
      </c>
      <c r="F3426">
        <v>1</v>
      </c>
      <c r="G3426" t="str">
        <f>HYPERLINK("http://babel.hathitrust.org/cgi/pt?id=uc2.ark:/13960/t42r3rq0r")</f>
        <v>http://babel.hathitrust.org/cgi/pt?id=uc2.ark:/13960/t42r3rq0r</v>
      </c>
      <c r="H3426" t="str">
        <f>HYPERLINK("http://catalog.hathitrust.org/Record/006507039")</f>
        <v>http://catalog.hathitrust.org/Record/006507039</v>
      </c>
      <c r="J3426" s="1">
        <v>1912</v>
      </c>
      <c r="K3426" t="s">
        <v>16438</v>
      </c>
      <c r="L3426" t="s">
        <v>12833</v>
      </c>
    </row>
    <row r="3427" spans="1:12">
      <c r="A3427" t="s">
        <v>12835</v>
      </c>
      <c r="B3427" s="1" t="s">
        <v>12836</v>
      </c>
      <c r="E3427">
        <v>1</v>
      </c>
      <c r="F3427">
        <v>1</v>
      </c>
      <c r="G3427" t="str">
        <f>HYPERLINK("http://babel.hathitrust.org/cgi/pt?id=uc1.b257619")</f>
        <v>http://babel.hathitrust.org/cgi/pt?id=uc1.b257619</v>
      </c>
      <c r="H3427" t="str">
        <f>HYPERLINK("http://catalog.hathitrust.org/Record/006507041")</f>
        <v>http://catalog.hathitrust.org/Record/006507041</v>
      </c>
      <c r="J3427" s="1">
        <v>1929</v>
      </c>
      <c r="K3427" t="s">
        <v>12837</v>
      </c>
      <c r="L3427" t="s">
        <v>15541</v>
      </c>
    </row>
    <row r="3428" spans="1:12">
      <c r="A3428" t="s">
        <v>12838</v>
      </c>
      <c r="B3428" s="1" t="s">
        <v>12839</v>
      </c>
      <c r="F3428">
        <v>1</v>
      </c>
      <c r="G3428" t="str">
        <f>HYPERLINK("http://babel.hathitrust.org/cgi/pt?id=uc1.b257622")</f>
        <v>http://babel.hathitrust.org/cgi/pt?id=uc1.b257622</v>
      </c>
      <c r="H3428" t="str">
        <f>HYPERLINK("http://catalog.hathitrust.org/Record/006507043")</f>
        <v>http://catalog.hathitrust.org/Record/006507043</v>
      </c>
      <c r="J3428" s="1">
        <v>1916</v>
      </c>
      <c r="K3428" t="s">
        <v>12840</v>
      </c>
      <c r="L3428" t="s">
        <v>18266</v>
      </c>
    </row>
    <row r="3429" spans="1:12">
      <c r="A3429" t="s">
        <v>12841</v>
      </c>
      <c r="B3429" s="1" t="s">
        <v>12842</v>
      </c>
      <c r="F3429">
        <v>1</v>
      </c>
      <c r="G3429" t="str">
        <f>HYPERLINK("http://babel.hathitrust.org/cgi/pt?id=uc1.b257632")</f>
        <v>http://babel.hathitrust.org/cgi/pt?id=uc1.b257632</v>
      </c>
      <c r="H3429" t="str">
        <f>HYPERLINK("http://catalog.hathitrust.org/Record/006507050")</f>
        <v>http://catalog.hathitrust.org/Record/006507050</v>
      </c>
      <c r="J3429" s="1">
        <v>1914</v>
      </c>
      <c r="K3429" t="s">
        <v>12843</v>
      </c>
      <c r="L3429" t="s">
        <v>12844</v>
      </c>
    </row>
    <row r="3430" spans="1:12">
      <c r="A3430" t="s">
        <v>12845</v>
      </c>
      <c r="B3430" s="1" t="s">
        <v>12842</v>
      </c>
      <c r="F3430">
        <v>1</v>
      </c>
      <c r="G3430" t="str">
        <f>HYPERLINK("http://babel.hathitrust.org/cgi/pt?id=uc1.b307118")</f>
        <v>http://babel.hathitrust.org/cgi/pt?id=uc1.b307118</v>
      </c>
      <c r="H3430" t="str">
        <f>HYPERLINK("http://catalog.hathitrust.org/Record/006507050")</f>
        <v>http://catalog.hathitrust.org/Record/006507050</v>
      </c>
      <c r="J3430" s="1">
        <v>1914</v>
      </c>
      <c r="K3430" t="s">
        <v>12843</v>
      </c>
      <c r="L3430" t="s">
        <v>12844</v>
      </c>
    </row>
    <row r="3431" spans="1:12">
      <c r="A3431" t="s">
        <v>12846</v>
      </c>
      <c r="B3431" s="1" t="s">
        <v>12842</v>
      </c>
      <c r="F3431">
        <v>1</v>
      </c>
      <c r="G3431" t="str">
        <f>HYPERLINK("http://babel.hathitrust.org/cgi/pt?id=uc2.ark:/13960/t15m64t10")</f>
        <v>http://babel.hathitrust.org/cgi/pt?id=uc2.ark:/13960/t15m64t10</v>
      </c>
      <c r="H3431" t="str">
        <f>HYPERLINK("http://catalog.hathitrust.org/Record/006507050")</f>
        <v>http://catalog.hathitrust.org/Record/006507050</v>
      </c>
      <c r="J3431" s="1">
        <v>1914</v>
      </c>
      <c r="K3431" t="s">
        <v>12843</v>
      </c>
      <c r="L3431" t="s">
        <v>12844</v>
      </c>
    </row>
    <row r="3432" spans="1:12">
      <c r="A3432" t="s">
        <v>12847</v>
      </c>
      <c r="B3432" s="1" t="s">
        <v>12848</v>
      </c>
      <c r="F3432">
        <v>1</v>
      </c>
      <c r="G3432" t="str">
        <f>HYPERLINK("http://babel.hathitrust.org/cgi/pt?id=uc1.b257633")</f>
        <v>http://babel.hathitrust.org/cgi/pt?id=uc1.b257633</v>
      </c>
      <c r="H3432" t="str">
        <f>HYPERLINK("http://catalog.hathitrust.org/Record/006507051")</f>
        <v>http://catalog.hathitrust.org/Record/006507051</v>
      </c>
      <c r="J3432" s="1">
        <v>1911</v>
      </c>
      <c r="K3432" t="s">
        <v>12849</v>
      </c>
      <c r="L3432" t="s">
        <v>12850</v>
      </c>
    </row>
    <row r="3433" spans="1:12">
      <c r="A3433" t="s">
        <v>12851</v>
      </c>
      <c r="B3433" s="1" t="s">
        <v>12848</v>
      </c>
      <c r="F3433">
        <v>1</v>
      </c>
      <c r="G3433" t="str">
        <f>HYPERLINK("http://babel.hathitrust.org/cgi/pt?id=uc2.ark:/13960/t7xk87m99")</f>
        <v>http://babel.hathitrust.org/cgi/pt?id=uc2.ark:/13960/t7xk87m99</v>
      </c>
      <c r="H3433" t="str">
        <f>HYPERLINK("http://catalog.hathitrust.org/Record/006507051")</f>
        <v>http://catalog.hathitrust.org/Record/006507051</v>
      </c>
      <c r="J3433" s="1">
        <v>1911</v>
      </c>
      <c r="K3433" t="s">
        <v>12849</v>
      </c>
      <c r="L3433" t="s">
        <v>12850</v>
      </c>
    </row>
    <row r="3434" spans="1:12">
      <c r="A3434" t="s">
        <v>12852</v>
      </c>
      <c r="B3434" s="1" t="s">
        <v>12853</v>
      </c>
      <c r="E3434">
        <v>1</v>
      </c>
      <c r="G3434" t="str">
        <f>HYPERLINK("http://babel.hathitrust.org/cgi/pt?id=uc1.b257657")</f>
        <v>http://babel.hathitrust.org/cgi/pt?id=uc1.b257657</v>
      </c>
      <c r="H3434" t="str">
        <f>HYPERLINK("http://catalog.hathitrust.org/Record/006507061")</f>
        <v>http://catalog.hathitrust.org/Record/006507061</v>
      </c>
      <c r="J3434" s="1">
        <v>1913</v>
      </c>
      <c r="K3434" t="s">
        <v>12854</v>
      </c>
      <c r="L3434" t="s">
        <v>12855</v>
      </c>
    </row>
    <row r="3435" spans="1:12">
      <c r="A3435" t="s">
        <v>12856</v>
      </c>
      <c r="B3435" s="1" t="s">
        <v>12857</v>
      </c>
      <c r="F3435">
        <v>1</v>
      </c>
      <c r="G3435" t="str">
        <f>HYPERLINK("http://babel.hathitrust.org/cgi/pt?id=uc1.b257660")</f>
        <v>http://babel.hathitrust.org/cgi/pt?id=uc1.b257660</v>
      </c>
      <c r="H3435" t="str">
        <f>HYPERLINK("http://catalog.hathitrust.org/Record/006507063")</f>
        <v>http://catalog.hathitrust.org/Record/006507063</v>
      </c>
      <c r="J3435" s="1">
        <v>1905</v>
      </c>
      <c r="K3435" t="s">
        <v>12858</v>
      </c>
      <c r="L3435" t="s">
        <v>12859</v>
      </c>
    </row>
    <row r="3436" spans="1:12">
      <c r="A3436" t="s">
        <v>12860</v>
      </c>
      <c r="B3436" s="1" t="s">
        <v>12857</v>
      </c>
      <c r="F3436">
        <v>1</v>
      </c>
      <c r="G3436" t="str">
        <f>HYPERLINK("http://babel.hathitrust.org/cgi/pt?id=uc2.ark:/13960/t2b85652s")</f>
        <v>http://babel.hathitrust.org/cgi/pt?id=uc2.ark:/13960/t2b85652s</v>
      </c>
      <c r="H3436" t="str">
        <f>HYPERLINK("http://catalog.hathitrust.org/Record/006507063")</f>
        <v>http://catalog.hathitrust.org/Record/006507063</v>
      </c>
      <c r="J3436" s="1">
        <v>1905</v>
      </c>
      <c r="K3436" t="s">
        <v>12858</v>
      </c>
      <c r="L3436" t="s">
        <v>12859</v>
      </c>
    </row>
    <row r="3437" spans="1:12">
      <c r="A3437" t="s">
        <v>12861</v>
      </c>
      <c r="B3437" s="1" t="s">
        <v>12862</v>
      </c>
      <c r="E3437">
        <v>1</v>
      </c>
      <c r="F3437">
        <v>1</v>
      </c>
      <c r="G3437" t="str">
        <f>HYPERLINK("http://babel.hathitrust.org/cgi/pt?id=uc1.b257666")</f>
        <v>http://babel.hathitrust.org/cgi/pt?id=uc1.b257666</v>
      </c>
      <c r="H3437" t="str">
        <f>HYPERLINK("http://catalog.hathitrust.org/Record/006507066")</f>
        <v>http://catalog.hathitrust.org/Record/006507066</v>
      </c>
      <c r="J3437" s="1">
        <v>1875</v>
      </c>
      <c r="K3437" t="s">
        <v>12863</v>
      </c>
      <c r="L3437" t="s">
        <v>19442</v>
      </c>
    </row>
    <row r="3438" spans="1:12">
      <c r="A3438" t="s">
        <v>12864</v>
      </c>
      <c r="B3438" s="1" t="s">
        <v>12865</v>
      </c>
      <c r="E3438">
        <v>1</v>
      </c>
      <c r="F3438">
        <v>1</v>
      </c>
      <c r="G3438" t="str">
        <f>HYPERLINK("http://babel.hathitrust.org/cgi/pt?id=nyp.33433082310818")</f>
        <v>http://babel.hathitrust.org/cgi/pt?id=nyp.33433082310818</v>
      </c>
      <c r="H3438" t="str">
        <f>HYPERLINK("http://catalog.hathitrust.org/Record/006507067")</f>
        <v>http://catalog.hathitrust.org/Record/006507067</v>
      </c>
      <c r="J3438" s="1">
        <v>1852</v>
      </c>
      <c r="K3438" t="s">
        <v>13527</v>
      </c>
      <c r="L3438" t="s">
        <v>19446</v>
      </c>
    </row>
    <row r="3439" spans="1:12">
      <c r="A3439" t="s">
        <v>12866</v>
      </c>
      <c r="B3439" s="1" t="s">
        <v>12865</v>
      </c>
      <c r="F3439">
        <v>1</v>
      </c>
      <c r="G3439" t="str">
        <f>HYPERLINK("http://babel.hathitrust.org/cgi/pt?id=uc1.b257667")</f>
        <v>http://babel.hathitrust.org/cgi/pt?id=uc1.b257667</v>
      </c>
      <c r="H3439" t="str">
        <f>HYPERLINK("http://catalog.hathitrust.org/Record/006507067")</f>
        <v>http://catalog.hathitrust.org/Record/006507067</v>
      </c>
      <c r="J3439" s="1">
        <v>1852</v>
      </c>
      <c r="K3439" t="s">
        <v>13527</v>
      </c>
      <c r="L3439" t="s">
        <v>19446</v>
      </c>
    </row>
    <row r="3440" spans="1:12">
      <c r="A3440" t="s">
        <v>12867</v>
      </c>
      <c r="B3440" s="1" t="s">
        <v>12865</v>
      </c>
      <c r="F3440">
        <v>1</v>
      </c>
      <c r="G3440" t="str">
        <f>HYPERLINK("http://babel.hathitrust.org/cgi/pt?id=uc2.ark:/13960/t6f18wb22")</f>
        <v>http://babel.hathitrust.org/cgi/pt?id=uc2.ark:/13960/t6f18wb22</v>
      </c>
      <c r="H3440" t="str">
        <f>HYPERLINK("http://catalog.hathitrust.org/Record/006507067")</f>
        <v>http://catalog.hathitrust.org/Record/006507067</v>
      </c>
      <c r="J3440" s="1">
        <v>1852</v>
      </c>
      <c r="K3440" t="s">
        <v>13527</v>
      </c>
      <c r="L3440" t="s">
        <v>19446</v>
      </c>
    </row>
    <row r="3441" spans="1:12">
      <c r="A3441" t="s">
        <v>12868</v>
      </c>
      <c r="B3441" s="1" t="s">
        <v>12766</v>
      </c>
      <c r="F3441">
        <v>1</v>
      </c>
      <c r="G3441" t="str">
        <f>HYPERLINK("http://babel.hathitrust.org/cgi/pt?id=uc1.b257669")</f>
        <v>http://babel.hathitrust.org/cgi/pt?id=uc1.b257669</v>
      </c>
      <c r="H3441" t="str">
        <f>HYPERLINK("http://catalog.hathitrust.org/Record/006507068")</f>
        <v>http://catalog.hathitrust.org/Record/006507068</v>
      </c>
      <c r="J3441" s="1">
        <v>1891</v>
      </c>
      <c r="K3441" t="s">
        <v>12767</v>
      </c>
      <c r="L3441" t="s">
        <v>12768</v>
      </c>
    </row>
    <row r="3442" spans="1:12">
      <c r="A3442" t="s">
        <v>12769</v>
      </c>
      <c r="B3442" s="1" t="s">
        <v>12766</v>
      </c>
      <c r="F3442">
        <v>1</v>
      </c>
      <c r="G3442" t="str">
        <f>HYPERLINK("http://babel.hathitrust.org/cgi/pt?id=uc1.b306980")</f>
        <v>http://babel.hathitrust.org/cgi/pt?id=uc1.b306980</v>
      </c>
      <c r="H3442" t="str">
        <f>HYPERLINK("http://catalog.hathitrust.org/Record/006507068")</f>
        <v>http://catalog.hathitrust.org/Record/006507068</v>
      </c>
      <c r="J3442" s="1">
        <v>1891</v>
      </c>
      <c r="K3442" t="s">
        <v>12767</v>
      </c>
      <c r="L3442" t="s">
        <v>12768</v>
      </c>
    </row>
    <row r="3443" spans="1:12">
      <c r="A3443" t="s">
        <v>12770</v>
      </c>
      <c r="B3443" s="1" t="s">
        <v>12766</v>
      </c>
      <c r="F3443">
        <v>1</v>
      </c>
      <c r="G3443" t="str">
        <f>HYPERLINK("http://babel.hathitrust.org/cgi/pt?id=uc2.ark:/13960/t9n29s887")</f>
        <v>http://babel.hathitrust.org/cgi/pt?id=uc2.ark:/13960/t9n29s887</v>
      </c>
      <c r="H3443" t="str">
        <f>HYPERLINK("http://catalog.hathitrust.org/Record/006507068")</f>
        <v>http://catalog.hathitrust.org/Record/006507068</v>
      </c>
      <c r="J3443" s="1">
        <v>1891</v>
      </c>
      <c r="K3443" t="s">
        <v>12767</v>
      </c>
      <c r="L3443" t="s">
        <v>12768</v>
      </c>
    </row>
    <row r="3444" spans="1:12">
      <c r="A3444" t="s">
        <v>12771</v>
      </c>
      <c r="B3444" s="1" t="s">
        <v>12772</v>
      </c>
      <c r="E3444">
        <v>1</v>
      </c>
      <c r="F3444">
        <v>1</v>
      </c>
      <c r="G3444" t="str">
        <f>HYPERLINK("http://babel.hathitrust.org/cgi/pt?id=uc2.ark:/13960/t6sx67566")</f>
        <v>http://babel.hathitrust.org/cgi/pt?id=uc2.ark:/13960/t6sx67566</v>
      </c>
      <c r="H3444" t="str">
        <f>HYPERLINK("http://catalog.hathitrust.org/Record/006507071")</f>
        <v>http://catalog.hathitrust.org/Record/006507071</v>
      </c>
      <c r="J3444" s="1">
        <v>1853</v>
      </c>
      <c r="K3444" t="s">
        <v>12773</v>
      </c>
      <c r="L3444" t="s">
        <v>15662</v>
      </c>
    </row>
    <row r="3445" spans="1:12">
      <c r="A3445" t="s">
        <v>12774</v>
      </c>
      <c r="B3445" s="1" t="s">
        <v>12775</v>
      </c>
      <c r="F3445">
        <v>1</v>
      </c>
      <c r="G3445" t="str">
        <f>HYPERLINK("http://babel.hathitrust.org/cgi/pt?id=uc1.b257682")</f>
        <v>http://babel.hathitrust.org/cgi/pt?id=uc1.b257682</v>
      </c>
      <c r="H3445" t="str">
        <f>HYPERLINK("http://catalog.hathitrust.org/Record/006507072")</f>
        <v>http://catalog.hathitrust.org/Record/006507072</v>
      </c>
      <c r="J3445" s="1">
        <v>1908</v>
      </c>
      <c r="K3445" t="s">
        <v>12776</v>
      </c>
      <c r="L3445" t="s">
        <v>15327</v>
      </c>
    </row>
    <row r="3446" spans="1:12">
      <c r="A3446" t="s">
        <v>12777</v>
      </c>
      <c r="B3446" s="1" t="s">
        <v>12778</v>
      </c>
      <c r="F3446">
        <v>1</v>
      </c>
      <c r="G3446" t="str">
        <f>HYPERLINK("http://babel.hathitrust.org/cgi/pt?id=hvd.hn1rda")</f>
        <v>http://babel.hathitrust.org/cgi/pt?id=hvd.hn1rda</v>
      </c>
      <c r="H3446" t="str">
        <f>HYPERLINK("http://catalog.hathitrust.org/Record/006507073")</f>
        <v>http://catalog.hathitrust.org/Record/006507073</v>
      </c>
      <c r="J3446" s="1">
        <v>1870</v>
      </c>
      <c r="K3446" t="s">
        <v>12779</v>
      </c>
      <c r="L3446" t="s">
        <v>12780</v>
      </c>
    </row>
    <row r="3447" spans="1:12">
      <c r="A3447" t="s">
        <v>12781</v>
      </c>
      <c r="B3447" s="1" t="s">
        <v>12778</v>
      </c>
      <c r="F3447">
        <v>1</v>
      </c>
      <c r="G3447" t="str">
        <f>HYPERLINK("http://babel.hathitrust.org/cgi/pt?id=uc2.ark:/13960/t10p10b4r")</f>
        <v>http://babel.hathitrust.org/cgi/pt?id=uc2.ark:/13960/t10p10b4r</v>
      </c>
      <c r="H3447" t="str">
        <f>HYPERLINK("http://catalog.hathitrust.org/Record/006507073")</f>
        <v>http://catalog.hathitrust.org/Record/006507073</v>
      </c>
      <c r="J3447" s="1">
        <v>1870</v>
      </c>
      <c r="K3447" t="s">
        <v>12779</v>
      </c>
      <c r="L3447" t="s">
        <v>12780</v>
      </c>
    </row>
    <row r="3448" spans="1:12">
      <c r="A3448" t="s">
        <v>12782</v>
      </c>
      <c r="B3448" s="1" t="s">
        <v>12783</v>
      </c>
      <c r="F3448">
        <v>1</v>
      </c>
      <c r="G3448" t="str">
        <f>HYPERLINK("http://babel.hathitrust.org/cgi/pt?id=uc1.b257686")</f>
        <v>http://babel.hathitrust.org/cgi/pt?id=uc1.b257686</v>
      </c>
      <c r="H3448" t="str">
        <f>HYPERLINK("http://catalog.hathitrust.org/Record/006507074")</f>
        <v>http://catalog.hathitrust.org/Record/006507074</v>
      </c>
      <c r="J3448" s="1">
        <v>1864</v>
      </c>
      <c r="K3448" t="s">
        <v>12784</v>
      </c>
      <c r="L3448" t="s">
        <v>12785</v>
      </c>
    </row>
    <row r="3449" spans="1:12">
      <c r="A3449" t="s">
        <v>12786</v>
      </c>
      <c r="B3449" s="1" t="s">
        <v>12783</v>
      </c>
      <c r="F3449">
        <v>1</v>
      </c>
      <c r="G3449" t="str">
        <f>HYPERLINK("http://babel.hathitrust.org/cgi/pt?id=uc2.ark:/13960/t5n875s96")</f>
        <v>http://babel.hathitrust.org/cgi/pt?id=uc2.ark:/13960/t5n875s96</v>
      </c>
      <c r="H3449" t="str">
        <f>HYPERLINK("http://catalog.hathitrust.org/Record/006507074")</f>
        <v>http://catalog.hathitrust.org/Record/006507074</v>
      </c>
      <c r="J3449" s="1">
        <v>1864</v>
      </c>
      <c r="K3449" t="s">
        <v>12784</v>
      </c>
      <c r="L3449" t="s">
        <v>12785</v>
      </c>
    </row>
    <row r="3450" spans="1:12">
      <c r="A3450" t="s">
        <v>12787</v>
      </c>
      <c r="B3450" s="1" t="s">
        <v>12788</v>
      </c>
      <c r="F3450">
        <v>1</v>
      </c>
      <c r="G3450" t="str">
        <f>HYPERLINK("http://babel.hathitrust.org/cgi/pt?id=uc1.b257792")</f>
        <v>http://babel.hathitrust.org/cgi/pt?id=uc1.b257792</v>
      </c>
      <c r="H3450" t="str">
        <f>HYPERLINK("http://catalog.hathitrust.org/Record/006507115")</f>
        <v>http://catalog.hathitrust.org/Record/006507115</v>
      </c>
      <c r="J3450" s="1">
        <v>1872</v>
      </c>
      <c r="K3450" t="s">
        <v>12789</v>
      </c>
      <c r="L3450" t="s">
        <v>12790</v>
      </c>
    </row>
    <row r="3451" spans="1:12">
      <c r="A3451" t="s">
        <v>12791</v>
      </c>
      <c r="B3451" s="1" t="s">
        <v>12788</v>
      </c>
      <c r="F3451">
        <v>1</v>
      </c>
      <c r="G3451" t="str">
        <f>HYPERLINK("http://babel.hathitrust.org/cgi/pt?id=uc2.ark:/13960/t6qz25c68")</f>
        <v>http://babel.hathitrust.org/cgi/pt?id=uc2.ark:/13960/t6qz25c68</v>
      </c>
      <c r="H3451" t="str">
        <f>HYPERLINK("http://catalog.hathitrust.org/Record/006507115")</f>
        <v>http://catalog.hathitrust.org/Record/006507115</v>
      </c>
      <c r="J3451" s="1">
        <v>1872</v>
      </c>
      <c r="K3451" t="s">
        <v>12789</v>
      </c>
      <c r="L3451" t="s">
        <v>12790</v>
      </c>
    </row>
    <row r="3452" spans="1:12">
      <c r="A3452" t="s">
        <v>12792</v>
      </c>
      <c r="B3452" s="1" t="s">
        <v>12793</v>
      </c>
      <c r="E3452">
        <v>1</v>
      </c>
      <c r="F3452">
        <v>1</v>
      </c>
      <c r="G3452" t="str">
        <f>HYPERLINK("http://babel.hathitrust.org/cgi/pt?id=uc1.b257796")</f>
        <v>http://babel.hathitrust.org/cgi/pt?id=uc1.b257796</v>
      </c>
      <c r="H3452" t="str">
        <f>HYPERLINK("http://catalog.hathitrust.org/Record/006507117")</f>
        <v>http://catalog.hathitrust.org/Record/006507117</v>
      </c>
      <c r="J3452" s="1">
        <v>1859</v>
      </c>
      <c r="K3452" t="s">
        <v>12794</v>
      </c>
      <c r="L3452" t="s">
        <v>12780</v>
      </c>
    </row>
    <row r="3453" spans="1:12">
      <c r="A3453" t="s">
        <v>12795</v>
      </c>
      <c r="B3453" s="1" t="s">
        <v>12793</v>
      </c>
      <c r="F3453">
        <v>1</v>
      </c>
      <c r="G3453" t="str">
        <f>HYPERLINK("http://babel.hathitrust.org/cgi/pt?id=uc1.b306941")</f>
        <v>http://babel.hathitrust.org/cgi/pt?id=uc1.b306941</v>
      </c>
      <c r="H3453" t="str">
        <f>HYPERLINK("http://catalog.hathitrust.org/Record/006507117")</f>
        <v>http://catalog.hathitrust.org/Record/006507117</v>
      </c>
      <c r="J3453" s="1">
        <v>1859</v>
      </c>
      <c r="K3453" t="s">
        <v>12794</v>
      </c>
      <c r="L3453" t="s">
        <v>12780</v>
      </c>
    </row>
    <row r="3454" spans="1:12">
      <c r="A3454" t="s">
        <v>12796</v>
      </c>
      <c r="B3454" s="1" t="s">
        <v>12793</v>
      </c>
      <c r="F3454">
        <v>1</v>
      </c>
      <c r="G3454" t="str">
        <f>HYPERLINK("http://babel.hathitrust.org/cgi/pt?id=uc2.ark:/13960/t0gt5hz3h")</f>
        <v>http://babel.hathitrust.org/cgi/pt?id=uc2.ark:/13960/t0gt5hz3h</v>
      </c>
      <c r="H3454" t="str">
        <f>HYPERLINK("http://catalog.hathitrust.org/Record/006507117")</f>
        <v>http://catalog.hathitrust.org/Record/006507117</v>
      </c>
      <c r="J3454" s="1">
        <v>1859</v>
      </c>
      <c r="K3454" t="s">
        <v>12794</v>
      </c>
      <c r="L3454" t="s">
        <v>12780</v>
      </c>
    </row>
    <row r="3455" spans="1:12">
      <c r="A3455" t="s">
        <v>12797</v>
      </c>
      <c r="B3455" s="1" t="s">
        <v>12798</v>
      </c>
      <c r="F3455">
        <v>1</v>
      </c>
      <c r="G3455" t="str">
        <f>HYPERLINK("http://babel.hathitrust.org/cgi/pt?id=uc1.b257800")</f>
        <v>http://babel.hathitrust.org/cgi/pt?id=uc1.b257800</v>
      </c>
      <c r="H3455" t="str">
        <f>HYPERLINK("http://catalog.hathitrust.org/Record/006507118")</f>
        <v>http://catalog.hathitrust.org/Record/006507118</v>
      </c>
      <c r="J3455" s="1">
        <v>1905</v>
      </c>
      <c r="K3455" t="s">
        <v>12799</v>
      </c>
      <c r="L3455" t="s">
        <v>12800</v>
      </c>
    </row>
    <row r="3456" spans="1:12">
      <c r="A3456" t="s">
        <v>12801</v>
      </c>
      <c r="B3456" s="1" t="s">
        <v>12798</v>
      </c>
      <c r="F3456">
        <v>1</v>
      </c>
      <c r="G3456" t="str">
        <f>HYPERLINK("http://babel.hathitrust.org/cgi/pt?id=uc2.ark:/13960/t9z032b4b")</f>
        <v>http://babel.hathitrust.org/cgi/pt?id=uc2.ark:/13960/t9z032b4b</v>
      </c>
      <c r="H3456" t="str">
        <f>HYPERLINK("http://catalog.hathitrust.org/Record/006507118")</f>
        <v>http://catalog.hathitrust.org/Record/006507118</v>
      </c>
      <c r="J3456" s="1">
        <v>1905</v>
      </c>
      <c r="K3456" t="s">
        <v>12799</v>
      </c>
      <c r="L3456" t="s">
        <v>12800</v>
      </c>
    </row>
    <row r="3457" spans="1:12">
      <c r="A3457" t="s">
        <v>12802</v>
      </c>
      <c r="B3457" s="1" t="s">
        <v>12803</v>
      </c>
      <c r="F3457">
        <v>1</v>
      </c>
      <c r="G3457" t="str">
        <f>HYPERLINK("http://babel.hathitrust.org/cgi/pt?id=uc1.b257803")</f>
        <v>http://babel.hathitrust.org/cgi/pt?id=uc1.b257803</v>
      </c>
      <c r="H3457" t="str">
        <f>HYPERLINK("http://catalog.hathitrust.org/Record/006507120")</f>
        <v>http://catalog.hathitrust.org/Record/006507120</v>
      </c>
      <c r="J3457" s="1">
        <v>1869</v>
      </c>
      <c r="K3457" t="s">
        <v>12804</v>
      </c>
      <c r="L3457" t="s">
        <v>12805</v>
      </c>
    </row>
    <row r="3458" spans="1:12">
      <c r="A3458" t="s">
        <v>12806</v>
      </c>
      <c r="B3458" s="1" t="s">
        <v>12803</v>
      </c>
      <c r="F3458">
        <v>1</v>
      </c>
      <c r="G3458" t="str">
        <f>HYPERLINK("http://babel.hathitrust.org/cgi/pt?id=uc1.b306962")</f>
        <v>http://babel.hathitrust.org/cgi/pt?id=uc1.b306962</v>
      </c>
      <c r="H3458" t="str">
        <f>HYPERLINK("http://catalog.hathitrust.org/Record/006507120")</f>
        <v>http://catalog.hathitrust.org/Record/006507120</v>
      </c>
      <c r="J3458" s="1">
        <v>1869</v>
      </c>
      <c r="K3458" t="s">
        <v>12804</v>
      </c>
      <c r="L3458" t="s">
        <v>12805</v>
      </c>
    </row>
    <row r="3459" spans="1:12">
      <c r="A3459" t="s">
        <v>12807</v>
      </c>
      <c r="B3459" s="1" t="s">
        <v>12803</v>
      </c>
      <c r="F3459">
        <v>1</v>
      </c>
      <c r="G3459" t="str">
        <f>HYPERLINK("http://babel.hathitrust.org/cgi/pt?id=uc2.ark:/13960/t1mg7jd61")</f>
        <v>http://babel.hathitrust.org/cgi/pt?id=uc2.ark:/13960/t1mg7jd61</v>
      </c>
      <c r="H3459" t="str">
        <f>HYPERLINK("http://catalog.hathitrust.org/Record/006507120")</f>
        <v>http://catalog.hathitrust.org/Record/006507120</v>
      </c>
      <c r="J3459" s="1">
        <v>1869</v>
      </c>
      <c r="K3459" t="s">
        <v>12804</v>
      </c>
      <c r="L3459" t="s">
        <v>12805</v>
      </c>
    </row>
    <row r="3460" spans="1:12">
      <c r="A3460" t="s">
        <v>12808</v>
      </c>
      <c r="B3460" s="1" t="s">
        <v>12809</v>
      </c>
      <c r="F3460">
        <v>1</v>
      </c>
      <c r="G3460" t="str">
        <f>HYPERLINK("http://babel.hathitrust.org/cgi/pt?id=uc1.b257805")</f>
        <v>http://babel.hathitrust.org/cgi/pt?id=uc1.b257805</v>
      </c>
      <c r="H3460" t="str">
        <f>HYPERLINK("http://catalog.hathitrust.org/Record/006507121")</f>
        <v>http://catalog.hathitrust.org/Record/006507121</v>
      </c>
      <c r="J3460" s="1">
        <v>1868</v>
      </c>
      <c r="K3460" t="s">
        <v>12810</v>
      </c>
      <c r="L3460" t="s">
        <v>12718</v>
      </c>
    </row>
    <row r="3461" spans="1:12">
      <c r="A3461" t="s">
        <v>12719</v>
      </c>
      <c r="B3461" s="1" t="s">
        <v>12809</v>
      </c>
      <c r="F3461">
        <v>1</v>
      </c>
      <c r="G3461" t="str">
        <f>HYPERLINK("http://babel.hathitrust.org/cgi/pt?id=uc2.ark:/13960/t4pk09s7c")</f>
        <v>http://babel.hathitrust.org/cgi/pt?id=uc2.ark:/13960/t4pk09s7c</v>
      </c>
      <c r="H3461" t="str">
        <f>HYPERLINK("http://catalog.hathitrust.org/Record/006507121")</f>
        <v>http://catalog.hathitrust.org/Record/006507121</v>
      </c>
      <c r="J3461" s="1">
        <v>1868</v>
      </c>
      <c r="K3461" t="s">
        <v>12810</v>
      </c>
      <c r="L3461" t="s">
        <v>12718</v>
      </c>
    </row>
    <row r="3462" spans="1:12">
      <c r="A3462" t="s">
        <v>12720</v>
      </c>
      <c r="B3462" s="1" t="s">
        <v>12721</v>
      </c>
      <c r="F3462">
        <v>1</v>
      </c>
      <c r="G3462" t="str">
        <f>HYPERLINK("http://babel.hathitrust.org/cgi/pt?id=uc1.b257826")</f>
        <v>http://babel.hathitrust.org/cgi/pt?id=uc1.b257826</v>
      </c>
      <c r="H3462" t="str">
        <f>HYPERLINK("http://catalog.hathitrust.org/Record/006507132")</f>
        <v>http://catalog.hathitrust.org/Record/006507132</v>
      </c>
      <c r="J3462" s="1">
        <v>1909</v>
      </c>
      <c r="K3462" t="s">
        <v>12722</v>
      </c>
      <c r="L3462" t="s">
        <v>18400</v>
      </c>
    </row>
    <row r="3463" spans="1:12">
      <c r="A3463" t="s">
        <v>12723</v>
      </c>
      <c r="B3463" s="1" t="s">
        <v>12721</v>
      </c>
      <c r="F3463">
        <v>1</v>
      </c>
      <c r="G3463" t="str">
        <f>HYPERLINK("http://babel.hathitrust.org/cgi/pt?id=uc2.ark:/13960/t7gq6v15s")</f>
        <v>http://babel.hathitrust.org/cgi/pt?id=uc2.ark:/13960/t7gq6v15s</v>
      </c>
      <c r="H3463" t="str">
        <f>HYPERLINK("http://catalog.hathitrust.org/Record/006507132")</f>
        <v>http://catalog.hathitrust.org/Record/006507132</v>
      </c>
      <c r="J3463" s="1">
        <v>1909</v>
      </c>
      <c r="K3463" t="s">
        <v>12722</v>
      </c>
      <c r="L3463" t="s">
        <v>18400</v>
      </c>
    </row>
    <row r="3464" spans="1:12">
      <c r="A3464" t="s">
        <v>12724</v>
      </c>
      <c r="B3464" s="1" t="s">
        <v>12725</v>
      </c>
      <c r="F3464">
        <v>1</v>
      </c>
      <c r="G3464" t="str">
        <f>HYPERLINK("http://babel.hathitrust.org/cgi/pt?id=uc1.b257828")</f>
        <v>http://babel.hathitrust.org/cgi/pt?id=uc1.b257828</v>
      </c>
      <c r="H3464" t="str">
        <f>HYPERLINK("http://catalog.hathitrust.org/Record/006507133")</f>
        <v>http://catalog.hathitrust.org/Record/006507133</v>
      </c>
      <c r="J3464" s="1">
        <v>1848</v>
      </c>
      <c r="K3464" t="s">
        <v>12726</v>
      </c>
      <c r="L3464" t="s">
        <v>12718</v>
      </c>
    </row>
    <row r="3465" spans="1:12">
      <c r="A3465" t="s">
        <v>12727</v>
      </c>
      <c r="B3465" s="1" t="s">
        <v>12725</v>
      </c>
      <c r="F3465">
        <v>1</v>
      </c>
      <c r="G3465" t="str">
        <f>HYPERLINK("http://babel.hathitrust.org/cgi/pt?id=uc2.ark:/13960/t5k934067")</f>
        <v>http://babel.hathitrust.org/cgi/pt?id=uc2.ark:/13960/t5k934067</v>
      </c>
      <c r="H3465" t="str">
        <f>HYPERLINK("http://catalog.hathitrust.org/Record/006507133")</f>
        <v>http://catalog.hathitrust.org/Record/006507133</v>
      </c>
      <c r="J3465" s="1">
        <v>1848</v>
      </c>
      <c r="K3465" t="s">
        <v>12726</v>
      </c>
      <c r="L3465" t="s">
        <v>12718</v>
      </c>
    </row>
    <row r="3466" spans="1:12">
      <c r="A3466" t="s">
        <v>12728</v>
      </c>
      <c r="B3466" s="1" t="s">
        <v>12729</v>
      </c>
      <c r="E3466">
        <v>1</v>
      </c>
      <c r="G3466" t="str">
        <f>HYPERLINK("http://babel.hathitrust.org/cgi/pt?id=uc1.b257843")</f>
        <v>http://babel.hathitrust.org/cgi/pt?id=uc1.b257843</v>
      </c>
      <c r="H3466" t="str">
        <f>HYPERLINK("http://catalog.hathitrust.org/Record/006507143")</f>
        <v>http://catalog.hathitrust.org/Record/006507143</v>
      </c>
      <c r="J3466" s="1">
        <v>1841</v>
      </c>
      <c r="K3466" t="s">
        <v>12730</v>
      </c>
      <c r="L3466" t="s">
        <v>20043</v>
      </c>
    </row>
    <row r="3467" spans="1:12">
      <c r="A3467" t="s">
        <v>12731</v>
      </c>
      <c r="B3467" s="1" t="s">
        <v>12732</v>
      </c>
      <c r="F3467">
        <v>1</v>
      </c>
      <c r="G3467" t="str">
        <f>HYPERLINK("http://babel.hathitrust.org/cgi/pt?id=uc1.b257847")</f>
        <v>http://babel.hathitrust.org/cgi/pt?id=uc1.b257847</v>
      </c>
      <c r="H3467" t="str">
        <f>HYPERLINK("http://catalog.hathitrust.org/Record/006507145")</f>
        <v>http://catalog.hathitrust.org/Record/006507145</v>
      </c>
      <c r="J3467" s="1">
        <v>1913</v>
      </c>
      <c r="K3467" t="s">
        <v>12733</v>
      </c>
      <c r="L3467" t="s">
        <v>20884</v>
      </c>
    </row>
    <row r="3468" spans="1:12">
      <c r="A3468" t="s">
        <v>12734</v>
      </c>
      <c r="B3468" s="1" t="s">
        <v>12732</v>
      </c>
      <c r="F3468">
        <v>1</v>
      </c>
      <c r="G3468" t="str">
        <f>HYPERLINK("http://babel.hathitrust.org/cgi/pt?id=uc2.ark:/13960/t5m904w9h")</f>
        <v>http://babel.hathitrust.org/cgi/pt?id=uc2.ark:/13960/t5m904w9h</v>
      </c>
      <c r="H3468" t="str">
        <f>HYPERLINK("http://catalog.hathitrust.org/Record/006507145")</f>
        <v>http://catalog.hathitrust.org/Record/006507145</v>
      </c>
      <c r="J3468" s="1">
        <v>1913</v>
      </c>
      <c r="K3468" t="s">
        <v>12733</v>
      </c>
      <c r="L3468" t="s">
        <v>20884</v>
      </c>
    </row>
    <row r="3469" spans="1:12">
      <c r="A3469" t="s">
        <v>12735</v>
      </c>
      <c r="B3469" s="1" t="s">
        <v>12736</v>
      </c>
      <c r="F3469">
        <v>1</v>
      </c>
      <c r="G3469" t="str">
        <f>HYPERLINK("http://babel.hathitrust.org/cgi/pt?id=uc1.b257872")</f>
        <v>http://babel.hathitrust.org/cgi/pt?id=uc1.b257872</v>
      </c>
      <c r="H3469" t="str">
        <f>HYPERLINK("http://catalog.hathitrust.org/Record/006507154")</f>
        <v>http://catalog.hathitrust.org/Record/006507154</v>
      </c>
      <c r="J3469" s="1">
        <v>1878</v>
      </c>
      <c r="K3469" t="s">
        <v>12737</v>
      </c>
      <c r="L3469" t="s">
        <v>12738</v>
      </c>
    </row>
    <row r="3470" spans="1:12">
      <c r="A3470" t="s">
        <v>12739</v>
      </c>
      <c r="B3470" s="1" t="s">
        <v>12736</v>
      </c>
      <c r="F3470">
        <v>1</v>
      </c>
      <c r="G3470" t="str">
        <f>HYPERLINK("http://babel.hathitrust.org/cgi/pt?id=uc2.ark:/13960/t3rv0gp38")</f>
        <v>http://babel.hathitrust.org/cgi/pt?id=uc2.ark:/13960/t3rv0gp38</v>
      </c>
      <c r="H3470" t="str">
        <f>HYPERLINK("http://catalog.hathitrust.org/Record/006507154")</f>
        <v>http://catalog.hathitrust.org/Record/006507154</v>
      </c>
      <c r="J3470" s="1">
        <v>1878</v>
      </c>
      <c r="K3470" t="s">
        <v>12737</v>
      </c>
      <c r="L3470" t="s">
        <v>12738</v>
      </c>
    </row>
    <row r="3471" spans="1:12">
      <c r="A3471" t="s">
        <v>12740</v>
      </c>
      <c r="B3471" s="1" t="s">
        <v>12741</v>
      </c>
      <c r="F3471">
        <v>1</v>
      </c>
      <c r="G3471" t="str">
        <f>HYPERLINK("http://babel.hathitrust.org/cgi/pt?id=uc1.b257874")</f>
        <v>http://babel.hathitrust.org/cgi/pt?id=uc1.b257874</v>
      </c>
      <c r="H3471" t="str">
        <f>HYPERLINK("http://catalog.hathitrust.org/Record/006507156")</f>
        <v>http://catalog.hathitrust.org/Record/006507156</v>
      </c>
      <c r="J3471" s="1">
        <v>1877</v>
      </c>
      <c r="K3471" t="s">
        <v>12742</v>
      </c>
      <c r="L3471" t="s">
        <v>12743</v>
      </c>
    </row>
    <row r="3472" spans="1:12">
      <c r="A3472" t="s">
        <v>12744</v>
      </c>
      <c r="B3472" s="1" t="s">
        <v>12741</v>
      </c>
      <c r="F3472">
        <v>1</v>
      </c>
      <c r="G3472" t="str">
        <f>HYPERLINK("http://babel.hathitrust.org/cgi/pt?id=uc2.ark:/13960/t44q7th53")</f>
        <v>http://babel.hathitrust.org/cgi/pt?id=uc2.ark:/13960/t44q7th53</v>
      </c>
      <c r="H3472" t="str">
        <f>HYPERLINK("http://catalog.hathitrust.org/Record/006507156")</f>
        <v>http://catalog.hathitrust.org/Record/006507156</v>
      </c>
      <c r="J3472" s="1">
        <v>1877</v>
      </c>
      <c r="K3472" t="s">
        <v>12742</v>
      </c>
      <c r="L3472" t="s">
        <v>12743</v>
      </c>
    </row>
    <row r="3473" spans="1:12">
      <c r="A3473" t="s">
        <v>12745</v>
      </c>
      <c r="B3473" s="1" t="s">
        <v>12746</v>
      </c>
      <c r="F3473">
        <v>1</v>
      </c>
      <c r="G3473" t="str">
        <f>HYPERLINK("http://babel.hathitrust.org/cgi/pt?id=uc1.b257888")</f>
        <v>http://babel.hathitrust.org/cgi/pt?id=uc1.b257888</v>
      </c>
      <c r="H3473" t="str">
        <f>HYPERLINK("http://catalog.hathitrust.org/Record/006507167")</f>
        <v>http://catalog.hathitrust.org/Record/006507167</v>
      </c>
      <c r="J3473" s="1">
        <v>1916</v>
      </c>
      <c r="K3473" t="s">
        <v>12747</v>
      </c>
      <c r="L3473" t="s">
        <v>12748</v>
      </c>
    </row>
    <row r="3474" spans="1:12">
      <c r="A3474" t="s">
        <v>12749</v>
      </c>
      <c r="B3474" s="1" t="s">
        <v>12746</v>
      </c>
      <c r="F3474">
        <v>1</v>
      </c>
      <c r="G3474" t="str">
        <f>HYPERLINK("http://babel.hathitrust.org/cgi/pt?id=uc2.ark:/13960/t2w37pf9j")</f>
        <v>http://babel.hathitrust.org/cgi/pt?id=uc2.ark:/13960/t2w37pf9j</v>
      </c>
      <c r="H3474" t="str">
        <f>HYPERLINK("http://catalog.hathitrust.org/Record/006507167")</f>
        <v>http://catalog.hathitrust.org/Record/006507167</v>
      </c>
      <c r="J3474" s="1">
        <v>1916</v>
      </c>
      <c r="K3474" t="s">
        <v>12747</v>
      </c>
      <c r="L3474" t="s">
        <v>12748</v>
      </c>
    </row>
    <row r="3475" spans="1:12">
      <c r="A3475" t="s">
        <v>12750</v>
      </c>
      <c r="B3475" s="1" t="s">
        <v>12751</v>
      </c>
      <c r="F3475">
        <v>1</v>
      </c>
      <c r="G3475" t="str">
        <f>HYPERLINK("http://babel.hathitrust.org/cgi/pt?id=uc1.b257911")</f>
        <v>http://babel.hathitrust.org/cgi/pt?id=uc1.b257911</v>
      </c>
      <c r="H3475" t="str">
        <f>HYPERLINK("http://catalog.hathitrust.org/Record/006507175")</f>
        <v>http://catalog.hathitrust.org/Record/006507175</v>
      </c>
      <c r="J3475" s="1">
        <v>1806</v>
      </c>
      <c r="K3475" t="s">
        <v>12752</v>
      </c>
      <c r="L3475" t="s">
        <v>12753</v>
      </c>
    </row>
    <row r="3476" spans="1:12">
      <c r="A3476" t="s">
        <v>12754</v>
      </c>
      <c r="B3476" s="1" t="s">
        <v>12751</v>
      </c>
      <c r="F3476">
        <v>1</v>
      </c>
      <c r="G3476" t="str">
        <f>HYPERLINK("http://babel.hathitrust.org/cgi/pt?id=uc2.ark:/13960/t1hh6fr0d")</f>
        <v>http://babel.hathitrust.org/cgi/pt?id=uc2.ark:/13960/t1hh6fr0d</v>
      </c>
      <c r="H3476" t="str">
        <f>HYPERLINK("http://catalog.hathitrust.org/Record/006507175")</f>
        <v>http://catalog.hathitrust.org/Record/006507175</v>
      </c>
      <c r="J3476" s="1">
        <v>1806</v>
      </c>
      <c r="K3476" t="s">
        <v>12752</v>
      </c>
      <c r="L3476" t="s">
        <v>12753</v>
      </c>
    </row>
    <row r="3477" spans="1:12">
      <c r="A3477" t="s">
        <v>12755</v>
      </c>
      <c r="B3477" s="1" t="s">
        <v>12756</v>
      </c>
      <c r="F3477">
        <v>1</v>
      </c>
      <c r="G3477" t="str">
        <f>HYPERLINK("http://babel.hathitrust.org/cgi/pt?id=uc1.b257970")</f>
        <v>http://babel.hathitrust.org/cgi/pt?id=uc1.b257970</v>
      </c>
      <c r="H3477" t="str">
        <f>HYPERLINK("http://catalog.hathitrust.org/Record/006507209")</f>
        <v>http://catalog.hathitrust.org/Record/006507209</v>
      </c>
      <c r="J3477" s="1">
        <v>1902</v>
      </c>
      <c r="K3477" t="s">
        <v>16771</v>
      </c>
      <c r="L3477" t="s">
        <v>12757</v>
      </c>
    </row>
    <row r="3478" spans="1:12">
      <c r="A3478" t="s">
        <v>12758</v>
      </c>
      <c r="B3478" s="1" t="s">
        <v>12756</v>
      </c>
      <c r="F3478">
        <v>1</v>
      </c>
      <c r="G3478" t="str">
        <f>HYPERLINK("http://babel.hathitrust.org/cgi/pt?id=uc2.ark:/13960/t8kd1tm0s")</f>
        <v>http://babel.hathitrust.org/cgi/pt?id=uc2.ark:/13960/t8kd1tm0s</v>
      </c>
      <c r="H3478" t="str">
        <f>HYPERLINK("http://catalog.hathitrust.org/Record/006507209")</f>
        <v>http://catalog.hathitrust.org/Record/006507209</v>
      </c>
      <c r="J3478" s="1">
        <v>1902</v>
      </c>
      <c r="K3478" t="s">
        <v>16771</v>
      </c>
      <c r="L3478" t="s">
        <v>12757</v>
      </c>
    </row>
    <row r="3479" spans="1:12">
      <c r="A3479" t="s">
        <v>12759</v>
      </c>
      <c r="B3479" s="1" t="s">
        <v>12760</v>
      </c>
      <c r="F3479">
        <v>1</v>
      </c>
      <c r="G3479" t="str">
        <f>HYPERLINK("http://babel.hathitrust.org/cgi/pt?id=uc1.b257974")</f>
        <v>http://babel.hathitrust.org/cgi/pt?id=uc1.b257974</v>
      </c>
      <c r="H3479" t="str">
        <f>HYPERLINK("http://catalog.hathitrust.org/Record/006507210")</f>
        <v>http://catalog.hathitrust.org/Record/006507210</v>
      </c>
      <c r="J3479" s="1">
        <v>1846</v>
      </c>
      <c r="K3479" t="s">
        <v>12761</v>
      </c>
      <c r="L3479" t="s">
        <v>12762</v>
      </c>
    </row>
    <row r="3480" spans="1:12">
      <c r="A3480" t="s">
        <v>12763</v>
      </c>
      <c r="B3480" s="1" t="s">
        <v>12760</v>
      </c>
      <c r="F3480">
        <v>1</v>
      </c>
      <c r="G3480" t="str">
        <f>HYPERLINK("http://babel.hathitrust.org/cgi/pt?id=uc2.ark:/13960/t1pg1m632")</f>
        <v>http://babel.hathitrust.org/cgi/pt?id=uc2.ark:/13960/t1pg1m632</v>
      </c>
      <c r="H3480" t="str">
        <f>HYPERLINK("http://catalog.hathitrust.org/Record/006507210")</f>
        <v>http://catalog.hathitrust.org/Record/006507210</v>
      </c>
      <c r="J3480" s="1">
        <v>1846</v>
      </c>
      <c r="K3480" t="s">
        <v>12761</v>
      </c>
      <c r="L3480" t="s">
        <v>12762</v>
      </c>
    </row>
    <row r="3481" spans="1:12">
      <c r="A3481" t="s">
        <v>12764</v>
      </c>
      <c r="B3481" s="1" t="s">
        <v>12765</v>
      </c>
      <c r="F3481">
        <v>1</v>
      </c>
      <c r="G3481" t="str">
        <f>HYPERLINK("http://babel.hathitrust.org/cgi/pt?id=uc1.b257976")</f>
        <v>http://babel.hathitrust.org/cgi/pt?id=uc1.b257976</v>
      </c>
      <c r="H3481" t="str">
        <f>HYPERLINK("http://catalog.hathitrust.org/Record/006507211")</f>
        <v>http://catalog.hathitrust.org/Record/006507211</v>
      </c>
      <c r="J3481" s="1">
        <v>1915</v>
      </c>
      <c r="K3481" t="s">
        <v>12668</v>
      </c>
      <c r="L3481" t="s">
        <v>12669</v>
      </c>
    </row>
    <row r="3482" spans="1:12">
      <c r="A3482" t="s">
        <v>12670</v>
      </c>
      <c r="B3482" s="1" t="s">
        <v>12765</v>
      </c>
      <c r="F3482">
        <v>1</v>
      </c>
      <c r="G3482" t="str">
        <f>HYPERLINK("http://babel.hathitrust.org/cgi/pt?id=uc2.ark:/13960/t5r788g4z")</f>
        <v>http://babel.hathitrust.org/cgi/pt?id=uc2.ark:/13960/t5r788g4z</v>
      </c>
      <c r="H3482" t="str">
        <f>HYPERLINK("http://catalog.hathitrust.org/Record/006507211")</f>
        <v>http://catalog.hathitrust.org/Record/006507211</v>
      </c>
      <c r="J3482" s="1">
        <v>1915</v>
      </c>
      <c r="K3482" t="s">
        <v>12668</v>
      </c>
      <c r="L3482" t="s">
        <v>12669</v>
      </c>
    </row>
    <row r="3483" spans="1:12">
      <c r="A3483" t="s">
        <v>12671</v>
      </c>
      <c r="B3483" s="1" t="s">
        <v>12672</v>
      </c>
      <c r="F3483">
        <v>1</v>
      </c>
      <c r="G3483" t="str">
        <f>HYPERLINK("http://babel.hathitrust.org/cgi/pt?id=uc1.b257993")</f>
        <v>http://babel.hathitrust.org/cgi/pt?id=uc1.b257993</v>
      </c>
      <c r="H3483" t="str">
        <f>HYPERLINK("http://catalog.hathitrust.org/Record/006507219")</f>
        <v>http://catalog.hathitrust.org/Record/006507219</v>
      </c>
      <c r="J3483" s="1">
        <v>1911</v>
      </c>
      <c r="K3483" t="s">
        <v>12673</v>
      </c>
      <c r="L3483" t="s">
        <v>12674</v>
      </c>
    </row>
    <row r="3484" spans="1:12">
      <c r="A3484" t="s">
        <v>12675</v>
      </c>
      <c r="B3484" s="1" t="s">
        <v>12672</v>
      </c>
      <c r="F3484">
        <v>1</v>
      </c>
      <c r="G3484" t="str">
        <f>HYPERLINK("http://babel.hathitrust.org/cgi/pt?id=uc2.ark:/13960/t9h41nq3d")</f>
        <v>http://babel.hathitrust.org/cgi/pt?id=uc2.ark:/13960/t9h41nq3d</v>
      </c>
      <c r="H3484" t="str">
        <f>HYPERLINK("http://catalog.hathitrust.org/Record/006507219")</f>
        <v>http://catalog.hathitrust.org/Record/006507219</v>
      </c>
      <c r="J3484" s="1">
        <v>1911</v>
      </c>
      <c r="K3484" t="s">
        <v>12673</v>
      </c>
      <c r="L3484" t="s">
        <v>12674</v>
      </c>
    </row>
    <row r="3485" spans="1:12">
      <c r="A3485" t="s">
        <v>12676</v>
      </c>
      <c r="B3485" s="1" t="s">
        <v>12677</v>
      </c>
      <c r="F3485">
        <v>1</v>
      </c>
      <c r="G3485" t="str">
        <f>HYPERLINK("http://babel.hathitrust.org/cgi/pt?id=uc1.b257994")</f>
        <v>http://babel.hathitrust.org/cgi/pt?id=uc1.b257994</v>
      </c>
      <c r="H3485" t="str">
        <f>HYPERLINK("http://catalog.hathitrust.org/Record/006507220")</f>
        <v>http://catalog.hathitrust.org/Record/006507220</v>
      </c>
      <c r="J3485" s="1">
        <v>1828</v>
      </c>
      <c r="K3485" t="s">
        <v>12678</v>
      </c>
      <c r="L3485" t="s">
        <v>12679</v>
      </c>
    </row>
    <row r="3486" spans="1:12">
      <c r="A3486" t="s">
        <v>12680</v>
      </c>
      <c r="B3486" s="1" t="s">
        <v>12677</v>
      </c>
      <c r="F3486">
        <v>1</v>
      </c>
      <c r="G3486" t="str">
        <f>HYPERLINK("http://babel.hathitrust.org/cgi/pt?id=uc2.ark:/13960/t3qv3fz19")</f>
        <v>http://babel.hathitrust.org/cgi/pt?id=uc2.ark:/13960/t3qv3fz19</v>
      </c>
      <c r="H3486" t="str">
        <f>HYPERLINK("http://catalog.hathitrust.org/Record/006507220")</f>
        <v>http://catalog.hathitrust.org/Record/006507220</v>
      </c>
      <c r="J3486" s="1">
        <v>1828</v>
      </c>
      <c r="K3486" t="s">
        <v>12678</v>
      </c>
      <c r="L3486" t="s">
        <v>12679</v>
      </c>
    </row>
    <row r="3487" spans="1:12">
      <c r="A3487" t="s">
        <v>12681</v>
      </c>
      <c r="B3487" s="1" t="s">
        <v>12682</v>
      </c>
      <c r="F3487">
        <v>1</v>
      </c>
      <c r="G3487" t="str">
        <f>HYPERLINK("http://babel.hathitrust.org/cgi/pt?id=uc1.b258002")</f>
        <v>http://babel.hathitrust.org/cgi/pt?id=uc1.b258002</v>
      </c>
      <c r="H3487" t="str">
        <f>HYPERLINK("http://catalog.hathitrust.org/Record/006507225")</f>
        <v>http://catalog.hathitrust.org/Record/006507225</v>
      </c>
      <c r="J3487" s="1">
        <v>1875</v>
      </c>
      <c r="K3487" t="s">
        <v>12683</v>
      </c>
      <c r="L3487" t="s">
        <v>12684</v>
      </c>
    </row>
    <row r="3488" spans="1:12">
      <c r="A3488" t="s">
        <v>12685</v>
      </c>
      <c r="B3488" s="1" t="s">
        <v>12682</v>
      </c>
      <c r="F3488">
        <v>1</v>
      </c>
      <c r="G3488" t="str">
        <f>HYPERLINK("http://babel.hathitrust.org/cgi/pt?id=uc2.ark:/13960/t6542n64m")</f>
        <v>http://babel.hathitrust.org/cgi/pt?id=uc2.ark:/13960/t6542n64m</v>
      </c>
      <c r="H3488" t="str">
        <f>HYPERLINK("http://catalog.hathitrust.org/Record/006507225")</f>
        <v>http://catalog.hathitrust.org/Record/006507225</v>
      </c>
      <c r="J3488" s="1">
        <v>1875</v>
      </c>
      <c r="K3488" t="s">
        <v>12683</v>
      </c>
      <c r="L3488" t="s">
        <v>12684</v>
      </c>
    </row>
    <row r="3489" spans="1:12">
      <c r="A3489" t="s">
        <v>12686</v>
      </c>
      <c r="B3489" s="1" t="s">
        <v>12687</v>
      </c>
      <c r="F3489">
        <v>1</v>
      </c>
      <c r="G3489" t="str">
        <f>HYPERLINK("http://babel.hathitrust.org/cgi/pt?id=uc1.b258009")</f>
        <v>http://babel.hathitrust.org/cgi/pt?id=uc1.b258009</v>
      </c>
      <c r="H3489" t="str">
        <f>HYPERLINK("http://catalog.hathitrust.org/Record/006507228")</f>
        <v>http://catalog.hathitrust.org/Record/006507228</v>
      </c>
      <c r="J3489" s="1">
        <v>1922</v>
      </c>
      <c r="K3489" t="s">
        <v>12688</v>
      </c>
      <c r="L3489" t="s">
        <v>12689</v>
      </c>
    </row>
    <row r="3490" spans="1:12">
      <c r="A3490" t="s">
        <v>12690</v>
      </c>
      <c r="B3490" s="1" t="s">
        <v>12687</v>
      </c>
      <c r="F3490">
        <v>1</v>
      </c>
      <c r="G3490" t="str">
        <f>HYPERLINK("http://babel.hathitrust.org/cgi/pt?id=uc2.ark:/13960/t6m041t0q")</f>
        <v>http://babel.hathitrust.org/cgi/pt?id=uc2.ark:/13960/t6m041t0q</v>
      </c>
      <c r="H3490" t="str">
        <f>HYPERLINK("http://catalog.hathitrust.org/Record/006507228")</f>
        <v>http://catalog.hathitrust.org/Record/006507228</v>
      </c>
      <c r="J3490" s="1">
        <v>1922</v>
      </c>
      <c r="K3490" t="s">
        <v>12688</v>
      </c>
      <c r="L3490" t="s">
        <v>12689</v>
      </c>
    </row>
    <row r="3491" spans="1:12">
      <c r="A3491" t="s">
        <v>12691</v>
      </c>
      <c r="B3491" s="1" t="s">
        <v>12692</v>
      </c>
      <c r="E3491">
        <v>1</v>
      </c>
      <c r="F3491">
        <v>1</v>
      </c>
      <c r="G3491" t="str">
        <f>HYPERLINK("http://babel.hathitrust.org/cgi/pt?id=uc1.b258012")</f>
        <v>http://babel.hathitrust.org/cgi/pt?id=uc1.b258012</v>
      </c>
      <c r="H3491" t="str">
        <f>HYPERLINK("http://catalog.hathitrust.org/Record/006507231")</f>
        <v>http://catalog.hathitrust.org/Record/006507231</v>
      </c>
      <c r="J3491" s="1">
        <v>1878</v>
      </c>
      <c r="K3491" t="s">
        <v>12693</v>
      </c>
      <c r="L3491" t="s">
        <v>12817</v>
      </c>
    </row>
    <row r="3492" spans="1:12">
      <c r="A3492" t="s">
        <v>12694</v>
      </c>
      <c r="B3492" s="1" t="s">
        <v>12692</v>
      </c>
      <c r="F3492">
        <v>1</v>
      </c>
      <c r="G3492" t="str">
        <f>HYPERLINK("http://babel.hathitrust.org/cgi/pt?id=uc2.ark:/13960/t1qf8n33r")</f>
        <v>http://babel.hathitrust.org/cgi/pt?id=uc2.ark:/13960/t1qf8n33r</v>
      </c>
      <c r="H3492" t="str">
        <f>HYPERLINK("http://catalog.hathitrust.org/Record/006507231")</f>
        <v>http://catalog.hathitrust.org/Record/006507231</v>
      </c>
      <c r="J3492" s="1">
        <v>1878</v>
      </c>
      <c r="K3492" t="s">
        <v>12693</v>
      </c>
      <c r="L3492" t="s">
        <v>12817</v>
      </c>
    </row>
    <row r="3493" spans="1:12">
      <c r="A3493" t="s">
        <v>12695</v>
      </c>
      <c r="B3493" s="1" t="s">
        <v>12696</v>
      </c>
      <c r="F3493">
        <v>1</v>
      </c>
      <c r="G3493" t="str">
        <f>HYPERLINK("http://babel.hathitrust.org/cgi/pt?id=uc1.b258020")</f>
        <v>http://babel.hathitrust.org/cgi/pt?id=uc1.b258020</v>
      </c>
      <c r="H3493" t="str">
        <f>HYPERLINK("http://catalog.hathitrust.org/Record/006507237")</f>
        <v>http://catalog.hathitrust.org/Record/006507237</v>
      </c>
      <c r="J3493" s="1">
        <v>1848</v>
      </c>
      <c r="K3493" t="s">
        <v>21028</v>
      </c>
      <c r="L3493" t="s">
        <v>21029</v>
      </c>
    </row>
    <row r="3494" spans="1:12">
      <c r="A3494" t="s">
        <v>12697</v>
      </c>
      <c r="B3494" s="1" t="s">
        <v>12696</v>
      </c>
      <c r="F3494">
        <v>1</v>
      </c>
      <c r="G3494" t="str">
        <f>HYPERLINK("http://babel.hathitrust.org/cgi/pt?id=uc2.ark:/13960/t0qr4r625")</f>
        <v>http://babel.hathitrust.org/cgi/pt?id=uc2.ark:/13960/t0qr4r625</v>
      </c>
      <c r="H3494" t="str">
        <f>HYPERLINK("http://catalog.hathitrust.org/Record/006507237")</f>
        <v>http://catalog.hathitrust.org/Record/006507237</v>
      </c>
      <c r="J3494" s="1">
        <v>1848</v>
      </c>
      <c r="K3494" t="s">
        <v>21028</v>
      </c>
      <c r="L3494" t="s">
        <v>21029</v>
      </c>
    </row>
    <row r="3495" spans="1:12">
      <c r="A3495" t="s">
        <v>12698</v>
      </c>
      <c r="B3495" s="1" t="s">
        <v>12699</v>
      </c>
      <c r="F3495">
        <v>1</v>
      </c>
      <c r="G3495" t="str">
        <f>HYPERLINK("http://babel.hathitrust.org/cgi/pt?id=uc1.b258022")</f>
        <v>http://babel.hathitrust.org/cgi/pt?id=uc1.b258022</v>
      </c>
      <c r="H3495" t="str">
        <f>HYPERLINK("http://catalog.hathitrust.org/Record/006507239")</f>
        <v>http://catalog.hathitrust.org/Record/006507239</v>
      </c>
      <c r="J3495" s="1">
        <v>1878</v>
      </c>
      <c r="K3495" t="s">
        <v>12700</v>
      </c>
      <c r="L3495" t="s">
        <v>12701</v>
      </c>
    </row>
    <row r="3496" spans="1:12">
      <c r="A3496" t="s">
        <v>12702</v>
      </c>
      <c r="B3496" s="1" t="s">
        <v>12699</v>
      </c>
      <c r="F3496">
        <v>1</v>
      </c>
      <c r="G3496" t="str">
        <f>HYPERLINK("http://babel.hathitrust.org/cgi/pt?id=uc2.ark:/13960/t2988594z")</f>
        <v>http://babel.hathitrust.org/cgi/pt?id=uc2.ark:/13960/t2988594z</v>
      </c>
      <c r="H3496" t="str">
        <f>HYPERLINK("http://catalog.hathitrust.org/Record/006507239")</f>
        <v>http://catalog.hathitrust.org/Record/006507239</v>
      </c>
      <c r="J3496" s="1">
        <v>1878</v>
      </c>
      <c r="K3496" t="s">
        <v>12700</v>
      </c>
      <c r="L3496" t="s">
        <v>12701</v>
      </c>
    </row>
    <row r="3497" spans="1:12">
      <c r="A3497" t="s">
        <v>12703</v>
      </c>
      <c r="B3497" s="1" t="s">
        <v>12704</v>
      </c>
      <c r="F3497">
        <v>1</v>
      </c>
      <c r="G3497" t="str">
        <f>HYPERLINK("http://babel.hathitrust.org/cgi/pt?id=uc1.b258028")</f>
        <v>http://babel.hathitrust.org/cgi/pt?id=uc1.b258028</v>
      </c>
      <c r="H3497" t="str">
        <f>HYPERLINK("http://catalog.hathitrust.org/Record/006507244")</f>
        <v>http://catalog.hathitrust.org/Record/006507244</v>
      </c>
      <c r="J3497" s="1">
        <v>1897</v>
      </c>
      <c r="K3497" t="s">
        <v>12705</v>
      </c>
      <c r="L3497" t="s">
        <v>12706</v>
      </c>
    </row>
    <row r="3498" spans="1:12">
      <c r="A3498" t="s">
        <v>12707</v>
      </c>
      <c r="B3498" s="1" t="s">
        <v>12704</v>
      </c>
      <c r="F3498">
        <v>1</v>
      </c>
      <c r="G3498" t="str">
        <f>HYPERLINK("http://babel.hathitrust.org/cgi/pt?id=uc2.ark:/13960/t4gm84f1f")</f>
        <v>http://babel.hathitrust.org/cgi/pt?id=uc2.ark:/13960/t4gm84f1f</v>
      </c>
      <c r="H3498" t="str">
        <f>HYPERLINK("http://catalog.hathitrust.org/Record/006507244")</f>
        <v>http://catalog.hathitrust.org/Record/006507244</v>
      </c>
      <c r="J3498" s="1">
        <v>1897</v>
      </c>
      <c r="K3498" t="s">
        <v>12705</v>
      </c>
      <c r="L3498" t="s">
        <v>12706</v>
      </c>
    </row>
    <row r="3499" spans="1:12">
      <c r="A3499" t="s">
        <v>12708</v>
      </c>
      <c r="B3499" s="1" t="s">
        <v>12709</v>
      </c>
      <c r="E3499">
        <v>1</v>
      </c>
      <c r="F3499">
        <v>1</v>
      </c>
      <c r="G3499" t="str">
        <f>HYPERLINK("http://babel.hathitrust.org/cgi/pt?id=uc1.b258032")</f>
        <v>http://babel.hathitrust.org/cgi/pt?id=uc1.b258032</v>
      </c>
      <c r="H3499" t="str">
        <f>HYPERLINK("http://catalog.hathitrust.org/Record/006507246")</f>
        <v>http://catalog.hathitrust.org/Record/006507246</v>
      </c>
      <c r="J3499" s="1">
        <v>1887</v>
      </c>
      <c r="K3499" t="s">
        <v>12710</v>
      </c>
      <c r="L3499" t="s">
        <v>20629</v>
      </c>
    </row>
    <row r="3500" spans="1:12">
      <c r="A3500" t="s">
        <v>12711</v>
      </c>
      <c r="B3500" s="1" t="s">
        <v>12712</v>
      </c>
      <c r="F3500">
        <v>1</v>
      </c>
      <c r="G3500" t="str">
        <f>HYPERLINK("http://babel.hathitrust.org/cgi/pt?id=uc1.b258034")</f>
        <v>http://babel.hathitrust.org/cgi/pt?id=uc1.b258034</v>
      </c>
      <c r="H3500" t="str">
        <f>HYPERLINK("http://catalog.hathitrust.org/Record/006507247")</f>
        <v>http://catalog.hathitrust.org/Record/006507247</v>
      </c>
      <c r="J3500" s="1">
        <v>1910</v>
      </c>
      <c r="K3500" t="s">
        <v>12713</v>
      </c>
      <c r="L3500" t="s">
        <v>19500</v>
      </c>
    </row>
    <row r="3501" spans="1:12">
      <c r="A3501" t="s">
        <v>12714</v>
      </c>
      <c r="B3501" s="1" t="s">
        <v>12715</v>
      </c>
      <c r="F3501">
        <v>1</v>
      </c>
      <c r="G3501" t="str">
        <f>HYPERLINK("http://babel.hathitrust.org/cgi/pt?id=uc1.b258046")</f>
        <v>http://babel.hathitrust.org/cgi/pt?id=uc1.b258046</v>
      </c>
      <c r="H3501" t="str">
        <f>HYPERLINK("http://catalog.hathitrust.org/Record/006507252")</f>
        <v>http://catalog.hathitrust.org/Record/006507252</v>
      </c>
      <c r="J3501" s="1">
        <v>1853</v>
      </c>
      <c r="K3501" t="s">
        <v>12716</v>
      </c>
      <c r="L3501" t="s">
        <v>12717</v>
      </c>
    </row>
    <row r="3502" spans="1:12">
      <c r="A3502" t="s">
        <v>12617</v>
      </c>
      <c r="B3502" s="1" t="s">
        <v>12715</v>
      </c>
      <c r="F3502">
        <v>1</v>
      </c>
      <c r="G3502" t="str">
        <f>HYPERLINK("http://babel.hathitrust.org/cgi/pt?id=uc2.ark:/13960/t15m64t2g")</f>
        <v>http://babel.hathitrust.org/cgi/pt?id=uc2.ark:/13960/t15m64t2g</v>
      </c>
      <c r="H3502" t="str">
        <f>HYPERLINK("http://catalog.hathitrust.org/Record/006507252")</f>
        <v>http://catalog.hathitrust.org/Record/006507252</v>
      </c>
      <c r="J3502" s="1">
        <v>1853</v>
      </c>
      <c r="K3502" t="s">
        <v>12716</v>
      </c>
      <c r="L3502" t="s">
        <v>12717</v>
      </c>
    </row>
    <row r="3503" spans="1:12">
      <c r="A3503" t="s">
        <v>12618</v>
      </c>
      <c r="B3503" s="1" t="s">
        <v>12619</v>
      </c>
      <c r="F3503">
        <v>1</v>
      </c>
      <c r="G3503" t="str">
        <f>HYPERLINK("http://babel.hathitrust.org/cgi/pt?id=uc1.b258058")</f>
        <v>http://babel.hathitrust.org/cgi/pt?id=uc1.b258058</v>
      </c>
      <c r="H3503" t="str">
        <f>HYPERLINK("http://catalog.hathitrust.org/Record/006507261")</f>
        <v>http://catalog.hathitrust.org/Record/006507261</v>
      </c>
      <c r="J3503" s="1">
        <v>1916</v>
      </c>
      <c r="K3503" t="s">
        <v>16653</v>
      </c>
      <c r="L3503" t="s">
        <v>16654</v>
      </c>
    </row>
    <row r="3504" spans="1:12">
      <c r="A3504" t="s">
        <v>12620</v>
      </c>
      <c r="B3504" s="1" t="s">
        <v>12621</v>
      </c>
      <c r="F3504">
        <v>1</v>
      </c>
      <c r="G3504" t="str">
        <f>HYPERLINK("http://babel.hathitrust.org/cgi/pt?id=nyp.33433066604699")</f>
        <v>http://babel.hathitrust.org/cgi/pt?id=nyp.33433066604699</v>
      </c>
      <c r="H3504" t="str">
        <f>HYPERLINK("http://catalog.hathitrust.org/Record/006507262")</f>
        <v>http://catalog.hathitrust.org/Record/006507262</v>
      </c>
      <c r="J3504" s="1">
        <v>1897</v>
      </c>
      <c r="K3504" t="s">
        <v>12622</v>
      </c>
      <c r="L3504" t="s">
        <v>12623</v>
      </c>
    </row>
    <row r="3505" spans="1:12">
      <c r="A3505" t="s">
        <v>12624</v>
      </c>
      <c r="B3505" s="1" t="s">
        <v>12621</v>
      </c>
      <c r="F3505">
        <v>1</v>
      </c>
      <c r="G3505" t="str">
        <f>HYPERLINK("http://babel.hathitrust.org/cgi/pt?id=uc1.b258062")</f>
        <v>http://babel.hathitrust.org/cgi/pt?id=uc1.b258062</v>
      </c>
      <c r="H3505" t="str">
        <f>HYPERLINK("http://catalog.hathitrust.org/Record/006507262")</f>
        <v>http://catalog.hathitrust.org/Record/006507262</v>
      </c>
      <c r="J3505" s="1">
        <v>1897</v>
      </c>
      <c r="K3505" t="s">
        <v>12622</v>
      </c>
      <c r="L3505" t="s">
        <v>12623</v>
      </c>
    </row>
    <row r="3506" spans="1:12">
      <c r="A3506" t="s">
        <v>12625</v>
      </c>
      <c r="B3506" s="1" t="s">
        <v>12621</v>
      </c>
      <c r="F3506">
        <v>1</v>
      </c>
      <c r="G3506" t="str">
        <f>HYPERLINK("http://babel.hathitrust.org/cgi/pt?id=uc2.ark:/13960/t0js9kq5z")</f>
        <v>http://babel.hathitrust.org/cgi/pt?id=uc2.ark:/13960/t0js9kq5z</v>
      </c>
      <c r="H3506" t="str">
        <f>HYPERLINK("http://catalog.hathitrust.org/Record/006507262")</f>
        <v>http://catalog.hathitrust.org/Record/006507262</v>
      </c>
      <c r="J3506" s="1">
        <v>1897</v>
      </c>
      <c r="K3506" t="s">
        <v>12622</v>
      </c>
      <c r="L3506" t="s">
        <v>12623</v>
      </c>
    </row>
    <row r="3507" spans="1:12">
      <c r="A3507" t="s">
        <v>12626</v>
      </c>
      <c r="B3507" s="1" t="s">
        <v>12627</v>
      </c>
      <c r="F3507">
        <v>1</v>
      </c>
      <c r="G3507" t="str">
        <f>HYPERLINK("http://babel.hathitrust.org/cgi/pt?id=uc1.b258072")</f>
        <v>http://babel.hathitrust.org/cgi/pt?id=uc1.b258072</v>
      </c>
      <c r="H3507" t="str">
        <f>HYPERLINK("http://catalog.hathitrust.org/Record/006507267")</f>
        <v>http://catalog.hathitrust.org/Record/006507267</v>
      </c>
      <c r="J3507" s="1">
        <v>1930</v>
      </c>
      <c r="K3507" t="s">
        <v>12628</v>
      </c>
      <c r="L3507" t="s">
        <v>12629</v>
      </c>
    </row>
    <row r="3508" spans="1:12">
      <c r="A3508" t="s">
        <v>12630</v>
      </c>
      <c r="B3508" s="1" t="s">
        <v>12631</v>
      </c>
      <c r="F3508">
        <v>1</v>
      </c>
      <c r="G3508" t="str">
        <f>HYPERLINK("http://babel.hathitrust.org/cgi/pt?id=njp.32101064791914")</f>
        <v>http://babel.hathitrust.org/cgi/pt?id=njp.32101064791914</v>
      </c>
      <c r="H3508" t="str">
        <f>HYPERLINK("http://catalog.hathitrust.org/Record/006507274")</f>
        <v>http://catalog.hathitrust.org/Record/006507274</v>
      </c>
      <c r="J3508" s="1">
        <v>1892</v>
      </c>
      <c r="K3508" t="s">
        <v>12632</v>
      </c>
      <c r="L3508" t="s">
        <v>15186</v>
      </c>
    </row>
    <row r="3509" spans="1:12">
      <c r="A3509" t="s">
        <v>12633</v>
      </c>
      <c r="B3509" s="1" t="s">
        <v>12631</v>
      </c>
      <c r="F3509">
        <v>1</v>
      </c>
      <c r="G3509" t="str">
        <f>HYPERLINK("http://babel.hathitrust.org/cgi/pt?id=uc1.b258083")</f>
        <v>http://babel.hathitrust.org/cgi/pt?id=uc1.b258083</v>
      </c>
      <c r="H3509" t="str">
        <f>HYPERLINK("http://catalog.hathitrust.org/Record/006507274")</f>
        <v>http://catalog.hathitrust.org/Record/006507274</v>
      </c>
      <c r="J3509" s="1">
        <v>1892</v>
      </c>
      <c r="K3509" t="s">
        <v>12632</v>
      </c>
      <c r="L3509" t="s">
        <v>15186</v>
      </c>
    </row>
    <row r="3510" spans="1:12">
      <c r="A3510" t="s">
        <v>12634</v>
      </c>
      <c r="B3510" s="1" t="s">
        <v>12631</v>
      </c>
      <c r="F3510">
        <v>1</v>
      </c>
      <c r="G3510" t="str">
        <f>HYPERLINK("http://babel.hathitrust.org/cgi/pt?id=uc2.ark:/13960/t53f4ph5h")</f>
        <v>http://babel.hathitrust.org/cgi/pt?id=uc2.ark:/13960/t53f4ph5h</v>
      </c>
      <c r="H3510" t="str">
        <f>HYPERLINK("http://catalog.hathitrust.org/Record/006507274")</f>
        <v>http://catalog.hathitrust.org/Record/006507274</v>
      </c>
      <c r="J3510" s="1">
        <v>1892</v>
      </c>
      <c r="K3510" t="s">
        <v>12632</v>
      </c>
      <c r="L3510" t="s">
        <v>15186</v>
      </c>
    </row>
    <row r="3511" spans="1:12">
      <c r="A3511" t="s">
        <v>12635</v>
      </c>
      <c r="B3511" s="1" t="s">
        <v>12636</v>
      </c>
      <c r="F3511">
        <v>1</v>
      </c>
      <c r="G3511" t="str">
        <f>HYPERLINK("http://babel.hathitrust.org/cgi/pt?id=nyp.33433082522586")</f>
        <v>http://babel.hathitrust.org/cgi/pt?id=nyp.33433082522586</v>
      </c>
      <c r="H3511" t="str">
        <f>HYPERLINK("http://catalog.hathitrust.org/Record/006507278")</f>
        <v>http://catalog.hathitrust.org/Record/006507278</v>
      </c>
      <c r="J3511" s="1">
        <v>1908</v>
      </c>
      <c r="K3511" t="s">
        <v>12637</v>
      </c>
      <c r="L3511" t="s">
        <v>16642</v>
      </c>
    </row>
    <row r="3512" spans="1:12">
      <c r="A3512" t="s">
        <v>12638</v>
      </c>
      <c r="B3512" s="1" t="s">
        <v>12636</v>
      </c>
      <c r="F3512">
        <v>1</v>
      </c>
      <c r="G3512" t="str">
        <f>HYPERLINK("http://babel.hathitrust.org/cgi/pt?id=uc1.b258088")</f>
        <v>http://babel.hathitrust.org/cgi/pt?id=uc1.b258088</v>
      </c>
      <c r="H3512" t="str">
        <f>HYPERLINK("http://catalog.hathitrust.org/Record/006507278")</f>
        <v>http://catalog.hathitrust.org/Record/006507278</v>
      </c>
      <c r="J3512" s="1">
        <v>1908</v>
      </c>
      <c r="K3512" t="s">
        <v>12637</v>
      </c>
      <c r="L3512" t="s">
        <v>16642</v>
      </c>
    </row>
    <row r="3513" spans="1:12">
      <c r="A3513" t="s">
        <v>12639</v>
      </c>
      <c r="B3513" s="1" t="s">
        <v>12636</v>
      </c>
      <c r="F3513">
        <v>1</v>
      </c>
      <c r="G3513" t="str">
        <f>HYPERLINK("http://babel.hathitrust.org/cgi/pt?id=uc2.ark:/13960/t6k070w9c")</f>
        <v>http://babel.hathitrust.org/cgi/pt?id=uc2.ark:/13960/t6k070w9c</v>
      </c>
      <c r="H3513" t="str">
        <f>HYPERLINK("http://catalog.hathitrust.org/Record/006507278")</f>
        <v>http://catalog.hathitrust.org/Record/006507278</v>
      </c>
      <c r="J3513" s="1">
        <v>1908</v>
      </c>
      <c r="K3513" t="s">
        <v>12637</v>
      </c>
      <c r="L3513" t="s">
        <v>16642</v>
      </c>
    </row>
    <row r="3514" spans="1:12">
      <c r="A3514" t="s">
        <v>12640</v>
      </c>
      <c r="B3514" s="1" t="s">
        <v>12641</v>
      </c>
      <c r="F3514">
        <v>1</v>
      </c>
      <c r="G3514" t="str">
        <f>HYPERLINK("http://babel.hathitrust.org/cgi/pt?id=nyp.33433066584495")</f>
        <v>http://babel.hathitrust.org/cgi/pt?id=nyp.33433066584495</v>
      </c>
      <c r="H3514" t="str">
        <f>HYPERLINK("http://catalog.hathitrust.org/Record/006507284")</f>
        <v>http://catalog.hathitrust.org/Record/006507284</v>
      </c>
      <c r="J3514" s="1">
        <v>1881</v>
      </c>
      <c r="K3514" t="s">
        <v>12642</v>
      </c>
      <c r="L3514" t="s">
        <v>12643</v>
      </c>
    </row>
    <row r="3515" spans="1:12">
      <c r="A3515" t="s">
        <v>12644</v>
      </c>
      <c r="B3515" s="1" t="s">
        <v>12641</v>
      </c>
      <c r="F3515">
        <v>1</v>
      </c>
      <c r="G3515" t="str">
        <f>HYPERLINK("http://babel.hathitrust.org/cgi/pt?id=uc1.b258100")</f>
        <v>http://babel.hathitrust.org/cgi/pt?id=uc1.b258100</v>
      </c>
      <c r="H3515" t="str">
        <f>HYPERLINK("http://catalog.hathitrust.org/Record/006507284")</f>
        <v>http://catalog.hathitrust.org/Record/006507284</v>
      </c>
      <c r="J3515" s="1">
        <v>1881</v>
      </c>
      <c r="K3515" t="s">
        <v>12642</v>
      </c>
      <c r="L3515" t="s">
        <v>12643</v>
      </c>
    </row>
    <row r="3516" spans="1:12">
      <c r="A3516" t="s">
        <v>12645</v>
      </c>
      <c r="B3516" s="1" t="s">
        <v>12641</v>
      </c>
      <c r="F3516">
        <v>1</v>
      </c>
      <c r="G3516" t="str">
        <f>HYPERLINK("http://babel.hathitrust.org/cgi/pt?id=uc1.b307766")</f>
        <v>http://babel.hathitrust.org/cgi/pt?id=uc1.b307766</v>
      </c>
      <c r="H3516" t="str">
        <f>HYPERLINK("http://catalog.hathitrust.org/Record/006507284")</f>
        <v>http://catalog.hathitrust.org/Record/006507284</v>
      </c>
      <c r="J3516" s="1">
        <v>1881</v>
      </c>
      <c r="K3516" t="s">
        <v>12642</v>
      </c>
      <c r="L3516" t="s">
        <v>12643</v>
      </c>
    </row>
    <row r="3517" spans="1:12">
      <c r="A3517" t="s">
        <v>12646</v>
      </c>
      <c r="B3517" s="1" t="s">
        <v>12641</v>
      </c>
      <c r="F3517">
        <v>1</v>
      </c>
      <c r="G3517" t="str">
        <f>HYPERLINK("http://babel.hathitrust.org/cgi/pt?id=uc2.ark:/13960/t45q4vc8b")</f>
        <v>http://babel.hathitrust.org/cgi/pt?id=uc2.ark:/13960/t45q4vc8b</v>
      </c>
      <c r="H3517" t="str">
        <f>HYPERLINK("http://catalog.hathitrust.org/Record/006507284")</f>
        <v>http://catalog.hathitrust.org/Record/006507284</v>
      </c>
      <c r="J3517" s="1">
        <v>1881</v>
      </c>
      <c r="K3517" t="s">
        <v>12642</v>
      </c>
      <c r="L3517" t="s">
        <v>12643</v>
      </c>
    </row>
    <row r="3518" spans="1:12">
      <c r="A3518" t="s">
        <v>12647</v>
      </c>
      <c r="B3518" s="1" t="s">
        <v>12648</v>
      </c>
      <c r="F3518">
        <v>1</v>
      </c>
      <c r="G3518" t="str">
        <f>HYPERLINK("http://babel.hathitrust.org/cgi/pt?id=uc1.b258112")</f>
        <v>http://babel.hathitrust.org/cgi/pt?id=uc1.b258112</v>
      </c>
      <c r="H3518" t="str">
        <f>HYPERLINK("http://catalog.hathitrust.org/Record/006507291")</f>
        <v>http://catalog.hathitrust.org/Record/006507291</v>
      </c>
      <c r="J3518" s="1">
        <v>1860</v>
      </c>
      <c r="K3518" t="s">
        <v>12649</v>
      </c>
      <c r="L3518" t="s">
        <v>12650</v>
      </c>
    </row>
    <row r="3519" spans="1:12">
      <c r="A3519" t="s">
        <v>12651</v>
      </c>
      <c r="B3519" s="1" t="s">
        <v>12648</v>
      </c>
      <c r="F3519">
        <v>1</v>
      </c>
      <c r="G3519" t="str">
        <f>HYPERLINK("http://babel.hathitrust.org/cgi/pt?id=uc2.ark:/13960/t83j3d429")</f>
        <v>http://babel.hathitrust.org/cgi/pt?id=uc2.ark:/13960/t83j3d429</v>
      </c>
      <c r="H3519" t="str">
        <f>HYPERLINK("http://catalog.hathitrust.org/Record/006507291")</f>
        <v>http://catalog.hathitrust.org/Record/006507291</v>
      </c>
      <c r="J3519" s="1">
        <v>1860</v>
      </c>
      <c r="K3519" t="s">
        <v>12649</v>
      </c>
      <c r="L3519" t="s">
        <v>12650</v>
      </c>
    </row>
    <row r="3520" spans="1:12">
      <c r="A3520" t="s">
        <v>12652</v>
      </c>
      <c r="B3520" s="1" t="s">
        <v>12653</v>
      </c>
      <c r="F3520">
        <v>1</v>
      </c>
      <c r="G3520" t="str">
        <f>HYPERLINK("http://babel.hathitrust.org/cgi/pt?id=uc1.b258115")</f>
        <v>http://babel.hathitrust.org/cgi/pt?id=uc1.b258115</v>
      </c>
      <c r="H3520" t="str">
        <f>HYPERLINK("http://catalog.hathitrust.org/Record/006507292")</f>
        <v>http://catalog.hathitrust.org/Record/006507292</v>
      </c>
      <c r="J3520" s="1">
        <v>1892</v>
      </c>
      <c r="K3520" t="s">
        <v>12654</v>
      </c>
      <c r="L3520" t="s">
        <v>13209</v>
      </c>
    </row>
    <row r="3521" spans="1:12">
      <c r="A3521" t="s">
        <v>12655</v>
      </c>
      <c r="B3521" s="1" t="s">
        <v>12653</v>
      </c>
      <c r="F3521">
        <v>1</v>
      </c>
      <c r="G3521" t="str">
        <f>HYPERLINK("http://babel.hathitrust.org/cgi/pt?id=uc2.ark:/13960/t8pc2x87w")</f>
        <v>http://babel.hathitrust.org/cgi/pt?id=uc2.ark:/13960/t8pc2x87w</v>
      </c>
      <c r="H3521" t="str">
        <f>HYPERLINK("http://catalog.hathitrust.org/Record/006507292")</f>
        <v>http://catalog.hathitrust.org/Record/006507292</v>
      </c>
      <c r="J3521" s="1">
        <v>1892</v>
      </c>
      <c r="K3521" t="s">
        <v>12654</v>
      </c>
      <c r="L3521" t="s">
        <v>13209</v>
      </c>
    </row>
    <row r="3522" spans="1:12">
      <c r="A3522" t="s">
        <v>12656</v>
      </c>
      <c r="B3522" s="1" t="s">
        <v>12657</v>
      </c>
      <c r="F3522">
        <v>1</v>
      </c>
      <c r="G3522" t="str">
        <f>HYPERLINK("http://babel.hathitrust.org/cgi/pt?id=uc1.b258123")</f>
        <v>http://babel.hathitrust.org/cgi/pt?id=uc1.b258123</v>
      </c>
      <c r="H3522" t="str">
        <f>HYPERLINK("http://catalog.hathitrust.org/Record/006507298")</f>
        <v>http://catalog.hathitrust.org/Record/006507298</v>
      </c>
      <c r="J3522" s="1">
        <v>1870</v>
      </c>
      <c r="K3522" t="s">
        <v>12658</v>
      </c>
      <c r="L3522" t="s">
        <v>12659</v>
      </c>
    </row>
    <row r="3523" spans="1:12">
      <c r="A3523" t="s">
        <v>12660</v>
      </c>
      <c r="B3523" s="1" t="s">
        <v>12661</v>
      </c>
      <c r="F3523">
        <v>1</v>
      </c>
      <c r="G3523" t="str">
        <f>HYPERLINK("http://babel.hathitrust.org/cgi/pt?id=uc1.b258129")</f>
        <v>http://babel.hathitrust.org/cgi/pt?id=uc1.b258129</v>
      </c>
      <c r="H3523" t="str">
        <f>HYPERLINK("http://catalog.hathitrust.org/Record/006507301")</f>
        <v>http://catalog.hathitrust.org/Record/006507301</v>
      </c>
      <c r="J3523" s="1">
        <v>1872</v>
      </c>
      <c r="K3523" t="s">
        <v>12662</v>
      </c>
      <c r="L3523" t="s">
        <v>19080</v>
      </c>
    </row>
    <row r="3524" spans="1:12">
      <c r="A3524" t="s">
        <v>12663</v>
      </c>
      <c r="B3524" s="1" t="s">
        <v>12661</v>
      </c>
      <c r="F3524">
        <v>1</v>
      </c>
      <c r="G3524" t="str">
        <f>HYPERLINK("http://babel.hathitrust.org/cgi/pt?id=uc2.ark:/13960/fk74t6fm31")</f>
        <v>http://babel.hathitrust.org/cgi/pt?id=uc2.ark:/13960/fk74t6fm31</v>
      </c>
      <c r="H3524" t="str">
        <f>HYPERLINK("http://catalog.hathitrust.org/Record/006507301")</f>
        <v>http://catalog.hathitrust.org/Record/006507301</v>
      </c>
      <c r="J3524" s="1">
        <v>1872</v>
      </c>
      <c r="K3524" t="s">
        <v>12662</v>
      </c>
      <c r="L3524" t="s">
        <v>19080</v>
      </c>
    </row>
    <row r="3525" spans="1:12">
      <c r="A3525" t="s">
        <v>12664</v>
      </c>
      <c r="B3525" s="1" t="s">
        <v>12665</v>
      </c>
      <c r="F3525">
        <v>1</v>
      </c>
      <c r="G3525" t="str">
        <f>HYPERLINK("http://babel.hathitrust.org/cgi/pt?id=uc1.b258130")</f>
        <v>http://babel.hathitrust.org/cgi/pt?id=uc1.b258130</v>
      </c>
      <c r="H3525" t="str">
        <f>HYPERLINK("http://catalog.hathitrust.org/Record/006507302")</f>
        <v>http://catalog.hathitrust.org/Record/006507302</v>
      </c>
      <c r="J3525" s="1">
        <v>1859</v>
      </c>
      <c r="K3525" t="s">
        <v>13281</v>
      </c>
      <c r="L3525" t="s">
        <v>20884</v>
      </c>
    </row>
    <row r="3526" spans="1:12">
      <c r="A3526" t="s">
        <v>12666</v>
      </c>
      <c r="B3526" s="1" t="s">
        <v>12667</v>
      </c>
      <c r="F3526">
        <v>1</v>
      </c>
      <c r="G3526" t="str">
        <f>HYPERLINK("http://babel.hathitrust.org/cgi/pt?id=uc1.b258132")</f>
        <v>http://babel.hathitrust.org/cgi/pt?id=uc1.b258132</v>
      </c>
      <c r="H3526" t="str">
        <f>HYPERLINK("http://catalog.hathitrust.org/Record/006507303")</f>
        <v>http://catalog.hathitrust.org/Record/006507303</v>
      </c>
      <c r="J3526" s="1">
        <v>1850</v>
      </c>
      <c r="K3526" t="s">
        <v>12553</v>
      </c>
      <c r="L3526" t="s">
        <v>12659</v>
      </c>
    </row>
    <row r="3527" spans="1:12">
      <c r="A3527" t="s">
        <v>12554</v>
      </c>
      <c r="B3527" s="1" t="s">
        <v>12667</v>
      </c>
      <c r="F3527">
        <v>1</v>
      </c>
      <c r="G3527" t="str">
        <f>HYPERLINK("http://babel.hathitrust.org/cgi/pt?id=uc2.ark:/13960/t8z895f2q")</f>
        <v>http://babel.hathitrust.org/cgi/pt?id=uc2.ark:/13960/t8z895f2q</v>
      </c>
      <c r="H3527" t="str">
        <f>HYPERLINK("http://catalog.hathitrust.org/Record/006507303")</f>
        <v>http://catalog.hathitrust.org/Record/006507303</v>
      </c>
      <c r="J3527" s="1">
        <v>1850</v>
      </c>
      <c r="K3527" t="s">
        <v>12553</v>
      </c>
      <c r="L3527" t="s">
        <v>12659</v>
      </c>
    </row>
    <row r="3528" spans="1:12">
      <c r="A3528" t="s">
        <v>12555</v>
      </c>
      <c r="B3528" s="1" t="s">
        <v>12556</v>
      </c>
      <c r="F3528">
        <v>1</v>
      </c>
      <c r="G3528" t="str">
        <f>HYPERLINK("http://babel.hathitrust.org/cgi/pt?id=nyp.33433082310800")</f>
        <v>http://babel.hathitrust.org/cgi/pt?id=nyp.33433082310800</v>
      </c>
      <c r="H3528" t="str">
        <f>HYPERLINK("http://catalog.hathitrust.org/Record/006507306")</f>
        <v>http://catalog.hathitrust.org/Record/006507306</v>
      </c>
      <c r="J3528" s="1">
        <v>1900</v>
      </c>
      <c r="K3528" t="s">
        <v>12557</v>
      </c>
      <c r="L3528" t="s">
        <v>12833</v>
      </c>
    </row>
    <row r="3529" spans="1:12">
      <c r="A3529" t="s">
        <v>12558</v>
      </c>
      <c r="B3529" s="1" t="s">
        <v>12556</v>
      </c>
      <c r="F3529">
        <v>1</v>
      </c>
      <c r="G3529" t="str">
        <f>HYPERLINK("http://babel.hathitrust.org/cgi/pt?id=uc1.b258136")</f>
        <v>http://babel.hathitrust.org/cgi/pt?id=uc1.b258136</v>
      </c>
      <c r="H3529" t="str">
        <f>HYPERLINK("http://catalog.hathitrust.org/Record/006507306")</f>
        <v>http://catalog.hathitrust.org/Record/006507306</v>
      </c>
      <c r="J3529" s="1">
        <v>1900</v>
      </c>
      <c r="K3529" t="s">
        <v>12557</v>
      </c>
      <c r="L3529" t="s">
        <v>12833</v>
      </c>
    </row>
    <row r="3530" spans="1:12">
      <c r="A3530" t="s">
        <v>12559</v>
      </c>
      <c r="B3530" s="1" t="s">
        <v>12560</v>
      </c>
      <c r="F3530">
        <v>1</v>
      </c>
      <c r="G3530" t="str">
        <f>HYPERLINK("http://babel.hathitrust.org/cgi/pt?id=uc1.b258145")</f>
        <v>http://babel.hathitrust.org/cgi/pt?id=uc1.b258145</v>
      </c>
      <c r="H3530" t="str">
        <f>HYPERLINK("http://catalog.hathitrust.org/Record/006507311")</f>
        <v>http://catalog.hathitrust.org/Record/006507311</v>
      </c>
      <c r="J3530" s="1">
        <v>1879</v>
      </c>
      <c r="K3530" t="s">
        <v>12561</v>
      </c>
      <c r="L3530" t="s">
        <v>12562</v>
      </c>
    </row>
    <row r="3531" spans="1:12">
      <c r="A3531" t="s">
        <v>12563</v>
      </c>
      <c r="B3531" s="1" t="s">
        <v>12560</v>
      </c>
      <c r="F3531">
        <v>1</v>
      </c>
      <c r="G3531" t="str">
        <f>HYPERLINK("http://babel.hathitrust.org/cgi/pt?id=uc2.ark:/13960/t6b27sn6t")</f>
        <v>http://babel.hathitrust.org/cgi/pt?id=uc2.ark:/13960/t6b27sn6t</v>
      </c>
      <c r="H3531" t="str">
        <f>HYPERLINK("http://catalog.hathitrust.org/Record/006507311")</f>
        <v>http://catalog.hathitrust.org/Record/006507311</v>
      </c>
      <c r="J3531" s="1">
        <v>1879</v>
      </c>
      <c r="K3531" t="s">
        <v>12561</v>
      </c>
      <c r="L3531" t="s">
        <v>12562</v>
      </c>
    </row>
    <row r="3532" spans="1:12">
      <c r="A3532" t="s">
        <v>12564</v>
      </c>
      <c r="B3532" s="1" t="s">
        <v>12565</v>
      </c>
      <c r="F3532">
        <v>1</v>
      </c>
      <c r="G3532" t="str">
        <f>HYPERLINK("http://babel.hathitrust.org/cgi/pt?id=uc1.b258157")</f>
        <v>http://babel.hathitrust.org/cgi/pt?id=uc1.b258157</v>
      </c>
      <c r="H3532" t="str">
        <f>HYPERLINK("http://catalog.hathitrust.org/Record/006507318")</f>
        <v>http://catalog.hathitrust.org/Record/006507318</v>
      </c>
      <c r="I3532" s="1" t="s">
        <v>20796</v>
      </c>
      <c r="J3532" s="1">
        <v>1911</v>
      </c>
      <c r="K3532" t="s">
        <v>12566</v>
      </c>
      <c r="L3532" t="s">
        <v>20193</v>
      </c>
    </row>
    <row r="3533" spans="1:12">
      <c r="A3533" t="s">
        <v>12567</v>
      </c>
      <c r="B3533" s="1" t="s">
        <v>12565</v>
      </c>
      <c r="F3533">
        <v>1</v>
      </c>
      <c r="G3533" t="str">
        <f>HYPERLINK("http://babel.hathitrust.org/cgi/pt?id=uc1.b258158")</f>
        <v>http://babel.hathitrust.org/cgi/pt?id=uc1.b258158</v>
      </c>
      <c r="H3533" t="str">
        <f>HYPERLINK("http://catalog.hathitrust.org/Record/006507318")</f>
        <v>http://catalog.hathitrust.org/Record/006507318</v>
      </c>
      <c r="I3533" s="1" t="s">
        <v>20799</v>
      </c>
      <c r="J3533" s="1">
        <v>1911</v>
      </c>
      <c r="K3533" t="s">
        <v>12566</v>
      </c>
      <c r="L3533" t="s">
        <v>20193</v>
      </c>
    </row>
    <row r="3534" spans="1:12">
      <c r="A3534" t="s">
        <v>12568</v>
      </c>
      <c r="B3534" s="1" t="s">
        <v>12569</v>
      </c>
      <c r="F3534">
        <v>1</v>
      </c>
      <c r="G3534" t="str">
        <f>HYPERLINK("http://babel.hathitrust.org/cgi/pt?id=uc1.b258169")</f>
        <v>http://babel.hathitrust.org/cgi/pt?id=uc1.b258169</v>
      </c>
      <c r="H3534" t="str">
        <f>HYPERLINK("http://catalog.hathitrust.org/Record/006507320")</f>
        <v>http://catalog.hathitrust.org/Record/006507320</v>
      </c>
      <c r="J3534" s="1">
        <v>1888</v>
      </c>
      <c r="K3534" t="s">
        <v>12570</v>
      </c>
      <c r="L3534" t="s">
        <v>17145</v>
      </c>
    </row>
    <row r="3535" spans="1:12">
      <c r="A3535" t="s">
        <v>12571</v>
      </c>
      <c r="B3535" s="1" t="s">
        <v>12569</v>
      </c>
      <c r="F3535">
        <v>1</v>
      </c>
      <c r="G3535" t="str">
        <f>HYPERLINK("http://babel.hathitrust.org/cgi/pt?id=uc2.ark:/13960/t22b8z16c")</f>
        <v>http://babel.hathitrust.org/cgi/pt?id=uc2.ark:/13960/t22b8z16c</v>
      </c>
      <c r="H3535" t="str">
        <f>HYPERLINK("http://catalog.hathitrust.org/Record/006507320")</f>
        <v>http://catalog.hathitrust.org/Record/006507320</v>
      </c>
      <c r="J3535" s="1">
        <v>1888</v>
      </c>
      <c r="K3535" t="s">
        <v>12570</v>
      </c>
      <c r="L3535" t="s">
        <v>17145</v>
      </c>
    </row>
    <row r="3536" spans="1:12">
      <c r="A3536" t="s">
        <v>12572</v>
      </c>
      <c r="B3536" s="1" t="s">
        <v>12573</v>
      </c>
      <c r="E3536">
        <v>1</v>
      </c>
      <c r="F3536">
        <v>1</v>
      </c>
      <c r="G3536" t="str">
        <f>HYPERLINK("http://babel.hathitrust.org/cgi/pt?id=uc1.b258176")</f>
        <v>http://babel.hathitrust.org/cgi/pt?id=uc1.b258176</v>
      </c>
      <c r="H3536" t="str">
        <f>HYPERLINK("http://catalog.hathitrust.org/Record/006507325")</f>
        <v>http://catalog.hathitrust.org/Record/006507325</v>
      </c>
      <c r="J3536" s="1">
        <v>1901</v>
      </c>
      <c r="K3536" t="s">
        <v>12574</v>
      </c>
      <c r="L3536" t="s">
        <v>18982</v>
      </c>
    </row>
    <row r="3537" spans="1:12">
      <c r="A3537" t="s">
        <v>12575</v>
      </c>
      <c r="B3537" s="1" t="s">
        <v>12573</v>
      </c>
      <c r="F3537">
        <v>1</v>
      </c>
      <c r="G3537" t="str">
        <f>HYPERLINK("http://babel.hathitrust.org/cgi/pt?id=uc2.ark:/13960/t1qf8n385")</f>
        <v>http://babel.hathitrust.org/cgi/pt?id=uc2.ark:/13960/t1qf8n385</v>
      </c>
      <c r="H3537" t="str">
        <f>HYPERLINK("http://catalog.hathitrust.org/Record/006507325")</f>
        <v>http://catalog.hathitrust.org/Record/006507325</v>
      </c>
      <c r="J3537" s="1">
        <v>1901</v>
      </c>
      <c r="K3537" t="s">
        <v>12574</v>
      </c>
      <c r="L3537" t="s">
        <v>18982</v>
      </c>
    </row>
    <row r="3538" spans="1:12">
      <c r="A3538" t="s">
        <v>12576</v>
      </c>
      <c r="B3538" s="1" t="s">
        <v>12577</v>
      </c>
      <c r="F3538">
        <v>1</v>
      </c>
      <c r="G3538" t="str">
        <f>HYPERLINK("http://babel.hathitrust.org/cgi/pt?id=nyp.33433082512306")</f>
        <v>http://babel.hathitrust.org/cgi/pt?id=nyp.33433082512306</v>
      </c>
      <c r="H3538" t="str">
        <f>HYPERLINK("http://catalog.hathitrust.org/Record/006507326")</f>
        <v>http://catalog.hathitrust.org/Record/006507326</v>
      </c>
      <c r="J3538" s="1">
        <v>1905</v>
      </c>
      <c r="K3538" t="s">
        <v>12578</v>
      </c>
      <c r="L3538" t="s">
        <v>14154</v>
      </c>
    </row>
    <row r="3539" spans="1:12">
      <c r="A3539" t="s">
        <v>12579</v>
      </c>
      <c r="B3539" s="1" t="s">
        <v>12577</v>
      </c>
      <c r="F3539">
        <v>1</v>
      </c>
      <c r="G3539" t="str">
        <f>HYPERLINK("http://babel.hathitrust.org/cgi/pt?id=uc1.b258177")</f>
        <v>http://babel.hathitrust.org/cgi/pt?id=uc1.b258177</v>
      </c>
      <c r="H3539" t="str">
        <f>HYPERLINK("http://catalog.hathitrust.org/Record/006507326")</f>
        <v>http://catalog.hathitrust.org/Record/006507326</v>
      </c>
      <c r="J3539" s="1">
        <v>1905</v>
      </c>
      <c r="K3539" t="s">
        <v>12578</v>
      </c>
      <c r="L3539" t="s">
        <v>14154</v>
      </c>
    </row>
    <row r="3540" spans="1:12">
      <c r="A3540" t="s">
        <v>12580</v>
      </c>
      <c r="B3540" s="1" t="s">
        <v>12577</v>
      </c>
      <c r="F3540">
        <v>1</v>
      </c>
      <c r="G3540" t="str">
        <f>HYPERLINK("http://babel.hathitrust.org/cgi/pt?id=uc1.b307918")</f>
        <v>http://babel.hathitrust.org/cgi/pt?id=uc1.b307918</v>
      </c>
      <c r="H3540" t="str">
        <f>HYPERLINK("http://catalog.hathitrust.org/Record/006507326")</f>
        <v>http://catalog.hathitrust.org/Record/006507326</v>
      </c>
      <c r="J3540" s="1">
        <v>1905</v>
      </c>
      <c r="K3540" t="s">
        <v>12578</v>
      </c>
      <c r="L3540" t="s">
        <v>14154</v>
      </c>
    </row>
    <row r="3541" spans="1:12">
      <c r="A3541" t="s">
        <v>12581</v>
      </c>
      <c r="B3541" s="1" t="s">
        <v>12582</v>
      </c>
      <c r="F3541">
        <v>1</v>
      </c>
      <c r="G3541" t="str">
        <f>HYPERLINK("http://babel.hathitrust.org/cgi/pt?id=nyp.33433069253577")</f>
        <v>http://babel.hathitrust.org/cgi/pt?id=nyp.33433069253577</v>
      </c>
      <c r="H3541" t="str">
        <f>HYPERLINK("http://catalog.hathitrust.org/Record/006507327")</f>
        <v>http://catalog.hathitrust.org/Record/006507327</v>
      </c>
      <c r="J3541" s="1">
        <v>1914</v>
      </c>
      <c r="K3541" t="s">
        <v>12583</v>
      </c>
      <c r="L3541" t="s">
        <v>12584</v>
      </c>
    </row>
    <row r="3542" spans="1:12">
      <c r="A3542" t="s">
        <v>12585</v>
      </c>
      <c r="B3542" s="1" t="s">
        <v>12582</v>
      </c>
      <c r="F3542">
        <v>1</v>
      </c>
      <c r="G3542" t="str">
        <f>HYPERLINK("http://babel.hathitrust.org/cgi/pt?id=uc1.b258178")</f>
        <v>http://babel.hathitrust.org/cgi/pt?id=uc1.b258178</v>
      </c>
      <c r="H3542" t="str">
        <f>HYPERLINK("http://catalog.hathitrust.org/Record/006507327")</f>
        <v>http://catalog.hathitrust.org/Record/006507327</v>
      </c>
      <c r="J3542" s="1">
        <v>1914</v>
      </c>
      <c r="K3542" t="s">
        <v>12583</v>
      </c>
      <c r="L3542" t="s">
        <v>12584</v>
      </c>
    </row>
    <row r="3543" spans="1:12">
      <c r="A3543" t="s">
        <v>12586</v>
      </c>
      <c r="B3543" s="1" t="s">
        <v>12582</v>
      </c>
      <c r="F3543">
        <v>1</v>
      </c>
      <c r="G3543" t="str">
        <f>HYPERLINK("http://babel.hathitrust.org/cgi/pt?id=uc2.ark:/13960/t2k64df3f")</f>
        <v>http://babel.hathitrust.org/cgi/pt?id=uc2.ark:/13960/t2k64df3f</v>
      </c>
      <c r="H3543" t="str">
        <f>HYPERLINK("http://catalog.hathitrust.org/Record/006507327")</f>
        <v>http://catalog.hathitrust.org/Record/006507327</v>
      </c>
      <c r="J3543" s="1">
        <v>1914</v>
      </c>
      <c r="K3543" t="s">
        <v>12583</v>
      </c>
      <c r="L3543" t="s">
        <v>12584</v>
      </c>
    </row>
    <row r="3544" spans="1:12">
      <c r="A3544" t="s">
        <v>12587</v>
      </c>
      <c r="B3544" s="1" t="s">
        <v>12588</v>
      </c>
      <c r="F3544">
        <v>1</v>
      </c>
      <c r="G3544" t="str">
        <f>HYPERLINK("http://babel.hathitrust.org/cgi/pt?id=uc1.b258192")</f>
        <v>http://babel.hathitrust.org/cgi/pt?id=uc1.b258192</v>
      </c>
      <c r="H3544" t="str">
        <f>HYPERLINK("http://catalog.hathitrust.org/Record/006507336")</f>
        <v>http://catalog.hathitrust.org/Record/006507336</v>
      </c>
      <c r="J3544" s="1">
        <v>1920</v>
      </c>
      <c r="K3544" t="s">
        <v>12589</v>
      </c>
      <c r="L3544" t="s">
        <v>16755</v>
      </c>
    </row>
    <row r="3545" spans="1:12">
      <c r="A3545" t="s">
        <v>12590</v>
      </c>
      <c r="B3545" s="1" t="s">
        <v>12588</v>
      </c>
      <c r="F3545">
        <v>1</v>
      </c>
      <c r="G3545" t="str">
        <f>HYPERLINK("http://babel.hathitrust.org/cgi/pt?id=uc2.ark:/13960/t7wm16t4j")</f>
        <v>http://babel.hathitrust.org/cgi/pt?id=uc2.ark:/13960/t7wm16t4j</v>
      </c>
      <c r="H3545" t="str">
        <f>HYPERLINK("http://catalog.hathitrust.org/Record/006507336")</f>
        <v>http://catalog.hathitrust.org/Record/006507336</v>
      </c>
      <c r="J3545" s="1">
        <v>1920</v>
      </c>
      <c r="K3545" t="s">
        <v>12589</v>
      </c>
      <c r="L3545" t="s">
        <v>16755</v>
      </c>
    </row>
    <row r="3546" spans="1:12">
      <c r="A3546" t="s">
        <v>12591</v>
      </c>
      <c r="B3546" s="1" t="s">
        <v>12592</v>
      </c>
      <c r="F3546">
        <v>1</v>
      </c>
      <c r="G3546" t="str">
        <f>HYPERLINK("http://babel.hathitrust.org/cgi/pt?id=uc1.b258219")</f>
        <v>http://babel.hathitrust.org/cgi/pt?id=uc1.b258219</v>
      </c>
      <c r="H3546" t="str">
        <f>HYPERLINK("http://catalog.hathitrust.org/Record/006507353")</f>
        <v>http://catalog.hathitrust.org/Record/006507353</v>
      </c>
      <c r="J3546" s="1">
        <v>1894</v>
      </c>
      <c r="K3546" t="s">
        <v>12593</v>
      </c>
      <c r="L3546" t="s">
        <v>16984</v>
      </c>
    </row>
    <row r="3547" spans="1:12">
      <c r="A3547" t="s">
        <v>12594</v>
      </c>
      <c r="B3547" s="1" t="s">
        <v>12595</v>
      </c>
      <c r="F3547">
        <v>1</v>
      </c>
      <c r="G3547" t="str">
        <f>HYPERLINK("http://babel.hathitrust.org/cgi/pt?id=uc1.b258224")</f>
        <v>http://babel.hathitrust.org/cgi/pt?id=uc1.b258224</v>
      </c>
      <c r="H3547" t="str">
        <f>HYPERLINK("http://catalog.hathitrust.org/Record/006507357")</f>
        <v>http://catalog.hathitrust.org/Record/006507357</v>
      </c>
      <c r="J3547" s="1">
        <v>1898</v>
      </c>
      <c r="K3547" t="s">
        <v>12596</v>
      </c>
      <c r="L3547" t="s">
        <v>17560</v>
      </c>
    </row>
    <row r="3548" spans="1:12">
      <c r="A3548" t="s">
        <v>12597</v>
      </c>
      <c r="B3548" s="1" t="s">
        <v>12595</v>
      </c>
      <c r="F3548">
        <v>1</v>
      </c>
      <c r="G3548" t="str">
        <f>HYPERLINK("http://babel.hathitrust.org/cgi/pt?id=uc2.ark:/13960/t0dv1g57x")</f>
        <v>http://babel.hathitrust.org/cgi/pt?id=uc2.ark:/13960/t0dv1g57x</v>
      </c>
      <c r="H3548" t="str">
        <f>HYPERLINK("http://catalog.hathitrust.org/Record/006507357")</f>
        <v>http://catalog.hathitrust.org/Record/006507357</v>
      </c>
      <c r="J3548" s="1">
        <v>1898</v>
      </c>
      <c r="K3548" t="s">
        <v>12596</v>
      </c>
      <c r="L3548" t="s">
        <v>17560</v>
      </c>
    </row>
    <row r="3549" spans="1:12">
      <c r="A3549" t="s">
        <v>12598</v>
      </c>
      <c r="B3549" s="1" t="s">
        <v>12599</v>
      </c>
      <c r="F3549">
        <v>1</v>
      </c>
      <c r="G3549" t="str">
        <f>HYPERLINK("http://babel.hathitrust.org/cgi/pt?id=njp.32101064792201")</f>
        <v>http://babel.hathitrust.org/cgi/pt?id=njp.32101064792201</v>
      </c>
      <c r="H3549" t="str">
        <f>HYPERLINK("http://catalog.hathitrust.org/Record/006507358")</f>
        <v>http://catalog.hathitrust.org/Record/006507358</v>
      </c>
      <c r="J3549" s="1">
        <v>1890</v>
      </c>
      <c r="K3549" t="s">
        <v>12600</v>
      </c>
      <c r="L3549" t="s">
        <v>16060</v>
      </c>
    </row>
    <row r="3550" spans="1:12">
      <c r="A3550" t="s">
        <v>12601</v>
      </c>
      <c r="B3550" s="1" t="s">
        <v>12599</v>
      </c>
      <c r="F3550">
        <v>1</v>
      </c>
      <c r="G3550" t="str">
        <f>HYPERLINK("http://babel.hathitrust.org/cgi/pt?id=uc1.b258225")</f>
        <v>http://babel.hathitrust.org/cgi/pt?id=uc1.b258225</v>
      </c>
      <c r="H3550" t="str">
        <f>HYPERLINK("http://catalog.hathitrust.org/Record/006507358")</f>
        <v>http://catalog.hathitrust.org/Record/006507358</v>
      </c>
      <c r="J3550" s="1">
        <v>1890</v>
      </c>
      <c r="K3550" t="s">
        <v>12600</v>
      </c>
      <c r="L3550" t="s">
        <v>16060</v>
      </c>
    </row>
    <row r="3551" spans="1:12">
      <c r="A3551" t="s">
        <v>12602</v>
      </c>
      <c r="B3551" s="1" t="s">
        <v>12599</v>
      </c>
      <c r="F3551">
        <v>1</v>
      </c>
      <c r="G3551" t="str">
        <f>HYPERLINK("http://babel.hathitrust.org/cgi/pt?id=uc2.ark:/13960/t8v982r7z")</f>
        <v>http://babel.hathitrust.org/cgi/pt?id=uc2.ark:/13960/t8v982r7z</v>
      </c>
      <c r="H3551" t="str">
        <f>HYPERLINK("http://catalog.hathitrust.org/Record/006507358")</f>
        <v>http://catalog.hathitrust.org/Record/006507358</v>
      </c>
      <c r="J3551" s="1">
        <v>1890</v>
      </c>
      <c r="K3551" t="s">
        <v>12600</v>
      </c>
      <c r="L3551" t="s">
        <v>16060</v>
      </c>
    </row>
    <row r="3552" spans="1:12">
      <c r="A3552" t="s">
        <v>12603</v>
      </c>
      <c r="B3552" s="1" t="s">
        <v>12604</v>
      </c>
      <c r="F3552">
        <v>1</v>
      </c>
      <c r="G3552" t="str">
        <f>HYPERLINK("http://babel.hathitrust.org/cgi/pt?id=njp.32101063584427")</f>
        <v>http://babel.hathitrust.org/cgi/pt?id=njp.32101063584427</v>
      </c>
      <c r="H3552" t="str">
        <f>HYPERLINK("http://catalog.hathitrust.org/Record/006507360")</f>
        <v>http://catalog.hathitrust.org/Record/006507360</v>
      </c>
      <c r="J3552" s="1">
        <v>1909</v>
      </c>
      <c r="K3552" t="s">
        <v>12605</v>
      </c>
      <c r="L3552" t="s">
        <v>16559</v>
      </c>
    </row>
    <row r="3553" spans="1:12">
      <c r="A3553" t="s">
        <v>12606</v>
      </c>
      <c r="B3553" s="1" t="s">
        <v>12604</v>
      </c>
      <c r="F3553">
        <v>1</v>
      </c>
      <c r="G3553" t="str">
        <f>HYPERLINK("http://babel.hathitrust.org/cgi/pt?id=uc1.b258227")</f>
        <v>http://babel.hathitrust.org/cgi/pt?id=uc1.b258227</v>
      </c>
      <c r="H3553" t="str">
        <f>HYPERLINK("http://catalog.hathitrust.org/Record/006507360")</f>
        <v>http://catalog.hathitrust.org/Record/006507360</v>
      </c>
      <c r="J3553" s="1">
        <v>1909</v>
      </c>
      <c r="K3553" t="s">
        <v>12605</v>
      </c>
      <c r="L3553" t="s">
        <v>16559</v>
      </c>
    </row>
    <row r="3554" spans="1:12">
      <c r="A3554" t="s">
        <v>12607</v>
      </c>
      <c r="B3554" s="1" t="s">
        <v>12604</v>
      </c>
      <c r="F3554">
        <v>1</v>
      </c>
      <c r="G3554" t="str">
        <f>HYPERLINK("http://babel.hathitrust.org/cgi/pt?id=uc2.ark:/13960/t2d797z67")</f>
        <v>http://babel.hathitrust.org/cgi/pt?id=uc2.ark:/13960/t2d797z67</v>
      </c>
      <c r="H3554" t="str">
        <f>HYPERLINK("http://catalog.hathitrust.org/Record/006507360")</f>
        <v>http://catalog.hathitrust.org/Record/006507360</v>
      </c>
      <c r="J3554" s="1">
        <v>1909</v>
      </c>
      <c r="K3554" t="s">
        <v>12605</v>
      </c>
      <c r="L3554" t="s">
        <v>16559</v>
      </c>
    </row>
    <row r="3555" spans="1:12">
      <c r="A3555" t="s">
        <v>12608</v>
      </c>
      <c r="B3555" s="1" t="s">
        <v>12609</v>
      </c>
      <c r="F3555">
        <v>1</v>
      </c>
      <c r="G3555" t="str">
        <f>HYPERLINK("http://babel.hathitrust.org/cgi/pt?id=uc1.b258231")</f>
        <v>http://babel.hathitrust.org/cgi/pt?id=uc1.b258231</v>
      </c>
      <c r="H3555" t="str">
        <f>HYPERLINK("http://catalog.hathitrust.org/Record/006507363")</f>
        <v>http://catalog.hathitrust.org/Record/006507363</v>
      </c>
      <c r="J3555" s="1">
        <v>1897</v>
      </c>
      <c r="K3555" t="s">
        <v>12610</v>
      </c>
      <c r="L3555" t="s">
        <v>12611</v>
      </c>
    </row>
    <row r="3556" spans="1:12">
      <c r="A3556" t="s">
        <v>12612</v>
      </c>
      <c r="B3556" s="1" t="s">
        <v>12609</v>
      </c>
      <c r="F3556">
        <v>1</v>
      </c>
      <c r="G3556" t="str">
        <f>HYPERLINK("http://babel.hathitrust.org/cgi/pt?id=uc2.ark:/13960/t4rj4f19x")</f>
        <v>http://babel.hathitrust.org/cgi/pt?id=uc2.ark:/13960/t4rj4f19x</v>
      </c>
      <c r="H3556" t="str">
        <f>HYPERLINK("http://catalog.hathitrust.org/Record/006507363")</f>
        <v>http://catalog.hathitrust.org/Record/006507363</v>
      </c>
      <c r="J3556" s="1">
        <v>1897</v>
      </c>
      <c r="K3556" t="s">
        <v>12610</v>
      </c>
      <c r="L3556" t="s">
        <v>12611</v>
      </c>
    </row>
    <row r="3557" spans="1:12">
      <c r="A3557" t="s">
        <v>12613</v>
      </c>
      <c r="B3557" s="1" t="s">
        <v>12614</v>
      </c>
      <c r="F3557">
        <v>1</v>
      </c>
      <c r="G3557" t="str">
        <f>HYPERLINK("http://babel.hathitrust.org/cgi/pt?id=uc1.b258238")</f>
        <v>http://babel.hathitrust.org/cgi/pt?id=uc1.b258238</v>
      </c>
      <c r="H3557" t="str">
        <f>HYPERLINK("http://catalog.hathitrust.org/Record/006507367")</f>
        <v>http://catalog.hathitrust.org/Record/006507367</v>
      </c>
      <c r="J3557" s="1">
        <v>1907</v>
      </c>
      <c r="K3557" t="s">
        <v>12615</v>
      </c>
      <c r="L3557" t="s">
        <v>12616</v>
      </c>
    </row>
    <row r="3558" spans="1:12">
      <c r="A3558" t="s">
        <v>12494</v>
      </c>
      <c r="B3558" s="1" t="s">
        <v>12614</v>
      </c>
      <c r="F3558">
        <v>1</v>
      </c>
      <c r="G3558" t="str">
        <f>HYPERLINK("http://babel.hathitrust.org/cgi/pt?id=uc2.ark:/13960/t1td9qs6z")</f>
        <v>http://babel.hathitrust.org/cgi/pt?id=uc2.ark:/13960/t1td9qs6z</v>
      </c>
      <c r="H3558" t="str">
        <f>HYPERLINK("http://catalog.hathitrust.org/Record/006507367")</f>
        <v>http://catalog.hathitrust.org/Record/006507367</v>
      </c>
      <c r="J3558" s="1">
        <v>1907</v>
      </c>
      <c r="K3558" t="s">
        <v>12615</v>
      </c>
      <c r="L3558" t="s">
        <v>12616</v>
      </c>
    </row>
    <row r="3559" spans="1:12">
      <c r="A3559" t="s">
        <v>12495</v>
      </c>
      <c r="B3559" s="1" t="s">
        <v>12496</v>
      </c>
      <c r="E3559">
        <v>1</v>
      </c>
      <c r="G3559" t="str">
        <f>HYPERLINK("http://babel.hathitrust.org/cgi/pt?id=uc1.b258247")</f>
        <v>http://babel.hathitrust.org/cgi/pt?id=uc1.b258247</v>
      </c>
      <c r="H3559" t="str">
        <f>HYPERLINK("http://catalog.hathitrust.org/Record/006507372")</f>
        <v>http://catalog.hathitrust.org/Record/006507372</v>
      </c>
      <c r="J3559" s="1">
        <v>1902</v>
      </c>
      <c r="K3559" t="s">
        <v>12497</v>
      </c>
      <c r="L3559" t="s">
        <v>12498</v>
      </c>
    </row>
    <row r="3560" spans="1:12">
      <c r="A3560" t="s">
        <v>12499</v>
      </c>
      <c r="B3560" s="1" t="s">
        <v>12500</v>
      </c>
      <c r="F3560">
        <v>1</v>
      </c>
      <c r="G3560" t="str">
        <f>HYPERLINK("http://babel.hathitrust.org/cgi/pt?id=uc1.b258253")</f>
        <v>http://babel.hathitrust.org/cgi/pt?id=uc1.b258253</v>
      </c>
      <c r="H3560" t="str">
        <f>HYPERLINK("http://catalog.hathitrust.org/Record/006507377")</f>
        <v>http://catalog.hathitrust.org/Record/006507377</v>
      </c>
      <c r="J3560" s="1">
        <v>1922</v>
      </c>
      <c r="K3560" t="s">
        <v>12501</v>
      </c>
    </row>
    <row r="3561" spans="1:12">
      <c r="A3561" t="s">
        <v>12502</v>
      </c>
      <c r="B3561" s="1" t="s">
        <v>12500</v>
      </c>
      <c r="F3561">
        <v>1</v>
      </c>
      <c r="G3561" t="str">
        <f>HYPERLINK("http://babel.hathitrust.org/cgi/pt?id=uc2.ark:/13960/t6xw4br85")</f>
        <v>http://babel.hathitrust.org/cgi/pt?id=uc2.ark:/13960/t6xw4br85</v>
      </c>
      <c r="H3561" t="str">
        <f>HYPERLINK("http://catalog.hathitrust.org/Record/006507377")</f>
        <v>http://catalog.hathitrust.org/Record/006507377</v>
      </c>
      <c r="J3561" s="1">
        <v>1922</v>
      </c>
      <c r="K3561" t="s">
        <v>12501</v>
      </c>
    </row>
    <row r="3562" spans="1:12">
      <c r="A3562" t="s">
        <v>12503</v>
      </c>
      <c r="B3562" s="1" t="s">
        <v>12504</v>
      </c>
      <c r="F3562">
        <v>1</v>
      </c>
      <c r="G3562" t="str">
        <f>HYPERLINK("http://babel.hathitrust.org/cgi/pt?id=nyp.33433066604673")</f>
        <v>http://babel.hathitrust.org/cgi/pt?id=nyp.33433066604673</v>
      </c>
      <c r="H3562" t="str">
        <f>HYPERLINK("http://catalog.hathitrust.org/Record/006507388")</f>
        <v>http://catalog.hathitrust.org/Record/006507388</v>
      </c>
      <c r="J3562" s="1">
        <v>1906</v>
      </c>
      <c r="K3562" t="s">
        <v>12505</v>
      </c>
      <c r="L3562" t="s">
        <v>12506</v>
      </c>
    </row>
    <row r="3563" spans="1:12">
      <c r="A3563" t="s">
        <v>12507</v>
      </c>
      <c r="B3563" s="1" t="s">
        <v>12504</v>
      </c>
      <c r="F3563">
        <v>1</v>
      </c>
      <c r="G3563" t="str">
        <f>HYPERLINK("http://babel.hathitrust.org/cgi/pt?id=uc1.b258267")</f>
        <v>http://babel.hathitrust.org/cgi/pt?id=uc1.b258267</v>
      </c>
      <c r="H3563" t="str">
        <f>HYPERLINK("http://catalog.hathitrust.org/Record/006507388")</f>
        <v>http://catalog.hathitrust.org/Record/006507388</v>
      </c>
      <c r="J3563" s="1">
        <v>1906</v>
      </c>
      <c r="K3563" t="s">
        <v>12505</v>
      </c>
      <c r="L3563" t="s">
        <v>12506</v>
      </c>
    </row>
    <row r="3564" spans="1:12">
      <c r="A3564" t="s">
        <v>12508</v>
      </c>
      <c r="B3564" s="1" t="s">
        <v>12504</v>
      </c>
      <c r="F3564">
        <v>1</v>
      </c>
      <c r="G3564" t="str">
        <f>HYPERLINK("http://babel.hathitrust.org/cgi/pt?id=uc2.ark:/13960/t6639p387")</f>
        <v>http://babel.hathitrust.org/cgi/pt?id=uc2.ark:/13960/t6639p387</v>
      </c>
      <c r="H3564" t="str">
        <f>HYPERLINK("http://catalog.hathitrust.org/Record/006507388")</f>
        <v>http://catalog.hathitrust.org/Record/006507388</v>
      </c>
      <c r="J3564" s="1">
        <v>1906</v>
      </c>
      <c r="K3564" t="s">
        <v>12505</v>
      </c>
      <c r="L3564" t="s">
        <v>12506</v>
      </c>
    </row>
    <row r="3565" spans="1:12">
      <c r="A3565" t="s">
        <v>12509</v>
      </c>
      <c r="B3565" s="1" t="s">
        <v>12510</v>
      </c>
      <c r="F3565">
        <v>1</v>
      </c>
      <c r="G3565" t="str">
        <f>HYPERLINK("http://babel.hathitrust.org/cgi/pt?id=nyp.33433069254492")</f>
        <v>http://babel.hathitrust.org/cgi/pt?id=nyp.33433069254492</v>
      </c>
      <c r="H3565" t="str">
        <f>HYPERLINK("http://catalog.hathitrust.org/Record/006507390")</f>
        <v>http://catalog.hathitrust.org/Record/006507390</v>
      </c>
      <c r="J3565" s="1">
        <v>1919</v>
      </c>
      <c r="K3565" t="s">
        <v>12511</v>
      </c>
      <c r="L3565" t="s">
        <v>18266</v>
      </c>
    </row>
    <row r="3566" spans="1:12">
      <c r="A3566" t="s">
        <v>12512</v>
      </c>
      <c r="B3566" s="1" t="s">
        <v>12510</v>
      </c>
      <c r="F3566">
        <v>1</v>
      </c>
      <c r="G3566" t="str">
        <f>HYPERLINK("http://babel.hathitrust.org/cgi/pt?id=nyp.33433081982187")</f>
        <v>http://babel.hathitrust.org/cgi/pt?id=nyp.33433081982187</v>
      </c>
      <c r="H3566" t="str">
        <f>HYPERLINK("http://catalog.hathitrust.org/Record/006507390")</f>
        <v>http://catalog.hathitrust.org/Record/006507390</v>
      </c>
      <c r="J3566" s="1">
        <v>1919</v>
      </c>
      <c r="K3566" t="s">
        <v>12511</v>
      </c>
      <c r="L3566" t="s">
        <v>18266</v>
      </c>
    </row>
    <row r="3567" spans="1:12">
      <c r="A3567" t="s">
        <v>12513</v>
      </c>
      <c r="B3567" s="1" t="s">
        <v>12510</v>
      </c>
      <c r="F3567">
        <v>1</v>
      </c>
      <c r="G3567" t="str">
        <f>HYPERLINK("http://babel.hathitrust.org/cgi/pt?id=uc1.b258270")</f>
        <v>http://babel.hathitrust.org/cgi/pt?id=uc1.b258270</v>
      </c>
      <c r="H3567" t="str">
        <f>HYPERLINK("http://catalog.hathitrust.org/Record/006507390")</f>
        <v>http://catalog.hathitrust.org/Record/006507390</v>
      </c>
      <c r="J3567" s="1">
        <v>1919</v>
      </c>
      <c r="K3567" t="s">
        <v>12511</v>
      </c>
      <c r="L3567" t="s">
        <v>18266</v>
      </c>
    </row>
    <row r="3568" spans="1:12">
      <c r="A3568" t="s">
        <v>12514</v>
      </c>
      <c r="B3568" s="1" t="s">
        <v>12510</v>
      </c>
      <c r="F3568">
        <v>1</v>
      </c>
      <c r="G3568" t="str">
        <f>HYPERLINK("http://babel.hathitrust.org/cgi/pt?id=uc2.ark:/13960/t2h709b2k")</f>
        <v>http://babel.hathitrust.org/cgi/pt?id=uc2.ark:/13960/t2h709b2k</v>
      </c>
      <c r="H3568" t="str">
        <f>HYPERLINK("http://catalog.hathitrust.org/Record/006507390")</f>
        <v>http://catalog.hathitrust.org/Record/006507390</v>
      </c>
      <c r="J3568" s="1">
        <v>1919</v>
      </c>
      <c r="K3568" t="s">
        <v>12511</v>
      </c>
      <c r="L3568" t="s">
        <v>18266</v>
      </c>
    </row>
    <row r="3569" spans="1:12">
      <c r="A3569" t="s">
        <v>12515</v>
      </c>
      <c r="B3569" s="1" t="s">
        <v>12516</v>
      </c>
      <c r="F3569">
        <v>1</v>
      </c>
      <c r="G3569" t="str">
        <f>HYPERLINK("http://babel.hathitrust.org/cgi/pt?id=uc1.b258271")</f>
        <v>http://babel.hathitrust.org/cgi/pt?id=uc1.b258271</v>
      </c>
      <c r="H3569" t="str">
        <f>HYPERLINK("http://catalog.hathitrust.org/Record/006507391")</f>
        <v>http://catalog.hathitrust.org/Record/006507391</v>
      </c>
      <c r="J3569" s="1">
        <v>1910</v>
      </c>
      <c r="K3569" t="s">
        <v>12517</v>
      </c>
    </row>
    <row r="3570" spans="1:12">
      <c r="A3570" t="s">
        <v>12518</v>
      </c>
      <c r="B3570" s="1" t="s">
        <v>12516</v>
      </c>
      <c r="F3570">
        <v>1</v>
      </c>
      <c r="G3570" t="str">
        <f>HYPERLINK("http://babel.hathitrust.org/cgi/pt?id=uc2.ark:/13960/t43r0r911")</f>
        <v>http://babel.hathitrust.org/cgi/pt?id=uc2.ark:/13960/t43r0r911</v>
      </c>
      <c r="H3570" t="str">
        <f>HYPERLINK("http://catalog.hathitrust.org/Record/006507391")</f>
        <v>http://catalog.hathitrust.org/Record/006507391</v>
      </c>
      <c r="J3570" s="1">
        <v>1910</v>
      </c>
      <c r="K3570" t="s">
        <v>12517</v>
      </c>
    </row>
    <row r="3571" spans="1:12">
      <c r="A3571" t="s">
        <v>12519</v>
      </c>
      <c r="B3571" s="1" t="s">
        <v>12520</v>
      </c>
      <c r="F3571">
        <v>1</v>
      </c>
      <c r="G3571" t="str">
        <f>HYPERLINK("http://babel.hathitrust.org/cgi/pt?id=uc1.b258272")</f>
        <v>http://babel.hathitrust.org/cgi/pt?id=uc1.b258272</v>
      </c>
      <c r="H3571" t="str">
        <f>HYPERLINK("http://catalog.hathitrust.org/Record/006507392")</f>
        <v>http://catalog.hathitrust.org/Record/006507392</v>
      </c>
      <c r="J3571" s="1">
        <v>1882</v>
      </c>
      <c r="K3571" t="s">
        <v>17037</v>
      </c>
      <c r="L3571" t="s">
        <v>17038</v>
      </c>
    </row>
    <row r="3572" spans="1:12">
      <c r="A3572" t="s">
        <v>12521</v>
      </c>
      <c r="B3572" s="1" t="s">
        <v>12520</v>
      </c>
      <c r="F3572">
        <v>1</v>
      </c>
      <c r="G3572" t="str">
        <f>HYPERLINK("http://babel.hathitrust.org/cgi/pt?id=uc2.ark:/13960/t0ks6mn3p")</f>
        <v>http://babel.hathitrust.org/cgi/pt?id=uc2.ark:/13960/t0ks6mn3p</v>
      </c>
      <c r="H3572" t="str">
        <f>HYPERLINK("http://catalog.hathitrust.org/Record/006507392")</f>
        <v>http://catalog.hathitrust.org/Record/006507392</v>
      </c>
      <c r="J3572" s="1">
        <v>1882</v>
      </c>
      <c r="K3572" t="s">
        <v>17037</v>
      </c>
      <c r="L3572" t="s">
        <v>17038</v>
      </c>
    </row>
    <row r="3573" spans="1:12">
      <c r="A3573" t="s">
        <v>12522</v>
      </c>
      <c r="B3573" s="1" t="s">
        <v>12523</v>
      </c>
      <c r="F3573">
        <v>1</v>
      </c>
      <c r="G3573" t="str">
        <f>HYPERLINK("http://babel.hathitrust.org/cgi/pt?id=uc1.b258275")</f>
        <v>http://babel.hathitrust.org/cgi/pt?id=uc1.b258275</v>
      </c>
      <c r="H3573" t="str">
        <f>HYPERLINK("http://catalog.hathitrust.org/Record/006507393")</f>
        <v>http://catalog.hathitrust.org/Record/006507393</v>
      </c>
      <c r="J3573" s="1">
        <v>1866</v>
      </c>
      <c r="K3573" t="s">
        <v>12524</v>
      </c>
      <c r="L3573" t="s">
        <v>17034</v>
      </c>
    </row>
    <row r="3574" spans="1:12">
      <c r="A3574" t="s">
        <v>12525</v>
      </c>
      <c r="B3574" s="1" t="s">
        <v>12523</v>
      </c>
      <c r="F3574">
        <v>1</v>
      </c>
      <c r="G3574" t="str">
        <f>HYPERLINK("http://babel.hathitrust.org/cgi/pt?id=uc2.ark:/13960/t9c53j59r")</f>
        <v>http://babel.hathitrust.org/cgi/pt?id=uc2.ark:/13960/t9c53j59r</v>
      </c>
      <c r="H3574" t="str">
        <f>HYPERLINK("http://catalog.hathitrust.org/Record/006507393")</f>
        <v>http://catalog.hathitrust.org/Record/006507393</v>
      </c>
      <c r="J3574" s="1">
        <v>1866</v>
      </c>
      <c r="K3574" t="s">
        <v>12524</v>
      </c>
      <c r="L3574" t="s">
        <v>17034</v>
      </c>
    </row>
    <row r="3575" spans="1:12">
      <c r="A3575" t="s">
        <v>12526</v>
      </c>
      <c r="B3575" s="1" t="s">
        <v>12527</v>
      </c>
      <c r="F3575">
        <v>1</v>
      </c>
      <c r="G3575" t="str">
        <f>HYPERLINK("http://babel.hathitrust.org/cgi/pt?id=uc1.b258277")</f>
        <v>http://babel.hathitrust.org/cgi/pt?id=uc1.b258277</v>
      </c>
      <c r="H3575" t="str">
        <f>HYPERLINK("http://catalog.hathitrust.org/Record/006507394")</f>
        <v>http://catalog.hathitrust.org/Record/006507394</v>
      </c>
      <c r="J3575" s="1">
        <v>1901</v>
      </c>
      <c r="K3575" t="s">
        <v>12528</v>
      </c>
      <c r="L3575" t="s">
        <v>12529</v>
      </c>
    </row>
    <row r="3576" spans="1:12">
      <c r="A3576" t="s">
        <v>12530</v>
      </c>
      <c r="B3576" s="1" t="s">
        <v>12531</v>
      </c>
      <c r="F3576">
        <v>1</v>
      </c>
      <c r="G3576" t="str">
        <f>HYPERLINK("http://babel.hathitrust.org/cgi/pt?id=nyp.33433069253551")</f>
        <v>http://babel.hathitrust.org/cgi/pt?id=nyp.33433069253551</v>
      </c>
      <c r="H3576" t="str">
        <f>HYPERLINK("http://catalog.hathitrust.org/Record/006507395")</f>
        <v>http://catalog.hathitrust.org/Record/006507395</v>
      </c>
      <c r="J3576" s="1">
        <v>1912</v>
      </c>
      <c r="K3576" t="s">
        <v>12532</v>
      </c>
      <c r="L3576" t="s">
        <v>12533</v>
      </c>
    </row>
    <row r="3577" spans="1:12">
      <c r="A3577" t="s">
        <v>12534</v>
      </c>
      <c r="B3577" s="1" t="s">
        <v>12531</v>
      </c>
      <c r="F3577">
        <v>1</v>
      </c>
      <c r="G3577" t="str">
        <f>HYPERLINK("http://babel.hathitrust.org/cgi/pt?id=uc1.b258278")</f>
        <v>http://babel.hathitrust.org/cgi/pt?id=uc1.b258278</v>
      </c>
      <c r="H3577" t="str">
        <f>HYPERLINK("http://catalog.hathitrust.org/Record/006507395")</f>
        <v>http://catalog.hathitrust.org/Record/006507395</v>
      </c>
      <c r="J3577" s="1">
        <v>1912</v>
      </c>
      <c r="K3577" t="s">
        <v>12532</v>
      </c>
      <c r="L3577" t="s">
        <v>12533</v>
      </c>
    </row>
    <row r="3578" spans="1:12">
      <c r="A3578" t="s">
        <v>12535</v>
      </c>
      <c r="B3578" s="1" t="s">
        <v>12531</v>
      </c>
      <c r="F3578">
        <v>1</v>
      </c>
      <c r="G3578" t="str">
        <f>HYPERLINK("http://babel.hathitrust.org/cgi/pt?id=uc2.ark:/13960/t2k64df6w")</f>
        <v>http://babel.hathitrust.org/cgi/pt?id=uc2.ark:/13960/t2k64df6w</v>
      </c>
      <c r="H3578" t="str">
        <f>HYPERLINK("http://catalog.hathitrust.org/Record/006507395")</f>
        <v>http://catalog.hathitrust.org/Record/006507395</v>
      </c>
      <c r="J3578" s="1">
        <v>1912</v>
      </c>
      <c r="K3578" t="s">
        <v>12532</v>
      </c>
      <c r="L3578" t="s">
        <v>12533</v>
      </c>
    </row>
    <row r="3579" spans="1:12">
      <c r="A3579" t="s">
        <v>12536</v>
      </c>
      <c r="B3579" s="1" t="s">
        <v>12537</v>
      </c>
      <c r="F3579">
        <v>1</v>
      </c>
      <c r="G3579" t="str">
        <f>HYPERLINK("http://babel.hathitrust.org/cgi/pt?id=uc1.b258281")</f>
        <v>http://babel.hathitrust.org/cgi/pt?id=uc1.b258281</v>
      </c>
      <c r="H3579" t="str">
        <f>HYPERLINK("http://catalog.hathitrust.org/Record/006507396")</f>
        <v>http://catalog.hathitrust.org/Record/006507396</v>
      </c>
      <c r="J3579" s="1">
        <v>1913</v>
      </c>
      <c r="K3579" t="s">
        <v>12538</v>
      </c>
      <c r="L3579" t="s">
        <v>12539</v>
      </c>
    </row>
    <row r="3580" spans="1:12">
      <c r="A3580" t="s">
        <v>12540</v>
      </c>
      <c r="B3580" s="1" t="s">
        <v>12537</v>
      </c>
      <c r="F3580">
        <v>1</v>
      </c>
      <c r="G3580" t="str">
        <f>HYPERLINK("http://babel.hathitrust.org/cgi/pt?id=uc2.ark:/13960/t20c4w82z")</f>
        <v>http://babel.hathitrust.org/cgi/pt?id=uc2.ark:/13960/t20c4w82z</v>
      </c>
      <c r="H3580" t="str">
        <f>HYPERLINK("http://catalog.hathitrust.org/Record/006507396")</f>
        <v>http://catalog.hathitrust.org/Record/006507396</v>
      </c>
      <c r="J3580" s="1">
        <v>1913</v>
      </c>
      <c r="K3580" t="s">
        <v>12538</v>
      </c>
      <c r="L3580" t="s">
        <v>12539</v>
      </c>
    </row>
    <row r="3581" spans="1:12">
      <c r="A3581" t="s">
        <v>12541</v>
      </c>
      <c r="B3581" s="1" t="s">
        <v>12542</v>
      </c>
      <c r="F3581">
        <v>1</v>
      </c>
      <c r="G3581" t="str">
        <f>HYPERLINK("http://babel.hathitrust.org/cgi/pt?id=uc1.b258282")</f>
        <v>http://babel.hathitrust.org/cgi/pt?id=uc1.b258282</v>
      </c>
      <c r="H3581" t="str">
        <f>HYPERLINK("http://catalog.hathitrust.org/Record/006507397")</f>
        <v>http://catalog.hathitrust.org/Record/006507397</v>
      </c>
      <c r="J3581" s="1">
        <v>1868</v>
      </c>
      <c r="K3581" t="s">
        <v>12543</v>
      </c>
      <c r="L3581" t="s">
        <v>12544</v>
      </c>
    </row>
    <row r="3582" spans="1:12">
      <c r="A3582" t="s">
        <v>12545</v>
      </c>
      <c r="B3582" s="1" t="s">
        <v>12542</v>
      </c>
      <c r="F3582">
        <v>1</v>
      </c>
      <c r="G3582" t="str">
        <f>HYPERLINK("http://babel.hathitrust.org/cgi/pt?id=uc2.ark:/13960/t11n8178c")</f>
        <v>http://babel.hathitrust.org/cgi/pt?id=uc2.ark:/13960/t11n8178c</v>
      </c>
      <c r="H3582" t="str">
        <f>HYPERLINK("http://catalog.hathitrust.org/Record/006507397")</f>
        <v>http://catalog.hathitrust.org/Record/006507397</v>
      </c>
      <c r="J3582" s="1">
        <v>1868</v>
      </c>
      <c r="K3582" t="s">
        <v>12543</v>
      </c>
      <c r="L3582" t="s">
        <v>12544</v>
      </c>
    </row>
    <row r="3583" spans="1:12">
      <c r="A3583" t="s">
        <v>12546</v>
      </c>
      <c r="B3583" s="1" t="s">
        <v>12547</v>
      </c>
      <c r="F3583">
        <v>1</v>
      </c>
      <c r="G3583" t="str">
        <f>HYPERLINK("http://babel.hathitrust.org/cgi/pt?id=nyp.33433082512215")</f>
        <v>http://babel.hathitrust.org/cgi/pt?id=nyp.33433082512215</v>
      </c>
      <c r="H3583" t="str">
        <f>HYPERLINK("http://catalog.hathitrust.org/Record/006507403")</f>
        <v>http://catalog.hathitrust.org/Record/006507403</v>
      </c>
      <c r="J3583" s="1">
        <v>1900</v>
      </c>
      <c r="K3583" t="s">
        <v>12548</v>
      </c>
      <c r="L3583" t="s">
        <v>20448</v>
      </c>
    </row>
    <row r="3584" spans="1:12">
      <c r="A3584" t="s">
        <v>12549</v>
      </c>
      <c r="B3584" s="1" t="s">
        <v>12547</v>
      </c>
      <c r="F3584">
        <v>1</v>
      </c>
      <c r="G3584" t="str">
        <f>HYPERLINK("http://babel.hathitrust.org/cgi/pt?id=uc1.b258292")</f>
        <v>http://babel.hathitrust.org/cgi/pt?id=uc1.b258292</v>
      </c>
      <c r="H3584" t="str">
        <f>HYPERLINK("http://catalog.hathitrust.org/Record/006507403")</f>
        <v>http://catalog.hathitrust.org/Record/006507403</v>
      </c>
      <c r="J3584" s="1">
        <v>1900</v>
      </c>
      <c r="K3584" t="s">
        <v>12548</v>
      </c>
      <c r="L3584" t="s">
        <v>20448</v>
      </c>
    </row>
    <row r="3585" spans="1:12">
      <c r="A3585" t="s">
        <v>12550</v>
      </c>
      <c r="B3585" s="1" t="s">
        <v>12551</v>
      </c>
      <c r="F3585">
        <v>1</v>
      </c>
      <c r="G3585" t="str">
        <f>HYPERLINK("http://babel.hathitrust.org/cgi/pt?id=uc1.b258295")</f>
        <v>http://babel.hathitrust.org/cgi/pt?id=uc1.b258295</v>
      </c>
      <c r="H3585" t="str">
        <f>HYPERLINK("http://catalog.hathitrust.org/Record/006507405")</f>
        <v>http://catalog.hathitrust.org/Record/006507405</v>
      </c>
      <c r="J3585" s="1">
        <v>1911</v>
      </c>
      <c r="K3585" t="s">
        <v>12552</v>
      </c>
      <c r="L3585" t="s">
        <v>12426</v>
      </c>
    </row>
    <row r="3586" spans="1:12">
      <c r="A3586" t="s">
        <v>12427</v>
      </c>
      <c r="B3586" s="1" t="s">
        <v>12551</v>
      </c>
      <c r="F3586">
        <v>1</v>
      </c>
      <c r="G3586" t="str">
        <f>HYPERLINK("http://babel.hathitrust.org/cgi/pt?id=uc2.ark:/13960/t6j10058v")</f>
        <v>http://babel.hathitrust.org/cgi/pt?id=uc2.ark:/13960/t6j10058v</v>
      </c>
      <c r="H3586" t="str">
        <f>HYPERLINK("http://catalog.hathitrust.org/Record/006507405")</f>
        <v>http://catalog.hathitrust.org/Record/006507405</v>
      </c>
      <c r="J3586" s="1">
        <v>1911</v>
      </c>
      <c r="K3586" t="s">
        <v>12552</v>
      </c>
      <c r="L3586" t="s">
        <v>12426</v>
      </c>
    </row>
    <row r="3587" spans="1:12">
      <c r="A3587" t="s">
        <v>12428</v>
      </c>
      <c r="B3587" s="1" t="s">
        <v>12429</v>
      </c>
      <c r="F3587">
        <v>1</v>
      </c>
      <c r="G3587" t="str">
        <f>HYPERLINK("http://babel.hathitrust.org/cgi/pt?id=nyp.33433082513585")</f>
        <v>http://babel.hathitrust.org/cgi/pt?id=nyp.33433082513585</v>
      </c>
      <c r="H3587" t="str">
        <f>HYPERLINK("http://catalog.hathitrust.org/Record/006507406")</f>
        <v>http://catalog.hathitrust.org/Record/006507406</v>
      </c>
      <c r="J3587" s="1">
        <v>1919</v>
      </c>
      <c r="K3587" t="s">
        <v>12430</v>
      </c>
      <c r="L3587" t="s">
        <v>12431</v>
      </c>
    </row>
    <row r="3588" spans="1:12">
      <c r="A3588" t="s">
        <v>12432</v>
      </c>
      <c r="B3588" s="1" t="s">
        <v>12429</v>
      </c>
      <c r="F3588">
        <v>1</v>
      </c>
      <c r="G3588" t="str">
        <f>HYPERLINK("http://babel.hathitrust.org/cgi/pt?id=uc1.b258297")</f>
        <v>http://babel.hathitrust.org/cgi/pt?id=uc1.b258297</v>
      </c>
      <c r="H3588" t="str">
        <f>HYPERLINK("http://catalog.hathitrust.org/Record/006507406")</f>
        <v>http://catalog.hathitrust.org/Record/006507406</v>
      </c>
      <c r="J3588" s="1">
        <v>1919</v>
      </c>
      <c r="K3588" t="s">
        <v>12430</v>
      </c>
      <c r="L3588" t="s">
        <v>12431</v>
      </c>
    </row>
    <row r="3589" spans="1:12">
      <c r="A3589" t="s">
        <v>12433</v>
      </c>
      <c r="B3589" s="1" t="s">
        <v>12429</v>
      </c>
      <c r="F3589">
        <v>1</v>
      </c>
      <c r="G3589" t="str">
        <f>HYPERLINK("http://babel.hathitrust.org/cgi/pt?id=uc2.ark:/13960/t8pc2x95c")</f>
        <v>http://babel.hathitrust.org/cgi/pt?id=uc2.ark:/13960/t8pc2x95c</v>
      </c>
      <c r="H3589" t="str">
        <f>HYPERLINK("http://catalog.hathitrust.org/Record/006507406")</f>
        <v>http://catalog.hathitrust.org/Record/006507406</v>
      </c>
      <c r="J3589" s="1">
        <v>1919</v>
      </c>
      <c r="K3589" t="s">
        <v>12430</v>
      </c>
      <c r="L3589" t="s">
        <v>12431</v>
      </c>
    </row>
    <row r="3590" spans="1:12">
      <c r="A3590" t="s">
        <v>12434</v>
      </c>
      <c r="B3590" s="1" t="s">
        <v>12435</v>
      </c>
      <c r="F3590">
        <v>1</v>
      </c>
      <c r="G3590" t="str">
        <f>HYPERLINK("http://babel.hathitrust.org/cgi/pt?id=uc1.b258300")</f>
        <v>http://babel.hathitrust.org/cgi/pt?id=uc1.b258300</v>
      </c>
      <c r="H3590" t="str">
        <f>HYPERLINK("http://catalog.hathitrust.org/Record/006507408")</f>
        <v>http://catalog.hathitrust.org/Record/006507408</v>
      </c>
      <c r="J3590" s="1">
        <v>1914</v>
      </c>
      <c r="K3590" t="s">
        <v>12436</v>
      </c>
      <c r="L3590" t="s">
        <v>12437</v>
      </c>
    </row>
    <row r="3591" spans="1:12">
      <c r="A3591" t="s">
        <v>12438</v>
      </c>
      <c r="B3591" s="1" t="s">
        <v>12435</v>
      </c>
      <c r="F3591">
        <v>1</v>
      </c>
      <c r="G3591" t="str">
        <f>HYPERLINK("http://babel.hathitrust.org/cgi/pt?id=uc2.ark:/13960/t9c53j588")</f>
        <v>http://babel.hathitrust.org/cgi/pt?id=uc2.ark:/13960/t9c53j588</v>
      </c>
      <c r="H3591" t="str">
        <f>HYPERLINK("http://catalog.hathitrust.org/Record/006507408")</f>
        <v>http://catalog.hathitrust.org/Record/006507408</v>
      </c>
      <c r="J3591" s="1">
        <v>1914</v>
      </c>
      <c r="K3591" t="s">
        <v>12436</v>
      </c>
      <c r="L3591" t="s">
        <v>12437</v>
      </c>
    </row>
    <row r="3592" spans="1:12">
      <c r="A3592" t="s">
        <v>12439</v>
      </c>
      <c r="B3592" s="1" t="s">
        <v>12435</v>
      </c>
      <c r="F3592">
        <v>1</v>
      </c>
      <c r="G3592" t="str">
        <f>HYPERLINK("http://babel.hathitrust.org/cgi/pt?id=uva.x000392423")</f>
        <v>http://babel.hathitrust.org/cgi/pt?id=uva.x000392423</v>
      </c>
      <c r="H3592" t="str">
        <f>HYPERLINK("http://catalog.hathitrust.org/Record/006507408")</f>
        <v>http://catalog.hathitrust.org/Record/006507408</v>
      </c>
      <c r="J3592" s="1">
        <v>1914</v>
      </c>
      <c r="K3592" t="s">
        <v>12436</v>
      </c>
      <c r="L3592" t="s">
        <v>12437</v>
      </c>
    </row>
    <row r="3593" spans="1:12">
      <c r="A3593" t="s">
        <v>12440</v>
      </c>
      <c r="B3593" s="1" t="s">
        <v>12441</v>
      </c>
      <c r="F3593">
        <v>1</v>
      </c>
      <c r="G3593" t="str">
        <f>HYPERLINK("http://babel.hathitrust.org/cgi/pt?id=uc1.b258302")</f>
        <v>http://babel.hathitrust.org/cgi/pt?id=uc1.b258302</v>
      </c>
      <c r="H3593" t="str">
        <f>HYPERLINK("http://catalog.hathitrust.org/Record/006507409")</f>
        <v>http://catalog.hathitrust.org/Record/006507409</v>
      </c>
      <c r="J3593" s="1">
        <v>1916</v>
      </c>
      <c r="K3593" t="s">
        <v>12442</v>
      </c>
      <c r="L3593" t="s">
        <v>12443</v>
      </c>
    </row>
    <row r="3594" spans="1:12">
      <c r="A3594" t="s">
        <v>12444</v>
      </c>
      <c r="B3594" s="1" t="s">
        <v>12441</v>
      </c>
      <c r="F3594">
        <v>1</v>
      </c>
      <c r="G3594" t="str">
        <f>HYPERLINK("http://babel.hathitrust.org/cgi/pt?id=uc1.b307964")</f>
        <v>http://babel.hathitrust.org/cgi/pt?id=uc1.b307964</v>
      </c>
      <c r="H3594" t="str">
        <f>HYPERLINK("http://catalog.hathitrust.org/Record/006507409")</f>
        <v>http://catalog.hathitrust.org/Record/006507409</v>
      </c>
      <c r="J3594" s="1">
        <v>1916</v>
      </c>
      <c r="K3594" t="s">
        <v>12442</v>
      </c>
      <c r="L3594" t="s">
        <v>12443</v>
      </c>
    </row>
    <row r="3595" spans="1:12">
      <c r="A3595" t="s">
        <v>12445</v>
      </c>
      <c r="B3595" s="1" t="s">
        <v>12441</v>
      </c>
      <c r="F3595">
        <v>1</v>
      </c>
      <c r="G3595" t="str">
        <f>HYPERLINK("http://babel.hathitrust.org/cgi/pt?id=uc2.ark:/13960/t3416wq90")</f>
        <v>http://babel.hathitrust.org/cgi/pt?id=uc2.ark:/13960/t3416wq90</v>
      </c>
      <c r="H3595" t="str">
        <f>HYPERLINK("http://catalog.hathitrust.org/Record/006507409")</f>
        <v>http://catalog.hathitrust.org/Record/006507409</v>
      </c>
      <c r="J3595" s="1">
        <v>1916</v>
      </c>
      <c r="K3595" t="s">
        <v>12442</v>
      </c>
      <c r="L3595" t="s">
        <v>12443</v>
      </c>
    </row>
    <row r="3596" spans="1:12">
      <c r="A3596" t="s">
        <v>12446</v>
      </c>
      <c r="B3596" s="1" t="s">
        <v>12447</v>
      </c>
      <c r="F3596">
        <v>1</v>
      </c>
      <c r="G3596" t="str">
        <f>HYPERLINK("http://babel.hathitrust.org/cgi/pt?id=nyp.33433082502901")</f>
        <v>http://babel.hathitrust.org/cgi/pt?id=nyp.33433082502901</v>
      </c>
      <c r="H3596" t="str">
        <f>HYPERLINK("http://catalog.hathitrust.org/Record/006507411")</f>
        <v>http://catalog.hathitrust.org/Record/006507411</v>
      </c>
      <c r="J3596" s="1">
        <v>1909</v>
      </c>
      <c r="K3596" t="s">
        <v>12448</v>
      </c>
      <c r="L3596" t="s">
        <v>13294</v>
      </c>
    </row>
    <row r="3597" spans="1:12">
      <c r="A3597" t="s">
        <v>12449</v>
      </c>
      <c r="B3597" s="1" t="s">
        <v>12447</v>
      </c>
      <c r="F3597">
        <v>1</v>
      </c>
      <c r="G3597" t="str">
        <f>HYPERLINK("http://babel.hathitrust.org/cgi/pt?id=uc1.b258306")</f>
        <v>http://babel.hathitrust.org/cgi/pt?id=uc1.b258306</v>
      </c>
      <c r="H3597" t="str">
        <f>HYPERLINK("http://catalog.hathitrust.org/Record/006507411")</f>
        <v>http://catalog.hathitrust.org/Record/006507411</v>
      </c>
      <c r="J3597" s="1">
        <v>1909</v>
      </c>
      <c r="K3597" t="s">
        <v>12448</v>
      </c>
      <c r="L3597" t="s">
        <v>13294</v>
      </c>
    </row>
    <row r="3598" spans="1:12">
      <c r="A3598" t="s">
        <v>12450</v>
      </c>
      <c r="B3598" s="1" t="s">
        <v>12447</v>
      </c>
      <c r="F3598">
        <v>1</v>
      </c>
      <c r="G3598" t="str">
        <f>HYPERLINK("http://babel.hathitrust.org/cgi/pt?id=uc2.ark:/13960/t6639p419")</f>
        <v>http://babel.hathitrust.org/cgi/pt?id=uc2.ark:/13960/t6639p419</v>
      </c>
      <c r="H3598" t="str">
        <f>HYPERLINK("http://catalog.hathitrust.org/Record/006507411")</f>
        <v>http://catalog.hathitrust.org/Record/006507411</v>
      </c>
      <c r="J3598" s="1">
        <v>1909</v>
      </c>
      <c r="K3598" t="s">
        <v>12448</v>
      </c>
      <c r="L3598" t="s">
        <v>13294</v>
      </c>
    </row>
    <row r="3599" spans="1:12">
      <c r="A3599" t="s">
        <v>12451</v>
      </c>
      <c r="B3599" s="1" t="s">
        <v>12452</v>
      </c>
      <c r="F3599">
        <v>1</v>
      </c>
      <c r="G3599" t="str">
        <f>HYPERLINK("http://babel.hathitrust.org/cgi/pt?id=uc1.b258308")</f>
        <v>http://babel.hathitrust.org/cgi/pt?id=uc1.b258308</v>
      </c>
      <c r="H3599" t="str">
        <f>HYPERLINK("http://catalog.hathitrust.org/Record/006507412")</f>
        <v>http://catalog.hathitrust.org/Record/006507412</v>
      </c>
      <c r="J3599" s="1">
        <v>1891</v>
      </c>
      <c r="K3599" t="s">
        <v>14140</v>
      </c>
      <c r="L3599" t="s">
        <v>14141</v>
      </c>
    </row>
    <row r="3600" spans="1:12">
      <c r="A3600" t="s">
        <v>12453</v>
      </c>
      <c r="B3600" s="1" t="s">
        <v>12452</v>
      </c>
      <c r="F3600">
        <v>1</v>
      </c>
      <c r="G3600" t="str">
        <f>HYPERLINK("http://babel.hathitrust.org/cgi/pt?id=uc2.ark:/13960/t08w3mm3b")</f>
        <v>http://babel.hathitrust.org/cgi/pt?id=uc2.ark:/13960/t08w3mm3b</v>
      </c>
      <c r="H3600" t="str">
        <f>HYPERLINK("http://catalog.hathitrust.org/Record/006507412")</f>
        <v>http://catalog.hathitrust.org/Record/006507412</v>
      </c>
      <c r="J3600" s="1">
        <v>1891</v>
      </c>
      <c r="K3600" t="s">
        <v>14140</v>
      </c>
      <c r="L3600" t="s">
        <v>14141</v>
      </c>
    </row>
    <row r="3601" spans="1:12">
      <c r="A3601" t="s">
        <v>12454</v>
      </c>
      <c r="B3601" s="1" t="s">
        <v>12455</v>
      </c>
      <c r="F3601">
        <v>1</v>
      </c>
      <c r="G3601" t="str">
        <f>HYPERLINK("http://babel.hathitrust.org/cgi/pt?id=uc1.b258311")</f>
        <v>http://babel.hathitrust.org/cgi/pt?id=uc1.b258311</v>
      </c>
      <c r="H3601" t="str">
        <f>HYPERLINK("http://catalog.hathitrust.org/Record/006507414")</f>
        <v>http://catalog.hathitrust.org/Record/006507414</v>
      </c>
      <c r="J3601" s="1">
        <v>1915</v>
      </c>
      <c r="K3601" t="s">
        <v>12456</v>
      </c>
      <c r="L3601" t="s">
        <v>12457</v>
      </c>
    </row>
    <row r="3602" spans="1:12">
      <c r="A3602" t="s">
        <v>12458</v>
      </c>
      <c r="B3602" s="1" t="s">
        <v>12455</v>
      </c>
      <c r="F3602">
        <v>1</v>
      </c>
      <c r="G3602" t="str">
        <f>HYPERLINK("http://babel.hathitrust.org/cgi/pt?id=uc2.ark:/13960/t9n29sh5x")</f>
        <v>http://babel.hathitrust.org/cgi/pt?id=uc2.ark:/13960/t9n29sh5x</v>
      </c>
      <c r="H3602" t="str">
        <f>HYPERLINK("http://catalog.hathitrust.org/Record/006507414")</f>
        <v>http://catalog.hathitrust.org/Record/006507414</v>
      </c>
      <c r="J3602" s="1">
        <v>1915</v>
      </c>
      <c r="K3602" t="s">
        <v>12456</v>
      </c>
      <c r="L3602" t="s">
        <v>12457</v>
      </c>
    </row>
    <row r="3603" spans="1:12">
      <c r="A3603" t="s">
        <v>12459</v>
      </c>
      <c r="B3603" s="1" t="s">
        <v>12460</v>
      </c>
      <c r="F3603">
        <v>1</v>
      </c>
      <c r="G3603" t="str">
        <f>HYPERLINK("http://babel.hathitrust.org/cgi/pt?id=uc1.b258326")</f>
        <v>http://babel.hathitrust.org/cgi/pt?id=uc1.b258326</v>
      </c>
      <c r="H3603" t="str">
        <f>HYPERLINK("http://catalog.hathitrust.org/Record/006507420")</f>
        <v>http://catalog.hathitrust.org/Record/006507420</v>
      </c>
      <c r="J3603" s="1">
        <v>1875</v>
      </c>
      <c r="K3603" t="s">
        <v>12461</v>
      </c>
      <c r="L3603" t="s">
        <v>12462</v>
      </c>
    </row>
    <row r="3604" spans="1:12">
      <c r="A3604" t="s">
        <v>12463</v>
      </c>
      <c r="B3604" s="1" t="s">
        <v>12460</v>
      </c>
      <c r="F3604">
        <v>1</v>
      </c>
      <c r="G3604" t="str">
        <f>HYPERLINK("http://babel.hathitrust.org/cgi/pt?id=uc2.ark:/13960/t8bg2mc40")</f>
        <v>http://babel.hathitrust.org/cgi/pt?id=uc2.ark:/13960/t8bg2mc40</v>
      </c>
      <c r="H3604" t="str">
        <f>HYPERLINK("http://catalog.hathitrust.org/Record/006507420")</f>
        <v>http://catalog.hathitrust.org/Record/006507420</v>
      </c>
      <c r="J3604" s="1">
        <v>1875</v>
      </c>
      <c r="K3604" t="s">
        <v>12461</v>
      </c>
      <c r="L3604" t="s">
        <v>12462</v>
      </c>
    </row>
    <row r="3605" spans="1:12">
      <c r="A3605" t="s">
        <v>12464</v>
      </c>
      <c r="B3605" s="1" t="s">
        <v>12465</v>
      </c>
      <c r="F3605">
        <v>1</v>
      </c>
      <c r="G3605" t="str">
        <f>HYPERLINK("http://babel.hathitrust.org/cgi/pt?id=uc1.b258567")</f>
        <v>http://babel.hathitrust.org/cgi/pt?id=uc1.b258567</v>
      </c>
      <c r="H3605" t="str">
        <f>HYPERLINK("http://catalog.hathitrust.org/Record/006507587")</f>
        <v>http://catalog.hathitrust.org/Record/006507587</v>
      </c>
      <c r="J3605" s="1">
        <v>1896</v>
      </c>
      <c r="K3605" t="s">
        <v>12466</v>
      </c>
      <c r="L3605" t="s">
        <v>12467</v>
      </c>
    </row>
    <row r="3606" spans="1:12">
      <c r="A3606" t="s">
        <v>12468</v>
      </c>
      <c r="B3606" s="1" t="s">
        <v>12465</v>
      </c>
      <c r="F3606">
        <v>1</v>
      </c>
      <c r="G3606" t="str">
        <f>HYPERLINK("http://babel.hathitrust.org/cgi/pt?id=uc2.ark:/13960/t5v69c59j")</f>
        <v>http://babel.hathitrust.org/cgi/pt?id=uc2.ark:/13960/t5v69c59j</v>
      </c>
      <c r="H3606" t="str">
        <f>HYPERLINK("http://catalog.hathitrust.org/Record/006507587")</f>
        <v>http://catalog.hathitrust.org/Record/006507587</v>
      </c>
      <c r="J3606" s="1">
        <v>1896</v>
      </c>
      <c r="K3606" t="s">
        <v>12466</v>
      </c>
      <c r="L3606" t="s">
        <v>12467</v>
      </c>
    </row>
    <row r="3607" spans="1:12">
      <c r="A3607" t="s">
        <v>12469</v>
      </c>
      <c r="B3607" s="1" t="s">
        <v>12470</v>
      </c>
      <c r="F3607">
        <v>1</v>
      </c>
      <c r="G3607" t="str">
        <f>HYPERLINK("http://babel.hathitrust.org/cgi/pt?id=uc1.b258575")</f>
        <v>http://babel.hathitrust.org/cgi/pt?id=uc1.b258575</v>
      </c>
      <c r="H3607" t="str">
        <f>HYPERLINK("http://catalog.hathitrust.org/Record/006507592")</f>
        <v>http://catalog.hathitrust.org/Record/006507592</v>
      </c>
      <c r="J3607" s="1">
        <v>1897</v>
      </c>
      <c r="K3607" t="s">
        <v>12471</v>
      </c>
      <c r="L3607" t="s">
        <v>16950</v>
      </c>
    </row>
    <row r="3608" spans="1:12">
      <c r="A3608" t="s">
        <v>12472</v>
      </c>
      <c r="B3608" s="1" t="s">
        <v>12470</v>
      </c>
      <c r="F3608">
        <v>1</v>
      </c>
      <c r="G3608" t="str">
        <f>HYPERLINK("http://babel.hathitrust.org/cgi/pt?id=uc1.b307969")</f>
        <v>http://babel.hathitrust.org/cgi/pt?id=uc1.b307969</v>
      </c>
      <c r="H3608" t="str">
        <f>HYPERLINK("http://catalog.hathitrust.org/Record/006507592")</f>
        <v>http://catalog.hathitrust.org/Record/006507592</v>
      </c>
      <c r="J3608" s="1">
        <v>1897</v>
      </c>
      <c r="K3608" t="s">
        <v>12471</v>
      </c>
      <c r="L3608" t="s">
        <v>16950</v>
      </c>
    </row>
    <row r="3609" spans="1:12">
      <c r="A3609" t="s">
        <v>12473</v>
      </c>
      <c r="B3609" s="1" t="s">
        <v>12470</v>
      </c>
      <c r="F3609">
        <v>1</v>
      </c>
      <c r="G3609" t="str">
        <f>HYPERLINK("http://babel.hathitrust.org/cgi/pt?id=uc2.ark:/13960/t5s75bt8c")</f>
        <v>http://babel.hathitrust.org/cgi/pt?id=uc2.ark:/13960/t5s75bt8c</v>
      </c>
      <c r="H3609" t="str">
        <f>HYPERLINK("http://catalog.hathitrust.org/Record/006507592")</f>
        <v>http://catalog.hathitrust.org/Record/006507592</v>
      </c>
      <c r="J3609" s="1">
        <v>1897</v>
      </c>
      <c r="K3609" t="s">
        <v>12471</v>
      </c>
      <c r="L3609" t="s">
        <v>16950</v>
      </c>
    </row>
    <row r="3610" spans="1:12">
      <c r="A3610" t="s">
        <v>12474</v>
      </c>
      <c r="B3610" s="1" t="s">
        <v>12475</v>
      </c>
      <c r="F3610">
        <v>1</v>
      </c>
      <c r="G3610" t="str">
        <f>HYPERLINK("http://babel.hathitrust.org/cgi/pt?id=nyp.33433069256463")</f>
        <v>http://babel.hathitrust.org/cgi/pt?id=nyp.33433069256463</v>
      </c>
      <c r="H3610" t="str">
        <f>HYPERLINK("http://catalog.hathitrust.org/Record/006507593")</f>
        <v>http://catalog.hathitrust.org/Record/006507593</v>
      </c>
      <c r="J3610" s="1">
        <v>1908</v>
      </c>
      <c r="K3610" t="s">
        <v>12476</v>
      </c>
      <c r="L3610" t="s">
        <v>12477</v>
      </c>
    </row>
    <row r="3611" spans="1:12">
      <c r="A3611" t="s">
        <v>12478</v>
      </c>
      <c r="B3611" s="1" t="s">
        <v>12475</v>
      </c>
      <c r="F3611">
        <v>1</v>
      </c>
      <c r="G3611" t="str">
        <f>HYPERLINK("http://babel.hathitrust.org/cgi/pt?id=uc1.b258578")</f>
        <v>http://babel.hathitrust.org/cgi/pt?id=uc1.b258578</v>
      </c>
      <c r="H3611" t="str">
        <f>HYPERLINK("http://catalog.hathitrust.org/Record/006507593")</f>
        <v>http://catalog.hathitrust.org/Record/006507593</v>
      </c>
      <c r="J3611" s="1">
        <v>1908</v>
      </c>
      <c r="K3611" t="s">
        <v>12476</v>
      </c>
      <c r="L3611" t="s">
        <v>12477</v>
      </c>
    </row>
    <row r="3612" spans="1:12">
      <c r="A3612" t="s">
        <v>12479</v>
      </c>
      <c r="B3612" s="1" t="s">
        <v>12475</v>
      </c>
      <c r="F3612">
        <v>1</v>
      </c>
      <c r="G3612" t="str">
        <f>HYPERLINK("http://babel.hathitrust.org/cgi/pt?id=uc2.ark:/13960/t2g739r95")</f>
        <v>http://babel.hathitrust.org/cgi/pt?id=uc2.ark:/13960/t2g739r95</v>
      </c>
      <c r="H3612" t="str">
        <f>HYPERLINK("http://catalog.hathitrust.org/Record/006507593")</f>
        <v>http://catalog.hathitrust.org/Record/006507593</v>
      </c>
      <c r="J3612" s="1">
        <v>1908</v>
      </c>
      <c r="K3612" t="s">
        <v>12476</v>
      </c>
      <c r="L3612" t="s">
        <v>12477</v>
      </c>
    </row>
    <row r="3613" spans="1:12">
      <c r="A3613" t="s">
        <v>12480</v>
      </c>
      <c r="B3613" s="1" t="s">
        <v>12481</v>
      </c>
      <c r="F3613">
        <v>1</v>
      </c>
      <c r="G3613" t="str">
        <f>HYPERLINK("http://babel.hathitrust.org/cgi/pt?id=nyp.33433082512256")</f>
        <v>http://babel.hathitrust.org/cgi/pt?id=nyp.33433082512256</v>
      </c>
      <c r="H3613" t="str">
        <f>HYPERLINK("http://catalog.hathitrust.org/Record/006507597")</f>
        <v>http://catalog.hathitrust.org/Record/006507597</v>
      </c>
      <c r="J3613" s="1">
        <v>1900</v>
      </c>
      <c r="K3613" t="s">
        <v>12482</v>
      </c>
      <c r="L3613" t="s">
        <v>12768</v>
      </c>
    </row>
    <row r="3614" spans="1:12">
      <c r="A3614" t="s">
        <v>12483</v>
      </c>
      <c r="B3614" s="1" t="s">
        <v>12481</v>
      </c>
      <c r="F3614">
        <v>1</v>
      </c>
      <c r="G3614" t="str">
        <f>HYPERLINK("http://babel.hathitrust.org/cgi/pt?id=uc1.b258592")</f>
        <v>http://babel.hathitrust.org/cgi/pt?id=uc1.b258592</v>
      </c>
      <c r="H3614" t="str">
        <f>HYPERLINK("http://catalog.hathitrust.org/Record/006507597")</f>
        <v>http://catalog.hathitrust.org/Record/006507597</v>
      </c>
      <c r="J3614" s="1">
        <v>1900</v>
      </c>
      <c r="K3614" t="s">
        <v>12482</v>
      </c>
      <c r="L3614" t="s">
        <v>12768</v>
      </c>
    </row>
    <row r="3615" spans="1:12">
      <c r="A3615" t="s">
        <v>12484</v>
      </c>
      <c r="B3615" s="1" t="s">
        <v>12481</v>
      </c>
      <c r="F3615">
        <v>1</v>
      </c>
      <c r="G3615" t="str">
        <f>HYPERLINK("http://babel.hathitrust.org/cgi/pt?id=uc2.ark:/13960/t4wh2h60s")</f>
        <v>http://babel.hathitrust.org/cgi/pt?id=uc2.ark:/13960/t4wh2h60s</v>
      </c>
      <c r="H3615" t="str">
        <f>HYPERLINK("http://catalog.hathitrust.org/Record/006507597")</f>
        <v>http://catalog.hathitrust.org/Record/006507597</v>
      </c>
      <c r="J3615" s="1">
        <v>1900</v>
      </c>
      <c r="K3615" t="s">
        <v>12482</v>
      </c>
      <c r="L3615" t="s">
        <v>12768</v>
      </c>
    </row>
    <row r="3616" spans="1:12">
      <c r="A3616" t="s">
        <v>12485</v>
      </c>
      <c r="B3616" s="1" t="s">
        <v>12486</v>
      </c>
      <c r="F3616">
        <v>1</v>
      </c>
      <c r="G3616" t="str">
        <f>HYPERLINK("http://babel.hathitrust.org/cgi/pt?id=uc1.b258603")</f>
        <v>http://babel.hathitrust.org/cgi/pt?id=uc1.b258603</v>
      </c>
      <c r="H3616" t="str">
        <f>HYPERLINK("http://catalog.hathitrust.org/Record/006507603")</f>
        <v>http://catalog.hathitrust.org/Record/006507603</v>
      </c>
      <c r="J3616" s="1">
        <v>1889</v>
      </c>
      <c r="K3616" t="s">
        <v>12487</v>
      </c>
      <c r="L3616" t="s">
        <v>12488</v>
      </c>
    </row>
    <row r="3617" spans="1:12">
      <c r="A3617" t="s">
        <v>12489</v>
      </c>
      <c r="B3617" s="1" t="s">
        <v>12486</v>
      </c>
      <c r="F3617">
        <v>1</v>
      </c>
      <c r="G3617" t="str">
        <f>HYPERLINK("http://babel.hathitrust.org/cgi/pt?id=uc2.ark:/13960/t55d8r99c")</f>
        <v>http://babel.hathitrust.org/cgi/pt?id=uc2.ark:/13960/t55d8r99c</v>
      </c>
      <c r="H3617" t="str">
        <f>HYPERLINK("http://catalog.hathitrust.org/Record/006507603")</f>
        <v>http://catalog.hathitrust.org/Record/006507603</v>
      </c>
      <c r="J3617" s="1">
        <v>1889</v>
      </c>
      <c r="K3617" t="s">
        <v>12487</v>
      </c>
      <c r="L3617" t="s">
        <v>12488</v>
      </c>
    </row>
    <row r="3618" spans="1:12">
      <c r="A3618" t="s">
        <v>12490</v>
      </c>
      <c r="B3618" s="1" t="s">
        <v>12491</v>
      </c>
      <c r="F3618">
        <v>1</v>
      </c>
      <c r="G3618" t="str">
        <f>HYPERLINK("http://babel.hathitrust.org/cgi/pt?id=uc1.b258604")</f>
        <v>http://babel.hathitrust.org/cgi/pt?id=uc1.b258604</v>
      </c>
      <c r="H3618" t="str">
        <f>HYPERLINK("http://catalog.hathitrust.org/Record/006507604")</f>
        <v>http://catalog.hathitrust.org/Record/006507604</v>
      </c>
      <c r="J3618" s="1">
        <v>1918</v>
      </c>
      <c r="K3618" t="s">
        <v>12492</v>
      </c>
      <c r="L3618" t="s">
        <v>12493</v>
      </c>
    </row>
    <row r="3619" spans="1:12">
      <c r="A3619" t="s">
        <v>12356</v>
      </c>
      <c r="B3619" s="1" t="s">
        <v>12491</v>
      </c>
      <c r="F3619">
        <v>1</v>
      </c>
      <c r="G3619" t="str">
        <f>HYPERLINK("http://babel.hathitrust.org/cgi/pt?id=uc2.ark:/13960/t07w69q29")</f>
        <v>http://babel.hathitrust.org/cgi/pt?id=uc2.ark:/13960/t07w69q29</v>
      </c>
      <c r="H3619" t="str">
        <f>HYPERLINK("http://catalog.hathitrust.org/Record/006507604")</f>
        <v>http://catalog.hathitrust.org/Record/006507604</v>
      </c>
      <c r="J3619" s="1">
        <v>1918</v>
      </c>
      <c r="K3619" t="s">
        <v>12492</v>
      </c>
      <c r="L3619" t="s">
        <v>12493</v>
      </c>
    </row>
    <row r="3620" spans="1:12">
      <c r="A3620" t="s">
        <v>12357</v>
      </c>
      <c r="B3620" s="1" t="s">
        <v>12358</v>
      </c>
      <c r="F3620">
        <v>1</v>
      </c>
      <c r="G3620" t="str">
        <f>HYPERLINK("http://babel.hathitrust.org/cgi/pt?id=nyp.33433082513718")</f>
        <v>http://babel.hathitrust.org/cgi/pt?id=nyp.33433082513718</v>
      </c>
      <c r="H3620" t="str">
        <f>HYPERLINK("http://catalog.hathitrust.org/Record/006507605")</f>
        <v>http://catalog.hathitrust.org/Record/006507605</v>
      </c>
      <c r="J3620" s="1">
        <v>1913</v>
      </c>
      <c r="K3620" t="s">
        <v>12359</v>
      </c>
      <c r="L3620" t="s">
        <v>12360</v>
      </c>
    </row>
    <row r="3621" spans="1:12">
      <c r="A3621" t="s">
        <v>12361</v>
      </c>
      <c r="B3621" s="1" t="s">
        <v>12358</v>
      </c>
      <c r="F3621">
        <v>1</v>
      </c>
      <c r="G3621" t="str">
        <f>HYPERLINK("http://babel.hathitrust.org/cgi/pt?id=uc1.b258605")</f>
        <v>http://babel.hathitrust.org/cgi/pt?id=uc1.b258605</v>
      </c>
      <c r="H3621" t="str">
        <f>HYPERLINK("http://catalog.hathitrust.org/Record/006507605")</f>
        <v>http://catalog.hathitrust.org/Record/006507605</v>
      </c>
      <c r="J3621" s="1">
        <v>1913</v>
      </c>
      <c r="K3621" t="s">
        <v>12359</v>
      </c>
      <c r="L3621" t="s">
        <v>12360</v>
      </c>
    </row>
    <row r="3622" spans="1:12">
      <c r="A3622" t="s">
        <v>12362</v>
      </c>
      <c r="B3622" s="1" t="s">
        <v>12358</v>
      </c>
      <c r="F3622">
        <v>1</v>
      </c>
      <c r="G3622" t="str">
        <f>HYPERLINK("http://babel.hathitrust.org/cgi/pt?id=uc2.ark:/13960/t6251jj3d")</f>
        <v>http://babel.hathitrust.org/cgi/pt?id=uc2.ark:/13960/t6251jj3d</v>
      </c>
      <c r="H3622" t="str">
        <f>HYPERLINK("http://catalog.hathitrust.org/Record/006507605")</f>
        <v>http://catalog.hathitrust.org/Record/006507605</v>
      </c>
      <c r="J3622" s="1">
        <v>1913</v>
      </c>
      <c r="K3622" t="s">
        <v>12359</v>
      </c>
      <c r="L3622" t="s">
        <v>12360</v>
      </c>
    </row>
    <row r="3623" spans="1:12">
      <c r="A3623" t="s">
        <v>12363</v>
      </c>
      <c r="B3623" s="1" t="s">
        <v>12364</v>
      </c>
      <c r="F3623">
        <v>1</v>
      </c>
      <c r="G3623" t="str">
        <f>HYPERLINK("http://babel.hathitrust.org/cgi/pt?id=uc1.b258611")</f>
        <v>http://babel.hathitrust.org/cgi/pt?id=uc1.b258611</v>
      </c>
      <c r="H3623" t="str">
        <f>HYPERLINK("http://catalog.hathitrust.org/Record/006507607")</f>
        <v>http://catalog.hathitrust.org/Record/006507607</v>
      </c>
      <c r="J3623" s="1">
        <v>1895</v>
      </c>
      <c r="K3623" t="s">
        <v>15358</v>
      </c>
      <c r="L3623" t="s">
        <v>17075</v>
      </c>
    </row>
    <row r="3624" spans="1:12">
      <c r="A3624" t="s">
        <v>12365</v>
      </c>
      <c r="B3624" s="1" t="s">
        <v>12366</v>
      </c>
      <c r="F3624">
        <v>1</v>
      </c>
      <c r="G3624" t="str">
        <f>HYPERLINK("http://babel.hathitrust.org/cgi/pt?id=uc1.b258614")</f>
        <v>http://babel.hathitrust.org/cgi/pt?id=uc1.b258614</v>
      </c>
      <c r="H3624" t="str">
        <f>HYPERLINK("http://catalog.hathitrust.org/Record/006507609")</f>
        <v>http://catalog.hathitrust.org/Record/006507609</v>
      </c>
      <c r="J3624" s="1">
        <v>1892</v>
      </c>
      <c r="K3624" t="s">
        <v>17074</v>
      </c>
      <c r="L3624" t="s">
        <v>17075</v>
      </c>
    </row>
    <row r="3625" spans="1:12">
      <c r="A3625" t="s">
        <v>12367</v>
      </c>
      <c r="B3625" s="1" t="s">
        <v>12368</v>
      </c>
      <c r="F3625">
        <v>1</v>
      </c>
      <c r="G3625" t="str">
        <f>HYPERLINK("http://babel.hathitrust.org/cgi/pt?id=nyp.33433074803044")</f>
        <v>http://babel.hathitrust.org/cgi/pt?id=nyp.33433074803044</v>
      </c>
      <c r="H3625" t="str">
        <f>HYPERLINK("http://catalog.hathitrust.org/Record/006507610")</f>
        <v>http://catalog.hathitrust.org/Record/006507610</v>
      </c>
      <c r="J3625" s="1">
        <v>1917</v>
      </c>
      <c r="K3625" t="s">
        <v>12369</v>
      </c>
      <c r="L3625" t="s">
        <v>12370</v>
      </c>
    </row>
    <row r="3626" spans="1:12">
      <c r="A3626" t="s">
        <v>12371</v>
      </c>
      <c r="B3626" s="1" t="s">
        <v>12368</v>
      </c>
      <c r="F3626">
        <v>1</v>
      </c>
      <c r="G3626" t="str">
        <f>HYPERLINK("http://babel.hathitrust.org/cgi/pt?id=uc1.b258619")</f>
        <v>http://babel.hathitrust.org/cgi/pt?id=uc1.b258619</v>
      </c>
      <c r="H3626" t="str">
        <f>HYPERLINK("http://catalog.hathitrust.org/Record/006507610")</f>
        <v>http://catalog.hathitrust.org/Record/006507610</v>
      </c>
      <c r="J3626" s="1">
        <v>1917</v>
      </c>
      <c r="K3626" t="s">
        <v>12369</v>
      </c>
      <c r="L3626" t="s">
        <v>12370</v>
      </c>
    </row>
    <row r="3627" spans="1:12">
      <c r="A3627" t="s">
        <v>12372</v>
      </c>
      <c r="B3627" s="1" t="s">
        <v>12368</v>
      </c>
      <c r="F3627">
        <v>1</v>
      </c>
      <c r="G3627" t="str">
        <f>HYPERLINK("http://babel.hathitrust.org/cgi/pt?id=uc2.ark:/13960/t4hm56s5v")</f>
        <v>http://babel.hathitrust.org/cgi/pt?id=uc2.ark:/13960/t4hm56s5v</v>
      </c>
      <c r="H3627" t="str">
        <f>HYPERLINK("http://catalog.hathitrust.org/Record/006507610")</f>
        <v>http://catalog.hathitrust.org/Record/006507610</v>
      </c>
      <c r="J3627" s="1">
        <v>1917</v>
      </c>
      <c r="K3627" t="s">
        <v>12369</v>
      </c>
      <c r="L3627" t="s">
        <v>12370</v>
      </c>
    </row>
    <row r="3628" spans="1:12">
      <c r="A3628" t="s">
        <v>12373</v>
      </c>
      <c r="B3628" s="1" t="s">
        <v>12374</v>
      </c>
      <c r="F3628">
        <v>1</v>
      </c>
      <c r="G3628" t="str">
        <f>HYPERLINK("http://babel.hathitrust.org/cgi/pt?id=uc1.b258620")</f>
        <v>http://babel.hathitrust.org/cgi/pt?id=uc1.b258620</v>
      </c>
      <c r="H3628" t="str">
        <f>HYPERLINK("http://catalog.hathitrust.org/Record/006507611")</f>
        <v>http://catalog.hathitrust.org/Record/006507611</v>
      </c>
      <c r="J3628" s="1">
        <v>1903</v>
      </c>
      <c r="K3628" t="s">
        <v>12375</v>
      </c>
      <c r="L3628" t="s">
        <v>12376</v>
      </c>
    </row>
    <row r="3629" spans="1:12">
      <c r="A3629" t="s">
        <v>12377</v>
      </c>
      <c r="B3629" s="1" t="s">
        <v>12374</v>
      </c>
      <c r="F3629">
        <v>1</v>
      </c>
      <c r="G3629" t="str">
        <f>HYPERLINK("http://babel.hathitrust.org/cgi/pt?id=uc2.ark:/13960/t4dn42n9c")</f>
        <v>http://babel.hathitrust.org/cgi/pt?id=uc2.ark:/13960/t4dn42n9c</v>
      </c>
      <c r="H3629" t="str">
        <f>HYPERLINK("http://catalog.hathitrust.org/Record/006507611")</f>
        <v>http://catalog.hathitrust.org/Record/006507611</v>
      </c>
      <c r="J3629" s="1">
        <v>1903</v>
      </c>
      <c r="K3629" t="s">
        <v>12375</v>
      </c>
      <c r="L3629" t="s">
        <v>12376</v>
      </c>
    </row>
    <row r="3630" spans="1:12">
      <c r="A3630" t="s">
        <v>12378</v>
      </c>
      <c r="B3630" s="1" t="s">
        <v>12379</v>
      </c>
      <c r="F3630">
        <v>1</v>
      </c>
      <c r="G3630" t="str">
        <f>HYPERLINK("http://babel.hathitrust.org/cgi/pt?id=uc1.b258621")</f>
        <v>http://babel.hathitrust.org/cgi/pt?id=uc1.b258621</v>
      </c>
      <c r="H3630" t="str">
        <f>HYPERLINK("http://catalog.hathitrust.org/Record/006507612")</f>
        <v>http://catalog.hathitrust.org/Record/006507612</v>
      </c>
      <c r="J3630" s="1">
        <v>1914</v>
      </c>
      <c r="K3630" t="s">
        <v>12380</v>
      </c>
      <c r="L3630" t="s">
        <v>12381</v>
      </c>
    </row>
    <row r="3631" spans="1:12">
      <c r="A3631" t="s">
        <v>12382</v>
      </c>
      <c r="B3631" s="1" t="s">
        <v>12379</v>
      </c>
      <c r="F3631">
        <v>1</v>
      </c>
      <c r="G3631" t="str">
        <f>HYPERLINK("http://babel.hathitrust.org/cgi/pt?id=uc2.ark:/13960/t2n58g73c")</f>
        <v>http://babel.hathitrust.org/cgi/pt?id=uc2.ark:/13960/t2n58g73c</v>
      </c>
      <c r="H3631" t="str">
        <f>HYPERLINK("http://catalog.hathitrust.org/Record/006507612")</f>
        <v>http://catalog.hathitrust.org/Record/006507612</v>
      </c>
      <c r="J3631" s="1">
        <v>1914</v>
      </c>
      <c r="K3631" t="s">
        <v>12380</v>
      </c>
      <c r="L3631" t="s">
        <v>12381</v>
      </c>
    </row>
    <row r="3632" spans="1:12">
      <c r="A3632" t="s">
        <v>12383</v>
      </c>
      <c r="B3632" s="1" t="s">
        <v>12384</v>
      </c>
      <c r="F3632">
        <v>1</v>
      </c>
      <c r="G3632" t="str">
        <f>HYPERLINK("http://babel.hathitrust.org/cgi/pt?id=uc1.b258623")</f>
        <v>http://babel.hathitrust.org/cgi/pt?id=uc1.b258623</v>
      </c>
      <c r="H3632" t="str">
        <f>HYPERLINK("http://catalog.hathitrust.org/Record/006507613")</f>
        <v>http://catalog.hathitrust.org/Record/006507613</v>
      </c>
      <c r="J3632" s="1">
        <v>1916</v>
      </c>
      <c r="K3632" t="s">
        <v>12385</v>
      </c>
      <c r="L3632" t="s">
        <v>17946</v>
      </c>
    </row>
    <row r="3633" spans="1:12">
      <c r="A3633" t="s">
        <v>12386</v>
      </c>
      <c r="B3633" s="1" t="s">
        <v>12384</v>
      </c>
      <c r="F3633">
        <v>1</v>
      </c>
      <c r="G3633" t="str">
        <f>HYPERLINK("http://babel.hathitrust.org/cgi/pt?id=uc2.ark:/13960/t5cc0xp0h")</f>
        <v>http://babel.hathitrust.org/cgi/pt?id=uc2.ark:/13960/t5cc0xp0h</v>
      </c>
      <c r="H3633" t="str">
        <f>HYPERLINK("http://catalog.hathitrust.org/Record/006507613")</f>
        <v>http://catalog.hathitrust.org/Record/006507613</v>
      </c>
      <c r="J3633" s="1">
        <v>1916</v>
      </c>
      <c r="K3633" t="s">
        <v>12385</v>
      </c>
      <c r="L3633" t="s">
        <v>17946</v>
      </c>
    </row>
    <row r="3634" spans="1:12">
      <c r="A3634" t="s">
        <v>12387</v>
      </c>
      <c r="B3634" s="1" t="s">
        <v>12388</v>
      </c>
      <c r="F3634">
        <v>1</v>
      </c>
      <c r="G3634" t="str">
        <f>HYPERLINK("http://babel.hathitrust.org/cgi/pt?id=uc1.b258624")</f>
        <v>http://babel.hathitrust.org/cgi/pt?id=uc1.b258624</v>
      </c>
      <c r="H3634" t="str">
        <f>HYPERLINK("http://catalog.hathitrust.org/Record/006507614")</f>
        <v>http://catalog.hathitrust.org/Record/006507614</v>
      </c>
      <c r="J3634" s="1">
        <v>1912</v>
      </c>
      <c r="K3634" t="s">
        <v>12389</v>
      </c>
      <c r="L3634" t="s">
        <v>12390</v>
      </c>
    </row>
    <row r="3635" spans="1:12">
      <c r="A3635" t="s">
        <v>12391</v>
      </c>
      <c r="B3635" s="1" t="s">
        <v>12388</v>
      </c>
      <c r="F3635">
        <v>1</v>
      </c>
      <c r="G3635" t="str">
        <f>HYPERLINK("http://babel.hathitrust.org/cgi/pt?id=uc2.ark:/13960/t9n29s957")</f>
        <v>http://babel.hathitrust.org/cgi/pt?id=uc2.ark:/13960/t9n29s957</v>
      </c>
      <c r="H3635" t="str">
        <f>HYPERLINK("http://catalog.hathitrust.org/Record/006507614")</f>
        <v>http://catalog.hathitrust.org/Record/006507614</v>
      </c>
      <c r="J3635" s="1">
        <v>1912</v>
      </c>
      <c r="K3635" t="s">
        <v>12389</v>
      </c>
      <c r="L3635" t="s">
        <v>12390</v>
      </c>
    </row>
    <row r="3636" spans="1:12">
      <c r="A3636" t="s">
        <v>12392</v>
      </c>
      <c r="B3636" s="1" t="s">
        <v>12393</v>
      </c>
      <c r="E3636">
        <v>1</v>
      </c>
      <c r="G3636" t="str">
        <f>HYPERLINK("http://babel.hathitrust.org/cgi/pt?id=uc1.b258632")</f>
        <v>http://babel.hathitrust.org/cgi/pt?id=uc1.b258632</v>
      </c>
      <c r="H3636" t="str">
        <f>HYPERLINK("http://catalog.hathitrust.org/Record/006507621")</f>
        <v>http://catalog.hathitrust.org/Record/006507621</v>
      </c>
      <c r="J3636" s="1">
        <v>1917</v>
      </c>
      <c r="K3636" t="s">
        <v>15215</v>
      </c>
      <c r="L3636" t="s">
        <v>16800</v>
      </c>
    </row>
    <row r="3637" spans="1:12">
      <c r="A3637" t="s">
        <v>12394</v>
      </c>
      <c r="B3637" s="1" t="s">
        <v>12395</v>
      </c>
      <c r="E3637">
        <v>1</v>
      </c>
      <c r="G3637" t="str">
        <f>HYPERLINK("http://babel.hathitrust.org/cgi/pt?id=uc1.b258641")</f>
        <v>http://babel.hathitrust.org/cgi/pt?id=uc1.b258641</v>
      </c>
      <c r="H3637" t="str">
        <f>HYPERLINK("http://catalog.hathitrust.org/Record/006507626")</f>
        <v>http://catalog.hathitrust.org/Record/006507626</v>
      </c>
      <c r="J3637" s="1">
        <v>1876</v>
      </c>
      <c r="K3637" t="s">
        <v>12396</v>
      </c>
      <c r="L3637" t="s">
        <v>12397</v>
      </c>
    </row>
    <row r="3638" spans="1:12">
      <c r="A3638" t="s">
        <v>12398</v>
      </c>
      <c r="B3638" s="1" t="s">
        <v>12399</v>
      </c>
      <c r="F3638">
        <v>1</v>
      </c>
      <c r="G3638" t="str">
        <f>HYPERLINK("http://babel.hathitrust.org/cgi/pt?id=uc1.b258647")</f>
        <v>http://babel.hathitrust.org/cgi/pt?id=uc1.b258647</v>
      </c>
      <c r="H3638" t="str">
        <f>HYPERLINK("http://catalog.hathitrust.org/Record/006507630")</f>
        <v>http://catalog.hathitrust.org/Record/006507630</v>
      </c>
      <c r="I3638" s="1" t="s">
        <v>12401</v>
      </c>
      <c r="J3638" s="1">
        <v>1892</v>
      </c>
      <c r="K3638" t="s">
        <v>12400</v>
      </c>
      <c r="L3638" t="s">
        <v>12402</v>
      </c>
    </row>
    <row r="3639" spans="1:12">
      <c r="A3639" t="s">
        <v>12403</v>
      </c>
      <c r="B3639" s="1" t="s">
        <v>12399</v>
      </c>
      <c r="F3639">
        <v>1</v>
      </c>
      <c r="G3639" t="str">
        <f>HYPERLINK("http://babel.hathitrust.org/cgi/pt?id=uc2.ark:/13960/t4th8fc58")</f>
        <v>http://babel.hathitrust.org/cgi/pt?id=uc2.ark:/13960/t4th8fc58</v>
      </c>
      <c r="H3639" t="str">
        <f>HYPERLINK("http://catalog.hathitrust.org/Record/006507630")</f>
        <v>http://catalog.hathitrust.org/Record/006507630</v>
      </c>
      <c r="I3639" s="1" t="s">
        <v>12401</v>
      </c>
      <c r="J3639" s="1">
        <v>1892</v>
      </c>
      <c r="K3639" t="s">
        <v>12400</v>
      </c>
      <c r="L3639" t="s">
        <v>12402</v>
      </c>
    </row>
    <row r="3640" spans="1:12">
      <c r="A3640" t="s">
        <v>12404</v>
      </c>
      <c r="B3640" s="1" t="s">
        <v>12405</v>
      </c>
      <c r="F3640">
        <v>1</v>
      </c>
      <c r="G3640" t="str">
        <f>HYPERLINK("http://babel.hathitrust.org/cgi/pt?id=uc1.b258653")</f>
        <v>http://babel.hathitrust.org/cgi/pt?id=uc1.b258653</v>
      </c>
      <c r="H3640" t="str">
        <f>HYPERLINK("http://catalog.hathitrust.org/Record/006507632")</f>
        <v>http://catalog.hathitrust.org/Record/006507632</v>
      </c>
      <c r="J3640" s="1">
        <v>1912</v>
      </c>
      <c r="K3640" t="s">
        <v>12406</v>
      </c>
      <c r="L3640" t="s">
        <v>12407</v>
      </c>
    </row>
    <row r="3641" spans="1:12">
      <c r="A3641" t="s">
        <v>12408</v>
      </c>
      <c r="B3641" s="1" t="s">
        <v>12405</v>
      </c>
      <c r="F3641">
        <v>1</v>
      </c>
      <c r="G3641" t="str">
        <f>HYPERLINK("http://babel.hathitrust.org/cgi/pt?id=uc2.ark:/13960/t6zw1cn2h")</f>
        <v>http://babel.hathitrust.org/cgi/pt?id=uc2.ark:/13960/t6zw1cn2h</v>
      </c>
      <c r="H3641" t="str">
        <f>HYPERLINK("http://catalog.hathitrust.org/Record/006507632")</f>
        <v>http://catalog.hathitrust.org/Record/006507632</v>
      </c>
      <c r="J3641" s="1">
        <v>1912</v>
      </c>
      <c r="K3641" t="s">
        <v>12406</v>
      </c>
      <c r="L3641" t="s">
        <v>12407</v>
      </c>
    </row>
    <row r="3642" spans="1:12">
      <c r="A3642" t="s">
        <v>12409</v>
      </c>
      <c r="B3642" s="1" t="s">
        <v>12410</v>
      </c>
      <c r="F3642">
        <v>1</v>
      </c>
      <c r="G3642" t="str">
        <f>HYPERLINK("http://babel.hathitrust.org/cgi/pt?id=uc1.b258654")</f>
        <v>http://babel.hathitrust.org/cgi/pt?id=uc1.b258654</v>
      </c>
      <c r="H3642" t="str">
        <f>HYPERLINK("http://catalog.hathitrust.org/Record/006507633")</f>
        <v>http://catalog.hathitrust.org/Record/006507633</v>
      </c>
      <c r="J3642" s="1">
        <v>1916</v>
      </c>
      <c r="K3642" t="s">
        <v>12411</v>
      </c>
      <c r="L3642" t="s">
        <v>12412</v>
      </c>
    </row>
    <row r="3643" spans="1:12">
      <c r="A3643" t="s">
        <v>12413</v>
      </c>
      <c r="B3643" s="1" t="s">
        <v>12410</v>
      </c>
      <c r="F3643">
        <v>1</v>
      </c>
      <c r="G3643" t="str">
        <f>HYPERLINK("http://babel.hathitrust.org/cgi/pt?id=uc2.ark:/13960/t7kp7ws13")</f>
        <v>http://babel.hathitrust.org/cgi/pt?id=uc2.ark:/13960/t7kp7ws13</v>
      </c>
      <c r="H3643" t="str">
        <f>HYPERLINK("http://catalog.hathitrust.org/Record/006507633")</f>
        <v>http://catalog.hathitrust.org/Record/006507633</v>
      </c>
      <c r="J3643" s="1">
        <v>1916</v>
      </c>
      <c r="K3643" t="s">
        <v>12411</v>
      </c>
      <c r="L3643" t="s">
        <v>12412</v>
      </c>
    </row>
    <row r="3644" spans="1:12">
      <c r="A3644" t="s">
        <v>12414</v>
      </c>
      <c r="B3644" s="1" t="s">
        <v>12415</v>
      </c>
      <c r="F3644">
        <v>1</v>
      </c>
      <c r="G3644" t="str">
        <f>HYPERLINK("http://babel.hathitrust.org/cgi/pt?id=uc1.b258655")</f>
        <v>http://babel.hathitrust.org/cgi/pt?id=uc1.b258655</v>
      </c>
      <c r="H3644" t="str">
        <f>HYPERLINK("http://catalog.hathitrust.org/Record/006507634")</f>
        <v>http://catalog.hathitrust.org/Record/006507634</v>
      </c>
      <c r="J3644" s="1">
        <v>1908</v>
      </c>
      <c r="K3644" t="s">
        <v>12416</v>
      </c>
      <c r="L3644" t="s">
        <v>12417</v>
      </c>
    </row>
    <row r="3645" spans="1:12">
      <c r="A3645" t="s">
        <v>12418</v>
      </c>
      <c r="B3645" s="1" t="s">
        <v>12415</v>
      </c>
      <c r="F3645">
        <v>1</v>
      </c>
      <c r="G3645" t="str">
        <f>HYPERLINK("http://babel.hathitrust.org/cgi/pt?id=uc2.ark:/13960/t55d8sr65")</f>
        <v>http://babel.hathitrust.org/cgi/pt?id=uc2.ark:/13960/t55d8sr65</v>
      </c>
      <c r="H3645" t="str">
        <f>HYPERLINK("http://catalog.hathitrust.org/Record/006507634")</f>
        <v>http://catalog.hathitrust.org/Record/006507634</v>
      </c>
      <c r="J3645" s="1">
        <v>1908</v>
      </c>
      <c r="K3645" t="s">
        <v>12416</v>
      </c>
      <c r="L3645" t="s">
        <v>12417</v>
      </c>
    </row>
    <row r="3646" spans="1:12">
      <c r="A3646" t="s">
        <v>12419</v>
      </c>
      <c r="B3646" s="1" t="s">
        <v>12415</v>
      </c>
      <c r="F3646">
        <v>1</v>
      </c>
      <c r="G3646" t="str">
        <f>HYPERLINK("http://babel.hathitrust.org/cgi/pt?id=uc2.ark:/13960/t7hq3vx7k")</f>
        <v>http://babel.hathitrust.org/cgi/pt?id=uc2.ark:/13960/t7hq3vx7k</v>
      </c>
      <c r="H3646" t="str">
        <f>HYPERLINK("http://catalog.hathitrust.org/Record/006507634")</f>
        <v>http://catalog.hathitrust.org/Record/006507634</v>
      </c>
      <c r="J3646" s="1">
        <v>1908</v>
      </c>
      <c r="K3646" t="s">
        <v>12416</v>
      </c>
      <c r="L3646" t="s">
        <v>12417</v>
      </c>
    </row>
    <row r="3647" spans="1:12">
      <c r="A3647" t="s">
        <v>12420</v>
      </c>
      <c r="B3647" s="1" t="s">
        <v>12421</v>
      </c>
      <c r="F3647">
        <v>1</v>
      </c>
      <c r="G3647" t="str">
        <f>HYPERLINK("http://babel.hathitrust.org/cgi/pt?id=uc1.b258658")</f>
        <v>http://babel.hathitrust.org/cgi/pt?id=uc1.b258658</v>
      </c>
      <c r="H3647" t="str">
        <f>HYPERLINK("http://catalog.hathitrust.org/Record/006507636")</f>
        <v>http://catalog.hathitrust.org/Record/006507636</v>
      </c>
      <c r="J3647" s="1">
        <v>1926</v>
      </c>
      <c r="K3647" t="s">
        <v>12422</v>
      </c>
      <c r="L3647" t="s">
        <v>12423</v>
      </c>
    </row>
    <row r="3648" spans="1:12">
      <c r="A3648" t="s">
        <v>12424</v>
      </c>
      <c r="B3648" s="1" t="s">
        <v>12425</v>
      </c>
      <c r="F3648">
        <v>1</v>
      </c>
      <c r="G3648" t="str">
        <f>HYPERLINK("http://babel.hathitrust.org/cgi/pt?id=uc1.b258661")</f>
        <v>http://babel.hathitrust.org/cgi/pt?id=uc1.b258661</v>
      </c>
      <c r="H3648" t="str">
        <f>HYPERLINK("http://catalog.hathitrust.org/Record/006507639")</f>
        <v>http://catalog.hathitrust.org/Record/006507639</v>
      </c>
      <c r="J3648" s="1">
        <v>1922</v>
      </c>
      <c r="K3648" t="s">
        <v>12298</v>
      </c>
      <c r="L3648" t="s">
        <v>12299</v>
      </c>
    </row>
    <row r="3649" spans="1:12">
      <c r="A3649" t="s">
        <v>12300</v>
      </c>
      <c r="B3649" s="1" t="s">
        <v>12425</v>
      </c>
      <c r="F3649">
        <v>1</v>
      </c>
      <c r="G3649" t="str">
        <f>HYPERLINK("http://babel.hathitrust.org/cgi/pt?id=uc2.ark:/13960/t9q23v385")</f>
        <v>http://babel.hathitrust.org/cgi/pt?id=uc2.ark:/13960/t9q23v385</v>
      </c>
      <c r="H3649" t="str">
        <f>HYPERLINK("http://catalog.hathitrust.org/Record/006507639")</f>
        <v>http://catalog.hathitrust.org/Record/006507639</v>
      </c>
      <c r="J3649" s="1">
        <v>1922</v>
      </c>
      <c r="K3649" t="s">
        <v>12298</v>
      </c>
      <c r="L3649" t="s">
        <v>12299</v>
      </c>
    </row>
    <row r="3650" spans="1:12">
      <c r="A3650" t="s">
        <v>12301</v>
      </c>
      <c r="B3650" s="1" t="s">
        <v>12302</v>
      </c>
      <c r="F3650">
        <v>1</v>
      </c>
      <c r="G3650" t="str">
        <f>HYPERLINK("http://babel.hathitrust.org/cgi/pt?id=uc1.b258663")</f>
        <v>http://babel.hathitrust.org/cgi/pt?id=uc1.b258663</v>
      </c>
      <c r="H3650" t="str">
        <f>HYPERLINK("http://catalog.hathitrust.org/Record/006507640")</f>
        <v>http://catalog.hathitrust.org/Record/006507640</v>
      </c>
      <c r="J3650" s="1">
        <v>1898</v>
      </c>
      <c r="K3650" t="s">
        <v>12303</v>
      </c>
      <c r="L3650" t="s">
        <v>12304</v>
      </c>
    </row>
    <row r="3651" spans="1:12">
      <c r="A3651" t="s">
        <v>12305</v>
      </c>
      <c r="B3651" s="1" t="s">
        <v>12302</v>
      </c>
      <c r="F3651">
        <v>1</v>
      </c>
      <c r="G3651" t="str">
        <f>HYPERLINK("http://babel.hathitrust.org/cgi/pt?id=uc2.ark:/13960/t7np20j0f")</f>
        <v>http://babel.hathitrust.org/cgi/pt?id=uc2.ark:/13960/t7np20j0f</v>
      </c>
      <c r="H3651" t="str">
        <f>HYPERLINK("http://catalog.hathitrust.org/Record/006507640")</f>
        <v>http://catalog.hathitrust.org/Record/006507640</v>
      </c>
      <c r="J3651" s="1">
        <v>1898</v>
      </c>
      <c r="K3651" t="s">
        <v>12303</v>
      </c>
      <c r="L3651" t="s">
        <v>12304</v>
      </c>
    </row>
    <row r="3652" spans="1:12">
      <c r="A3652" t="s">
        <v>12306</v>
      </c>
      <c r="B3652" s="1" t="s">
        <v>12307</v>
      </c>
      <c r="F3652">
        <v>1</v>
      </c>
      <c r="G3652" t="str">
        <f>HYPERLINK("http://babel.hathitrust.org/cgi/pt?id=uc1.b258666")</f>
        <v>http://babel.hathitrust.org/cgi/pt?id=uc1.b258666</v>
      </c>
      <c r="H3652" t="str">
        <f>HYPERLINK("http://catalog.hathitrust.org/Record/006507642")</f>
        <v>http://catalog.hathitrust.org/Record/006507642</v>
      </c>
      <c r="J3652" s="1">
        <v>1898</v>
      </c>
      <c r="K3652" t="s">
        <v>12308</v>
      </c>
      <c r="L3652" t="s">
        <v>17126</v>
      </c>
    </row>
    <row r="3653" spans="1:12">
      <c r="A3653" t="s">
        <v>12309</v>
      </c>
      <c r="B3653" s="1" t="s">
        <v>12307</v>
      </c>
      <c r="F3653">
        <v>1</v>
      </c>
      <c r="G3653" t="str">
        <f>HYPERLINK("http://babel.hathitrust.org/cgi/pt?id=uc2.ark:/13960/t7rn33681")</f>
        <v>http://babel.hathitrust.org/cgi/pt?id=uc2.ark:/13960/t7rn33681</v>
      </c>
      <c r="H3653" t="str">
        <f>HYPERLINK("http://catalog.hathitrust.org/Record/006507642")</f>
        <v>http://catalog.hathitrust.org/Record/006507642</v>
      </c>
      <c r="J3653" s="1">
        <v>1898</v>
      </c>
      <c r="K3653" t="s">
        <v>12308</v>
      </c>
      <c r="L3653" t="s">
        <v>17126</v>
      </c>
    </row>
    <row r="3654" spans="1:12">
      <c r="A3654" t="s">
        <v>12310</v>
      </c>
      <c r="B3654" s="1" t="s">
        <v>12311</v>
      </c>
      <c r="F3654">
        <v>1</v>
      </c>
      <c r="G3654" t="str">
        <f>HYPERLINK("http://babel.hathitrust.org/cgi/pt?id=nyp.33433082523634")</f>
        <v>http://babel.hathitrust.org/cgi/pt?id=nyp.33433082523634</v>
      </c>
      <c r="H3654" t="str">
        <f>HYPERLINK("http://catalog.hathitrust.org/Record/006507644")</f>
        <v>http://catalog.hathitrust.org/Record/006507644</v>
      </c>
      <c r="J3654" s="1">
        <v>1911</v>
      </c>
      <c r="K3654" t="s">
        <v>12312</v>
      </c>
      <c r="L3654" t="s">
        <v>12313</v>
      </c>
    </row>
    <row r="3655" spans="1:12">
      <c r="A3655" t="s">
        <v>12314</v>
      </c>
      <c r="B3655" s="1" t="s">
        <v>12311</v>
      </c>
      <c r="F3655">
        <v>1</v>
      </c>
      <c r="G3655" t="str">
        <f>HYPERLINK("http://babel.hathitrust.org/cgi/pt?id=uc1.b258669")</f>
        <v>http://babel.hathitrust.org/cgi/pt?id=uc1.b258669</v>
      </c>
      <c r="H3655" t="str">
        <f>HYPERLINK("http://catalog.hathitrust.org/Record/006507644")</f>
        <v>http://catalog.hathitrust.org/Record/006507644</v>
      </c>
      <c r="J3655" s="1">
        <v>1911</v>
      </c>
      <c r="K3655" t="s">
        <v>12312</v>
      </c>
      <c r="L3655" t="s">
        <v>12313</v>
      </c>
    </row>
    <row r="3656" spans="1:12">
      <c r="A3656" t="s">
        <v>12315</v>
      </c>
      <c r="B3656" s="1" t="s">
        <v>12311</v>
      </c>
      <c r="F3656">
        <v>1</v>
      </c>
      <c r="G3656" t="str">
        <f>HYPERLINK("http://babel.hathitrust.org/cgi/pt?id=uc2.ark:/13960/t2j67ck9j")</f>
        <v>http://babel.hathitrust.org/cgi/pt?id=uc2.ark:/13960/t2j67ck9j</v>
      </c>
      <c r="H3656" t="str">
        <f>HYPERLINK("http://catalog.hathitrust.org/Record/006507644")</f>
        <v>http://catalog.hathitrust.org/Record/006507644</v>
      </c>
      <c r="J3656" s="1">
        <v>1911</v>
      </c>
      <c r="K3656" t="s">
        <v>12312</v>
      </c>
      <c r="L3656" t="s">
        <v>12313</v>
      </c>
    </row>
    <row r="3657" spans="1:12">
      <c r="A3657" t="s">
        <v>12316</v>
      </c>
      <c r="B3657" s="1" t="s">
        <v>12317</v>
      </c>
      <c r="F3657">
        <v>1</v>
      </c>
      <c r="G3657" t="str">
        <f>HYPERLINK("http://babel.hathitrust.org/cgi/pt?id=uc1.b258683")</f>
        <v>http://babel.hathitrust.org/cgi/pt?id=uc1.b258683</v>
      </c>
      <c r="H3657" t="str">
        <f>HYPERLINK("http://catalog.hathitrust.org/Record/006507654")</f>
        <v>http://catalog.hathitrust.org/Record/006507654</v>
      </c>
      <c r="J3657" s="1">
        <v>1904</v>
      </c>
      <c r="K3657" t="s">
        <v>15189</v>
      </c>
      <c r="L3657" t="s">
        <v>12318</v>
      </c>
    </row>
    <row r="3658" spans="1:12">
      <c r="A3658" t="s">
        <v>12319</v>
      </c>
      <c r="B3658" s="1" t="s">
        <v>12317</v>
      </c>
      <c r="F3658">
        <v>1</v>
      </c>
      <c r="G3658" t="str">
        <f>HYPERLINK("http://babel.hathitrust.org/cgi/pt?id=uc2.ark:/13960/t7np20n94")</f>
        <v>http://babel.hathitrust.org/cgi/pt?id=uc2.ark:/13960/t7np20n94</v>
      </c>
      <c r="H3658" t="str">
        <f>HYPERLINK("http://catalog.hathitrust.org/Record/006507654")</f>
        <v>http://catalog.hathitrust.org/Record/006507654</v>
      </c>
      <c r="J3658" s="1">
        <v>1904</v>
      </c>
      <c r="K3658" t="s">
        <v>15189</v>
      </c>
      <c r="L3658" t="s">
        <v>12318</v>
      </c>
    </row>
    <row r="3659" spans="1:12">
      <c r="A3659" t="s">
        <v>12320</v>
      </c>
      <c r="B3659" s="1" t="s">
        <v>12321</v>
      </c>
      <c r="F3659">
        <v>1</v>
      </c>
      <c r="G3659" t="str">
        <f>HYPERLINK("http://babel.hathitrust.org/cgi/pt?id=uc1.b259726")</f>
        <v>http://babel.hathitrust.org/cgi/pt?id=uc1.b259726</v>
      </c>
      <c r="H3659" t="str">
        <f>HYPERLINK("http://catalog.hathitrust.org/Record/006508363")</f>
        <v>http://catalog.hathitrust.org/Record/006508363</v>
      </c>
      <c r="J3659" s="1">
        <v>1906</v>
      </c>
      <c r="K3659" t="s">
        <v>12322</v>
      </c>
      <c r="L3659" t="s">
        <v>12323</v>
      </c>
    </row>
    <row r="3660" spans="1:12">
      <c r="A3660" t="s">
        <v>12324</v>
      </c>
      <c r="B3660" s="1" t="s">
        <v>12321</v>
      </c>
      <c r="F3660">
        <v>1</v>
      </c>
      <c r="G3660" t="str">
        <f>HYPERLINK("http://babel.hathitrust.org/cgi/pt?id=uc2.ark:/13960/t85h7fg01")</f>
        <v>http://babel.hathitrust.org/cgi/pt?id=uc2.ark:/13960/t85h7fg01</v>
      </c>
      <c r="H3660" t="str">
        <f>HYPERLINK("http://catalog.hathitrust.org/Record/006508363")</f>
        <v>http://catalog.hathitrust.org/Record/006508363</v>
      </c>
      <c r="J3660" s="1">
        <v>1906</v>
      </c>
      <c r="K3660" t="s">
        <v>12322</v>
      </c>
      <c r="L3660" t="s">
        <v>12323</v>
      </c>
    </row>
    <row r="3661" spans="1:12">
      <c r="A3661" t="s">
        <v>12325</v>
      </c>
      <c r="B3661" s="1" t="s">
        <v>12326</v>
      </c>
      <c r="F3661">
        <v>1</v>
      </c>
      <c r="G3661" t="str">
        <f>HYPERLINK("http://babel.hathitrust.org/cgi/pt?id=uc1.b259803")</f>
        <v>http://babel.hathitrust.org/cgi/pt?id=uc1.b259803</v>
      </c>
      <c r="H3661" t="str">
        <f>HYPERLINK("http://catalog.hathitrust.org/Record/006508410")</f>
        <v>http://catalog.hathitrust.org/Record/006508410</v>
      </c>
      <c r="J3661" s="1">
        <v>1911</v>
      </c>
      <c r="K3661" t="s">
        <v>12327</v>
      </c>
      <c r="L3661" t="s">
        <v>12328</v>
      </c>
    </row>
    <row r="3662" spans="1:12">
      <c r="A3662" t="s">
        <v>12329</v>
      </c>
      <c r="B3662" s="1" t="s">
        <v>12330</v>
      </c>
      <c r="F3662">
        <v>1</v>
      </c>
      <c r="G3662" t="str">
        <f>HYPERLINK("http://babel.hathitrust.org/cgi/pt?id=uc1.b259806")</f>
        <v>http://babel.hathitrust.org/cgi/pt?id=uc1.b259806</v>
      </c>
      <c r="H3662" t="str">
        <f>HYPERLINK("http://catalog.hathitrust.org/Record/006508411")</f>
        <v>http://catalog.hathitrust.org/Record/006508411</v>
      </c>
      <c r="J3662" s="1">
        <v>1915</v>
      </c>
      <c r="K3662" t="s">
        <v>16371</v>
      </c>
      <c r="L3662" t="s">
        <v>16372</v>
      </c>
    </row>
    <row r="3663" spans="1:12">
      <c r="A3663" t="s">
        <v>12331</v>
      </c>
      <c r="B3663" s="1" t="s">
        <v>12330</v>
      </c>
      <c r="F3663">
        <v>1</v>
      </c>
      <c r="G3663" t="str">
        <f>HYPERLINK("http://babel.hathitrust.org/cgi/pt?id=uc2.ark:/13960/t7jq0wt6b")</f>
        <v>http://babel.hathitrust.org/cgi/pt?id=uc2.ark:/13960/t7jq0wt6b</v>
      </c>
      <c r="H3663" t="str">
        <f>HYPERLINK("http://catalog.hathitrust.org/Record/006508411")</f>
        <v>http://catalog.hathitrust.org/Record/006508411</v>
      </c>
      <c r="J3663" s="1">
        <v>1915</v>
      </c>
      <c r="K3663" t="s">
        <v>16371</v>
      </c>
      <c r="L3663" t="s">
        <v>16372</v>
      </c>
    </row>
    <row r="3664" spans="1:12">
      <c r="A3664" t="s">
        <v>12332</v>
      </c>
      <c r="B3664" s="1" t="s">
        <v>12333</v>
      </c>
      <c r="F3664">
        <v>1</v>
      </c>
      <c r="G3664" t="str">
        <f>HYPERLINK("http://babel.hathitrust.org/cgi/pt?id=uc1.b259853")</f>
        <v>http://babel.hathitrust.org/cgi/pt?id=uc1.b259853</v>
      </c>
      <c r="H3664" t="str">
        <f>HYPERLINK("http://catalog.hathitrust.org/Record/006508444")</f>
        <v>http://catalog.hathitrust.org/Record/006508444</v>
      </c>
      <c r="I3664" s="1" t="s">
        <v>17050</v>
      </c>
      <c r="J3664" s="1">
        <v>1893</v>
      </c>
      <c r="K3664" t="s">
        <v>12334</v>
      </c>
      <c r="L3664" t="s">
        <v>17631</v>
      </c>
    </row>
    <row r="3665" spans="1:12">
      <c r="A3665" t="s">
        <v>12335</v>
      </c>
      <c r="B3665" s="1" t="s">
        <v>12333</v>
      </c>
      <c r="D3665">
        <v>1</v>
      </c>
      <c r="G3665" t="str">
        <f>HYPERLINK("http://babel.hathitrust.org/cgi/pt?id=uc2.ark:/13960/t1td9tg9m")</f>
        <v>http://babel.hathitrust.org/cgi/pt?id=uc2.ark:/13960/t1td9tg9m</v>
      </c>
      <c r="H3665" t="str">
        <f>HYPERLINK("http://catalog.hathitrust.org/Record/006508444")</f>
        <v>http://catalog.hathitrust.org/Record/006508444</v>
      </c>
      <c r="J3665" s="1">
        <v>1893</v>
      </c>
      <c r="K3665" t="s">
        <v>12334</v>
      </c>
      <c r="L3665" t="s">
        <v>17631</v>
      </c>
    </row>
    <row r="3666" spans="1:12">
      <c r="A3666" t="s">
        <v>12336</v>
      </c>
      <c r="B3666" s="1" t="s">
        <v>12337</v>
      </c>
      <c r="F3666">
        <v>1</v>
      </c>
      <c r="G3666" t="str">
        <f>HYPERLINK("http://babel.hathitrust.org/cgi/pt?id=uc1.b259857")</f>
        <v>http://babel.hathitrust.org/cgi/pt?id=uc1.b259857</v>
      </c>
      <c r="H3666" t="str">
        <f>HYPERLINK("http://catalog.hathitrust.org/Record/006508447")</f>
        <v>http://catalog.hathitrust.org/Record/006508447</v>
      </c>
      <c r="J3666" s="1">
        <v>1910</v>
      </c>
      <c r="K3666" t="s">
        <v>12338</v>
      </c>
      <c r="L3666" t="s">
        <v>12339</v>
      </c>
    </row>
    <row r="3667" spans="1:12">
      <c r="A3667" t="s">
        <v>12340</v>
      </c>
      <c r="B3667" s="1" t="s">
        <v>12337</v>
      </c>
      <c r="F3667">
        <v>1</v>
      </c>
      <c r="G3667" t="str">
        <f>HYPERLINK("http://babel.hathitrust.org/cgi/pt?id=uc2.ark:/13960/t9377909b")</f>
        <v>http://babel.hathitrust.org/cgi/pt?id=uc2.ark:/13960/t9377909b</v>
      </c>
      <c r="H3667" t="str">
        <f>HYPERLINK("http://catalog.hathitrust.org/Record/006508447")</f>
        <v>http://catalog.hathitrust.org/Record/006508447</v>
      </c>
      <c r="J3667" s="1">
        <v>1910</v>
      </c>
      <c r="K3667" t="s">
        <v>12338</v>
      </c>
      <c r="L3667" t="s">
        <v>12339</v>
      </c>
    </row>
    <row r="3668" spans="1:12">
      <c r="A3668" t="s">
        <v>12341</v>
      </c>
      <c r="B3668" s="1" t="s">
        <v>12342</v>
      </c>
      <c r="F3668">
        <v>1</v>
      </c>
      <c r="G3668" t="str">
        <f>HYPERLINK("http://babel.hathitrust.org/cgi/pt?id=uc1.b259929")</f>
        <v>http://babel.hathitrust.org/cgi/pt?id=uc1.b259929</v>
      </c>
      <c r="H3668" t="str">
        <f>HYPERLINK("http://catalog.hathitrust.org/Record/006508474")</f>
        <v>http://catalog.hathitrust.org/Record/006508474</v>
      </c>
      <c r="J3668" s="1">
        <v>1872</v>
      </c>
      <c r="K3668" t="s">
        <v>12343</v>
      </c>
    </row>
    <row r="3669" spans="1:12">
      <c r="A3669" t="s">
        <v>12344</v>
      </c>
      <c r="B3669" s="1" t="s">
        <v>12342</v>
      </c>
      <c r="F3669">
        <v>1</v>
      </c>
      <c r="G3669" t="str">
        <f>HYPERLINK("http://babel.hathitrust.org/cgi/pt?id=uc2.ark:/13960/t6sx67585")</f>
        <v>http://babel.hathitrust.org/cgi/pt?id=uc2.ark:/13960/t6sx67585</v>
      </c>
      <c r="H3669" t="str">
        <f>HYPERLINK("http://catalog.hathitrust.org/Record/006508474")</f>
        <v>http://catalog.hathitrust.org/Record/006508474</v>
      </c>
      <c r="J3669" s="1">
        <v>1872</v>
      </c>
      <c r="K3669" t="s">
        <v>12343</v>
      </c>
    </row>
    <row r="3670" spans="1:12">
      <c r="A3670" t="s">
        <v>12345</v>
      </c>
      <c r="B3670" s="1" t="s">
        <v>12346</v>
      </c>
      <c r="F3670">
        <v>1</v>
      </c>
      <c r="G3670" t="str">
        <f>HYPERLINK("http://babel.hathitrust.org/cgi/pt?id=uc1.b259930")</f>
        <v>http://babel.hathitrust.org/cgi/pt?id=uc1.b259930</v>
      </c>
      <c r="H3670" t="str">
        <f>HYPERLINK("http://catalog.hathitrust.org/Record/006508475")</f>
        <v>http://catalog.hathitrust.org/Record/006508475</v>
      </c>
      <c r="J3670" s="1">
        <v>1872</v>
      </c>
      <c r="K3670" t="s">
        <v>12347</v>
      </c>
    </row>
    <row r="3671" spans="1:12">
      <c r="A3671" t="s">
        <v>12348</v>
      </c>
      <c r="B3671" s="1" t="s">
        <v>12346</v>
      </c>
      <c r="F3671">
        <v>1</v>
      </c>
      <c r="G3671" t="str">
        <f>HYPERLINK("http://babel.hathitrust.org/cgi/pt?id=uc2.ark:/13960/t53f4ph8z")</f>
        <v>http://babel.hathitrust.org/cgi/pt?id=uc2.ark:/13960/t53f4ph8z</v>
      </c>
      <c r="H3671" t="str">
        <f>HYPERLINK("http://catalog.hathitrust.org/Record/006508475")</f>
        <v>http://catalog.hathitrust.org/Record/006508475</v>
      </c>
      <c r="J3671" s="1">
        <v>1872</v>
      </c>
      <c r="K3671" t="s">
        <v>12347</v>
      </c>
    </row>
    <row r="3672" spans="1:12">
      <c r="A3672" t="s">
        <v>12349</v>
      </c>
      <c r="B3672" s="1" t="s">
        <v>12350</v>
      </c>
      <c r="F3672">
        <v>1</v>
      </c>
      <c r="G3672" t="str">
        <f>HYPERLINK("http://babel.hathitrust.org/cgi/pt?id=uc1.b260562")</f>
        <v>http://babel.hathitrust.org/cgi/pt?id=uc1.b260562</v>
      </c>
      <c r="H3672" t="str">
        <f>HYPERLINK("http://catalog.hathitrust.org/Record/006508941")</f>
        <v>http://catalog.hathitrust.org/Record/006508941</v>
      </c>
      <c r="J3672" s="1">
        <v>1877</v>
      </c>
      <c r="K3672" t="s">
        <v>12351</v>
      </c>
      <c r="L3672" t="s">
        <v>12352</v>
      </c>
    </row>
    <row r="3673" spans="1:12">
      <c r="A3673" t="s">
        <v>12353</v>
      </c>
      <c r="B3673" s="1" t="s">
        <v>12350</v>
      </c>
      <c r="F3673">
        <v>1</v>
      </c>
      <c r="G3673" t="str">
        <f>HYPERLINK("http://babel.hathitrust.org/cgi/pt?id=uc2.ark:/13960/t86h4gs6j")</f>
        <v>http://babel.hathitrust.org/cgi/pt?id=uc2.ark:/13960/t86h4gs6j</v>
      </c>
      <c r="H3673" t="str">
        <f>HYPERLINK("http://catalog.hathitrust.org/Record/006508941")</f>
        <v>http://catalog.hathitrust.org/Record/006508941</v>
      </c>
      <c r="J3673" s="1">
        <v>1877</v>
      </c>
      <c r="K3673" t="s">
        <v>12351</v>
      </c>
      <c r="L3673" t="s">
        <v>12352</v>
      </c>
    </row>
    <row r="3674" spans="1:12">
      <c r="A3674" t="s">
        <v>12354</v>
      </c>
      <c r="B3674" s="1" t="s">
        <v>12355</v>
      </c>
      <c r="E3674">
        <v>1</v>
      </c>
      <c r="G3674" t="str">
        <f>HYPERLINK("http://babel.hathitrust.org/cgi/pt?id=uc1.b261538")</f>
        <v>http://babel.hathitrust.org/cgi/pt?id=uc1.b261538</v>
      </c>
      <c r="H3674" t="str">
        <f>HYPERLINK("http://catalog.hathitrust.org/Record/006509627")</f>
        <v>http://catalog.hathitrust.org/Record/006509627</v>
      </c>
      <c r="J3674" s="1">
        <v>1877</v>
      </c>
      <c r="K3674" t="s">
        <v>12239</v>
      </c>
      <c r="L3674" t="s">
        <v>12240</v>
      </c>
    </row>
    <row r="3675" spans="1:12">
      <c r="A3675" t="s">
        <v>12241</v>
      </c>
      <c r="B3675" s="1" t="s">
        <v>12242</v>
      </c>
      <c r="F3675">
        <v>1</v>
      </c>
      <c r="G3675" t="str">
        <f>HYPERLINK("http://babel.hathitrust.org/cgi/pt?id=uc1.b261604")</f>
        <v>http://babel.hathitrust.org/cgi/pt?id=uc1.b261604</v>
      </c>
      <c r="H3675" t="str">
        <f>HYPERLINK("http://catalog.hathitrust.org/Record/006509674")</f>
        <v>http://catalog.hathitrust.org/Record/006509674</v>
      </c>
      <c r="J3675" s="1">
        <v>1929</v>
      </c>
      <c r="K3675" t="s">
        <v>12243</v>
      </c>
      <c r="L3675" t="s">
        <v>12244</v>
      </c>
    </row>
    <row r="3676" spans="1:12">
      <c r="A3676" t="s">
        <v>12245</v>
      </c>
      <c r="B3676" s="1" t="s">
        <v>12246</v>
      </c>
      <c r="E3676">
        <v>1</v>
      </c>
      <c r="G3676" t="str">
        <f>HYPERLINK("http://babel.hathitrust.org/cgi/pt?id=uc1.b261605")</f>
        <v>http://babel.hathitrust.org/cgi/pt?id=uc1.b261605</v>
      </c>
      <c r="H3676" t="str">
        <f>HYPERLINK("http://catalog.hathitrust.org/Record/006509675")</f>
        <v>http://catalog.hathitrust.org/Record/006509675</v>
      </c>
      <c r="J3676" s="1">
        <v>1914</v>
      </c>
      <c r="K3676" t="s">
        <v>12247</v>
      </c>
      <c r="L3676" t="s">
        <v>19749</v>
      </c>
    </row>
    <row r="3677" spans="1:12">
      <c r="A3677" t="s">
        <v>12248</v>
      </c>
      <c r="B3677" s="1" t="s">
        <v>12249</v>
      </c>
      <c r="D3677">
        <v>1</v>
      </c>
      <c r="G3677" t="str">
        <f>HYPERLINK("http://babel.hathitrust.org/cgi/pt?id=uc1.b261606")</f>
        <v>http://babel.hathitrust.org/cgi/pt?id=uc1.b261606</v>
      </c>
      <c r="H3677" t="str">
        <f>HYPERLINK("http://catalog.hathitrust.org/Record/006509676")</f>
        <v>http://catalog.hathitrust.org/Record/006509676</v>
      </c>
      <c r="J3677" s="1">
        <v>1915</v>
      </c>
      <c r="K3677" t="s">
        <v>12250</v>
      </c>
      <c r="L3677" t="s">
        <v>12251</v>
      </c>
    </row>
    <row r="3678" spans="1:12">
      <c r="A3678" t="s">
        <v>12252</v>
      </c>
      <c r="B3678" s="1" t="s">
        <v>12249</v>
      </c>
      <c r="F3678">
        <v>1</v>
      </c>
      <c r="G3678" t="str">
        <f>HYPERLINK("http://babel.hathitrust.org/cgi/pt?id=uc2.ark:/13960/t7vm45w79")</f>
        <v>http://babel.hathitrust.org/cgi/pt?id=uc2.ark:/13960/t7vm45w79</v>
      </c>
      <c r="H3678" t="str">
        <f>HYPERLINK("http://catalog.hathitrust.org/Record/006509676")</f>
        <v>http://catalog.hathitrust.org/Record/006509676</v>
      </c>
      <c r="J3678" s="1">
        <v>1915</v>
      </c>
      <c r="K3678" t="s">
        <v>12250</v>
      </c>
      <c r="L3678" t="s">
        <v>12251</v>
      </c>
    </row>
    <row r="3679" spans="1:12">
      <c r="A3679" t="s">
        <v>12253</v>
      </c>
      <c r="B3679" s="1" t="s">
        <v>12254</v>
      </c>
      <c r="F3679">
        <v>1</v>
      </c>
      <c r="G3679" t="str">
        <f>HYPERLINK("http://babel.hathitrust.org/cgi/pt?id=uc1.b261834")</f>
        <v>http://babel.hathitrust.org/cgi/pt?id=uc1.b261834</v>
      </c>
      <c r="H3679" t="str">
        <f>HYPERLINK("http://catalog.hathitrust.org/Record/006509838")</f>
        <v>http://catalog.hathitrust.org/Record/006509838</v>
      </c>
      <c r="J3679" s="1">
        <v>1886</v>
      </c>
      <c r="K3679" t="s">
        <v>12255</v>
      </c>
      <c r="L3679" t="s">
        <v>12256</v>
      </c>
    </row>
    <row r="3680" spans="1:12">
      <c r="A3680" t="s">
        <v>12257</v>
      </c>
      <c r="B3680" s="1" t="s">
        <v>12254</v>
      </c>
      <c r="F3680">
        <v>1</v>
      </c>
      <c r="G3680" t="str">
        <f>HYPERLINK("http://babel.hathitrust.org/cgi/pt?id=uc2.ark:/13960/t24b30v7r")</f>
        <v>http://babel.hathitrust.org/cgi/pt?id=uc2.ark:/13960/t24b30v7r</v>
      </c>
      <c r="H3680" t="str">
        <f>HYPERLINK("http://catalog.hathitrust.org/Record/006509838")</f>
        <v>http://catalog.hathitrust.org/Record/006509838</v>
      </c>
      <c r="J3680" s="1">
        <v>1886</v>
      </c>
      <c r="K3680" t="s">
        <v>12255</v>
      </c>
      <c r="L3680" t="s">
        <v>12256</v>
      </c>
    </row>
    <row r="3681" spans="1:12">
      <c r="A3681" t="s">
        <v>12258</v>
      </c>
      <c r="B3681" s="1" t="s">
        <v>12259</v>
      </c>
      <c r="E3681">
        <v>1</v>
      </c>
      <c r="G3681" t="str">
        <f>HYPERLINK("http://babel.hathitrust.org/cgi/pt?id=uc1.b262253")</f>
        <v>http://babel.hathitrust.org/cgi/pt?id=uc1.b262253</v>
      </c>
      <c r="H3681" t="str">
        <f>HYPERLINK("http://catalog.hathitrust.org/Record/006510108")</f>
        <v>http://catalog.hathitrust.org/Record/006510108</v>
      </c>
      <c r="J3681" s="1">
        <v>1890</v>
      </c>
      <c r="K3681" t="s">
        <v>12260</v>
      </c>
      <c r="L3681" t="s">
        <v>20086</v>
      </c>
    </row>
    <row r="3682" spans="1:12">
      <c r="A3682" t="s">
        <v>12261</v>
      </c>
      <c r="B3682" s="1" t="s">
        <v>12262</v>
      </c>
      <c r="E3682">
        <v>1</v>
      </c>
      <c r="G3682" t="str">
        <f>HYPERLINK("http://babel.hathitrust.org/cgi/pt?id=uc1.b262995")</f>
        <v>http://babel.hathitrust.org/cgi/pt?id=uc1.b262995</v>
      </c>
      <c r="H3682" t="str">
        <f>HYPERLINK("http://catalog.hathitrust.org/Record/006510603")</f>
        <v>http://catalog.hathitrust.org/Record/006510603</v>
      </c>
      <c r="J3682" s="1">
        <v>1891</v>
      </c>
      <c r="K3682" t="s">
        <v>15704</v>
      </c>
      <c r="L3682" t="s">
        <v>12263</v>
      </c>
    </row>
    <row r="3683" spans="1:12">
      <c r="A3683" t="s">
        <v>12264</v>
      </c>
      <c r="B3683" s="1" t="s">
        <v>12265</v>
      </c>
      <c r="F3683">
        <v>1</v>
      </c>
      <c r="G3683" t="str">
        <f>HYPERLINK("http://babel.hathitrust.org/cgi/pt?id=uc1.b263494")</f>
        <v>http://babel.hathitrust.org/cgi/pt?id=uc1.b263494</v>
      </c>
      <c r="H3683" t="str">
        <f>HYPERLINK("http://catalog.hathitrust.org/Record/006510870")</f>
        <v>http://catalog.hathitrust.org/Record/006510870</v>
      </c>
      <c r="J3683" s="1">
        <v>1918</v>
      </c>
      <c r="K3683" t="s">
        <v>12266</v>
      </c>
      <c r="L3683" t="s">
        <v>12267</v>
      </c>
    </row>
    <row r="3684" spans="1:12">
      <c r="A3684" t="s">
        <v>12268</v>
      </c>
      <c r="B3684" s="1" t="s">
        <v>12265</v>
      </c>
      <c r="F3684">
        <v>1</v>
      </c>
      <c r="G3684" t="str">
        <f>HYPERLINK("http://babel.hathitrust.org/cgi/pt?id=uc2.ark:/13960/t4hm55d03")</f>
        <v>http://babel.hathitrust.org/cgi/pt?id=uc2.ark:/13960/t4hm55d03</v>
      </c>
      <c r="H3684" t="str">
        <f>HYPERLINK("http://catalog.hathitrust.org/Record/006510870")</f>
        <v>http://catalog.hathitrust.org/Record/006510870</v>
      </c>
      <c r="J3684" s="1">
        <v>1918</v>
      </c>
      <c r="K3684" t="s">
        <v>12266</v>
      </c>
      <c r="L3684" t="s">
        <v>12267</v>
      </c>
    </row>
    <row r="3685" spans="1:12">
      <c r="A3685" t="s">
        <v>12269</v>
      </c>
      <c r="B3685" s="1" t="s">
        <v>12270</v>
      </c>
      <c r="F3685">
        <v>1</v>
      </c>
      <c r="G3685" t="str">
        <f>HYPERLINK("http://babel.hathitrust.org/cgi/pt?id=uc1.b263495")</f>
        <v>http://babel.hathitrust.org/cgi/pt?id=uc1.b263495</v>
      </c>
      <c r="H3685" t="str">
        <f>HYPERLINK("http://catalog.hathitrust.org/Record/006510871")</f>
        <v>http://catalog.hathitrust.org/Record/006510871</v>
      </c>
      <c r="J3685" s="1">
        <v>1921</v>
      </c>
      <c r="K3685" t="s">
        <v>12271</v>
      </c>
      <c r="L3685" t="s">
        <v>12272</v>
      </c>
    </row>
    <row r="3686" spans="1:12">
      <c r="A3686" t="s">
        <v>12273</v>
      </c>
      <c r="B3686" s="1" t="s">
        <v>12274</v>
      </c>
      <c r="F3686">
        <v>1</v>
      </c>
      <c r="G3686" t="str">
        <f>HYPERLINK("http://babel.hathitrust.org/cgi/pt?id=uc1.b263497")</f>
        <v>http://babel.hathitrust.org/cgi/pt?id=uc1.b263497</v>
      </c>
      <c r="H3686" t="str">
        <f>HYPERLINK("http://catalog.hathitrust.org/Record/006510873")</f>
        <v>http://catalog.hathitrust.org/Record/006510873</v>
      </c>
      <c r="J3686" s="1">
        <v>1915</v>
      </c>
      <c r="K3686" t="s">
        <v>12275</v>
      </c>
      <c r="L3686" t="s">
        <v>12276</v>
      </c>
    </row>
    <row r="3687" spans="1:12">
      <c r="A3687" t="s">
        <v>12277</v>
      </c>
      <c r="B3687" s="1" t="s">
        <v>12274</v>
      </c>
      <c r="F3687">
        <v>1</v>
      </c>
      <c r="G3687" t="str">
        <f>HYPERLINK("http://babel.hathitrust.org/cgi/pt?id=uc2.ark:/13960/t51g0ms7f")</f>
        <v>http://babel.hathitrust.org/cgi/pt?id=uc2.ark:/13960/t51g0ms7f</v>
      </c>
      <c r="H3687" t="str">
        <f>HYPERLINK("http://catalog.hathitrust.org/Record/006510873")</f>
        <v>http://catalog.hathitrust.org/Record/006510873</v>
      </c>
      <c r="J3687" s="1">
        <v>1915</v>
      </c>
      <c r="K3687" t="s">
        <v>12275</v>
      </c>
      <c r="L3687" t="s">
        <v>12276</v>
      </c>
    </row>
    <row r="3688" spans="1:12">
      <c r="A3688" t="s">
        <v>12278</v>
      </c>
      <c r="B3688" s="1" t="s">
        <v>12279</v>
      </c>
      <c r="F3688">
        <v>1</v>
      </c>
      <c r="G3688" t="str">
        <f>HYPERLINK("http://babel.hathitrust.org/cgi/pt?id=loc.ark:/13960/t7vm4vz8z")</f>
        <v>http://babel.hathitrust.org/cgi/pt?id=loc.ark:/13960/t7vm4vz8z</v>
      </c>
      <c r="H3688" t="str">
        <f>HYPERLINK("http://catalog.hathitrust.org/Record/006510878")</f>
        <v>http://catalog.hathitrust.org/Record/006510878</v>
      </c>
      <c r="J3688" s="1">
        <v>1921</v>
      </c>
      <c r="K3688" t="s">
        <v>12280</v>
      </c>
      <c r="L3688" t="s">
        <v>13369</v>
      </c>
    </row>
    <row r="3689" spans="1:12">
      <c r="A3689" t="s">
        <v>12281</v>
      </c>
      <c r="B3689" s="1" t="s">
        <v>12279</v>
      </c>
      <c r="F3689">
        <v>1</v>
      </c>
      <c r="G3689" t="str">
        <f>HYPERLINK("http://babel.hathitrust.org/cgi/pt?id=uc1.b263510")</f>
        <v>http://babel.hathitrust.org/cgi/pt?id=uc1.b263510</v>
      </c>
      <c r="H3689" t="str">
        <f>HYPERLINK("http://catalog.hathitrust.org/Record/006510878")</f>
        <v>http://catalog.hathitrust.org/Record/006510878</v>
      </c>
      <c r="J3689" s="1">
        <v>1921</v>
      </c>
      <c r="K3689" t="s">
        <v>12280</v>
      </c>
      <c r="L3689" t="s">
        <v>13369</v>
      </c>
    </row>
    <row r="3690" spans="1:12">
      <c r="A3690" t="s">
        <v>12282</v>
      </c>
      <c r="B3690" s="1" t="s">
        <v>12279</v>
      </c>
      <c r="F3690">
        <v>1</v>
      </c>
      <c r="G3690" t="str">
        <f>HYPERLINK("http://babel.hathitrust.org/cgi/pt?id=uc2.ark:/13960/t39022812")</f>
        <v>http://babel.hathitrust.org/cgi/pt?id=uc2.ark:/13960/t39022812</v>
      </c>
      <c r="H3690" t="str">
        <f>HYPERLINK("http://catalog.hathitrust.org/Record/006510878")</f>
        <v>http://catalog.hathitrust.org/Record/006510878</v>
      </c>
      <c r="J3690" s="1">
        <v>1921</v>
      </c>
      <c r="K3690" t="s">
        <v>12280</v>
      </c>
      <c r="L3690" t="s">
        <v>13369</v>
      </c>
    </row>
    <row r="3691" spans="1:12">
      <c r="A3691" t="s">
        <v>12283</v>
      </c>
      <c r="B3691" s="1" t="s">
        <v>12284</v>
      </c>
      <c r="F3691">
        <v>1</v>
      </c>
      <c r="G3691" t="str">
        <f>HYPERLINK("http://babel.hathitrust.org/cgi/pt?id=loc.ark:/13960/t2c82x642")</f>
        <v>http://babel.hathitrust.org/cgi/pt?id=loc.ark:/13960/t2c82x642</v>
      </c>
      <c r="H3691" t="str">
        <f>HYPERLINK("http://catalog.hathitrust.org/Record/006510886")</f>
        <v>http://catalog.hathitrust.org/Record/006510886</v>
      </c>
      <c r="J3691" s="1">
        <v>1920</v>
      </c>
      <c r="K3691" t="s">
        <v>12285</v>
      </c>
      <c r="L3691" t="s">
        <v>12286</v>
      </c>
    </row>
    <row r="3692" spans="1:12">
      <c r="A3692" t="s">
        <v>12287</v>
      </c>
      <c r="B3692" s="1" t="s">
        <v>12284</v>
      </c>
      <c r="F3692">
        <v>1</v>
      </c>
      <c r="G3692" t="str">
        <f>HYPERLINK("http://babel.hathitrust.org/cgi/pt?id=uc1.b263521")</f>
        <v>http://babel.hathitrust.org/cgi/pt?id=uc1.b263521</v>
      </c>
      <c r="H3692" t="str">
        <f>HYPERLINK("http://catalog.hathitrust.org/Record/006510886")</f>
        <v>http://catalog.hathitrust.org/Record/006510886</v>
      </c>
      <c r="J3692" s="1">
        <v>1920</v>
      </c>
      <c r="K3692" t="s">
        <v>12285</v>
      </c>
      <c r="L3692" t="s">
        <v>12286</v>
      </c>
    </row>
    <row r="3693" spans="1:12">
      <c r="A3693" t="s">
        <v>12288</v>
      </c>
      <c r="B3693" s="1" t="s">
        <v>12284</v>
      </c>
      <c r="F3693">
        <v>1</v>
      </c>
      <c r="G3693" t="str">
        <f>HYPERLINK("http://babel.hathitrust.org/cgi/pt?id=uc2.ark:/13960/t0cv4fb5m")</f>
        <v>http://babel.hathitrust.org/cgi/pt?id=uc2.ark:/13960/t0cv4fb5m</v>
      </c>
      <c r="H3693" t="str">
        <f>HYPERLINK("http://catalog.hathitrust.org/Record/006510886")</f>
        <v>http://catalog.hathitrust.org/Record/006510886</v>
      </c>
      <c r="J3693" s="1">
        <v>1920</v>
      </c>
      <c r="K3693" t="s">
        <v>12285</v>
      </c>
      <c r="L3693" t="s">
        <v>12286</v>
      </c>
    </row>
    <row r="3694" spans="1:12">
      <c r="A3694" t="s">
        <v>12289</v>
      </c>
      <c r="B3694" s="1" t="s">
        <v>12290</v>
      </c>
      <c r="F3694">
        <v>1</v>
      </c>
      <c r="G3694" t="str">
        <f>HYPERLINK("http://babel.hathitrust.org/cgi/pt?id=uc1.b263531")</f>
        <v>http://babel.hathitrust.org/cgi/pt?id=uc1.b263531</v>
      </c>
      <c r="H3694" t="str">
        <f>HYPERLINK("http://catalog.hathitrust.org/Record/006510895")</f>
        <v>http://catalog.hathitrust.org/Record/006510895</v>
      </c>
      <c r="J3694" s="1">
        <v>1917</v>
      </c>
      <c r="K3694" t="s">
        <v>12291</v>
      </c>
      <c r="L3694" t="s">
        <v>12292</v>
      </c>
    </row>
    <row r="3695" spans="1:12">
      <c r="A3695" t="s">
        <v>12293</v>
      </c>
      <c r="B3695" s="1" t="s">
        <v>12294</v>
      </c>
      <c r="E3695">
        <v>1</v>
      </c>
      <c r="G3695" t="str">
        <f>HYPERLINK("http://babel.hathitrust.org/cgi/pt?id=uc1.b263532")</f>
        <v>http://babel.hathitrust.org/cgi/pt?id=uc1.b263532</v>
      </c>
      <c r="H3695" t="str">
        <f>HYPERLINK("http://catalog.hathitrust.org/Record/006510896")</f>
        <v>http://catalog.hathitrust.org/Record/006510896</v>
      </c>
      <c r="J3695" s="1">
        <v>1916</v>
      </c>
      <c r="K3695" t="s">
        <v>12295</v>
      </c>
      <c r="L3695" t="s">
        <v>18079</v>
      </c>
    </row>
    <row r="3696" spans="1:12">
      <c r="A3696" t="s">
        <v>12296</v>
      </c>
      <c r="B3696" s="1" t="s">
        <v>12297</v>
      </c>
      <c r="F3696">
        <v>1</v>
      </c>
      <c r="G3696" t="str">
        <f>HYPERLINK("http://babel.hathitrust.org/cgi/pt?id=loc.ark:/13960/t4dn4z29h")</f>
        <v>http://babel.hathitrust.org/cgi/pt?id=loc.ark:/13960/t4dn4z29h</v>
      </c>
      <c r="H3696" t="str">
        <f>HYPERLINK("http://catalog.hathitrust.org/Record/006510903")</f>
        <v>http://catalog.hathitrust.org/Record/006510903</v>
      </c>
      <c r="J3696" s="1">
        <v>1916</v>
      </c>
      <c r="K3696" t="s">
        <v>12187</v>
      </c>
      <c r="L3696" t="s">
        <v>12188</v>
      </c>
    </row>
    <row r="3697" spans="1:12">
      <c r="A3697" t="s">
        <v>12189</v>
      </c>
      <c r="B3697" s="1" t="s">
        <v>12297</v>
      </c>
      <c r="F3697">
        <v>1</v>
      </c>
      <c r="G3697" t="str">
        <f>HYPERLINK("http://babel.hathitrust.org/cgi/pt?id=uc1.b263551")</f>
        <v>http://babel.hathitrust.org/cgi/pt?id=uc1.b263551</v>
      </c>
      <c r="H3697" t="str">
        <f>HYPERLINK("http://catalog.hathitrust.org/Record/006510903")</f>
        <v>http://catalog.hathitrust.org/Record/006510903</v>
      </c>
      <c r="J3697" s="1">
        <v>1916</v>
      </c>
      <c r="K3697" t="s">
        <v>12187</v>
      </c>
      <c r="L3697" t="s">
        <v>12188</v>
      </c>
    </row>
    <row r="3698" spans="1:12">
      <c r="A3698" t="s">
        <v>12190</v>
      </c>
      <c r="B3698" s="1" t="s">
        <v>12297</v>
      </c>
      <c r="F3698">
        <v>1</v>
      </c>
      <c r="G3698" t="str">
        <f>HYPERLINK("http://babel.hathitrust.org/cgi/pt?id=uc2.ark:/13960/t6b27sr08")</f>
        <v>http://babel.hathitrust.org/cgi/pt?id=uc2.ark:/13960/t6b27sr08</v>
      </c>
      <c r="H3698" t="str">
        <f>HYPERLINK("http://catalog.hathitrust.org/Record/006510903")</f>
        <v>http://catalog.hathitrust.org/Record/006510903</v>
      </c>
      <c r="J3698" s="1">
        <v>1916</v>
      </c>
      <c r="K3698" t="s">
        <v>12187</v>
      </c>
      <c r="L3698" t="s">
        <v>12188</v>
      </c>
    </row>
    <row r="3699" spans="1:12">
      <c r="A3699" t="s">
        <v>12191</v>
      </c>
      <c r="B3699" s="1" t="s">
        <v>12192</v>
      </c>
      <c r="F3699">
        <v>1</v>
      </c>
      <c r="G3699" t="str">
        <f>HYPERLINK("http://babel.hathitrust.org/cgi/pt?id=uc1.b263559")</f>
        <v>http://babel.hathitrust.org/cgi/pt?id=uc1.b263559</v>
      </c>
      <c r="H3699" t="str">
        <f>HYPERLINK("http://catalog.hathitrust.org/Record/006510908")</f>
        <v>http://catalog.hathitrust.org/Record/006510908</v>
      </c>
      <c r="J3699" s="1">
        <v>1913</v>
      </c>
      <c r="K3699" t="s">
        <v>12193</v>
      </c>
      <c r="L3699" t="s">
        <v>12194</v>
      </c>
    </row>
    <row r="3700" spans="1:12">
      <c r="A3700" t="s">
        <v>12195</v>
      </c>
      <c r="B3700" s="1" t="s">
        <v>12192</v>
      </c>
      <c r="F3700">
        <v>1</v>
      </c>
      <c r="G3700" t="str">
        <f>HYPERLINK("http://babel.hathitrust.org/cgi/pt?id=uc2.ark:/13960/t92808633")</f>
        <v>http://babel.hathitrust.org/cgi/pt?id=uc2.ark:/13960/t92808633</v>
      </c>
      <c r="H3700" t="str">
        <f>HYPERLINK("http://catalog.hathitrust.org/Record/006510908")</f>
        <v>http://catalog.hathitrust.org/Record/006510908</v>
      </c>
      <c r="J3700" s="1">
        <v>1913</v>
      </c>
      <c r="K3700" t="s">
        <v>12193</v>
      </c>
      <c r="L3700" t="s">
        <v>12194</v>
      </c>
    </row>
    <row r="3701" spans="1:12">
      <c r="A3701" t="s">
        <v>12196</v>
      </c>
      <c r="B3701" s="1" t="s">
        <v>12197</v>
      </c>
      <c r="E3701">
        <v>1</v>
      </c>
      <c r="F3701">
        <v>1</v>
      </c>
      <c r="G3701" t="str">
        <f>HYPERLINK("http://babel.hathitrust.org/cgi/pt?id=uc1.b263560")</f>
        <v>http://babel.hathitrust.org/cgi/pt?id=uc1.b263560</v>
      </c>
      <c r="H3701" t="str">
        <f>HYPERLINK("http://catalog.hathitrust.org/Record/006510909")</f>
        <v>http://catalog.hathitrust.org/Record/006510909</v>
      </c>
      <c r="J3701" s="1">
        <v>1916</v>
      </c>
      <c r="K3701" t="s">
        <v>15544</v>
      </c>
      <c r="L3701" t="s">
        <v>15501</v>
      </c>
    </row>
    <row r="3702" spans="1:12">
      <c r="A3702" t="s">
        <v>12198</v>
      </c>
      <c r="B3702" s="1" t="s">
        <v>12197</v>
      </c>
      <c r="F3702">
        <v>1</v>
      </c>
      <c r="G3702" t="str">
        <f>HYPERLINK("http://babel.hathitrust.org/cgi/pt?id=uc2.ark:/13960/t81j9bd2q")</f>
        <v>http://babel.hathitrust.org/cgi/pt?id=uc2.ark:/13960/t81j9bd2q</v>
      </c>
      <c r="H3702" t="str">
        <f>HYPERLINK("http://catalog.hathitrust.org/Record/006510909")</f>
        <v>http://catalog.hathitrust.org/Record/006510909</v>
      </c>
      <c r="J3702" s="1">
        <v>1916</v>
      </c>
      <c r="K3702" t="s">
        <v>15544</v>
      </c>
      <c r="L3702" t="s">
        <v>15501</v>
      </c>
    </row>
    <row r="3703" spans="1:12">
      <c r="A3703" t="s">
        <v>12199</v>
      </c>
      <c r="B3703" s="1" t="s">
        <v>12200</v>
      </c>
      <c r="E3703">
        <v>1</v>
      </c>
      <c r="G3703" t="str">
        <f>HYPERLINK("http://babel.hathitrust.org/cgi/pt?id=uc1.b266798")</f>
        <v>http://babel.hathitrust.org/cgi/pt?id=uc1.b266798</v>
      </c>
      <c r="H3703" t="str">
        <f>HYPERLINK("http://catalog.hathitrust.org/Record/006512945")</f>
        <v>http://catalog.hathitrust.org/Record/006512945</v>
      </c>
      <c r="J3703" s="1">
        <v>1909</v>
      </c>
      <c r="K3703" t="s">
        <v>12201</v>
      </c>
      <c r="L3703" t="s">
        <v>14549</v>
      </c>
    </row>
    <row r="3704" spans="1:12">
      <c r="A3704" t="s">
        <v>12202</v>
      </c>
      <c r="B3704" s="1" t="s">
        <v>12203</v>
      </c>
      <c r="F3704">
        <v>1</v>
      </c>
      <c r="G3704" t="str">
        <f>HYPERLINK("http://babel.hathitrust.org/cgi/pt?id=uc1.b266863")</f>
        <v>http://babel.hathitrust.org/cgi/pt?id=uc1.b266863</v>
      </c>
      <c r="H3704" t="str">
        <f>HYPERLINK("http://catalog.hathitrust.org/Record/006513003")</f>
        <v>http://catalog.hathitrust.org/Record/006513003</v>
      </c>
      <c r="J3704" s="1">
        <v>1872</v>
      </c>
      <c r="K3704" t="s">
        <v>12204</v>
      </c>
      <c r="L3704" t="s">
        <v>19827</v>
      </c>
    </row>
    <row r="3705" spans="1:12">
      <c r="A3705" t="s">
        <v>12205</v>
      </c>
      <c r="B3705" s="1" t="s">
        <v>12203</v>
      </c>
      <c r="F3705">
        <v>1</v>
      </c>
      <c r="G3705" t="str">
        <f>HYPERLINK("http://babel.hathitrust.org/cgi/pt?id=uc2.ark:/13960/t1xd0tm31")</f>
        <v>http://babel.hathitrust.org/cgi/pt?id=uc2.ark:/13960/t1xd0tm31</v>
      </c>
      <c r="H3705" t="str">
        <f>HYPERLINK("http://catalog.hathitrust.org/Record/006513003")</f>
        <v>http://catalog.hathitrust.org/Record/006513003</v>
      </c>
      <c r="J3705" s="1">
        <v>1872</v>
      </c>
      <c r="K3705" t="s">
        <v>12204</v>
      </c>
      <c r="L3705" t="s">
        <v>19827</v>
      </c>
    </row>
    <row r="3706" spans="1:12">
      <c r="A3706" t="s">
        <v>12206</v>
      </c>
      <c r="B3706" s="1" t="s">
        <v>12207</v>
      </c>
      <c r="F3706">
        <v>1</v>
      </c>
      <c r="G3706" t="str">
        <f>HYPERLINK("http://babel.hathitrust.org/cgi/pt?id=uc1.b266864")</f>
        <v>http://babel.hathitrust.org/cgi/pt?id=uc1.b266864</v>
      </c>
      <c r="H3706" t="str">
        <f>HYPERLINK("http://catalog.hathitrust.org/Record/006513004")</f>
        <v>http://catalog.hathitrust.org/Record/006513004</v>
      </c>
      <c r="J3706" s="1">
        <v>1880</v>
      </c>
      <c r="K3706" t="s">
        <v>19826</v>
      </c>
      <c r="L3706" t="s">
        <v>19827</v>
      </c>
    </row>
    <row r="3707" spans="1:12">
      <c r="A3707" t="s">
        <v>12208</v>
      </c>
      <c r="B3707" s="1" t="s">
        <v>12207</v>
      </c>
      <c r="F3707">
        <v>1</v>
      </c>
      <c r="G3707" t="str">
        <f>HYPERLINK("http://babel.hathitrust.org/cgi/pt?id=uc2.ark:/13960/t8bg2mh0v")</f>
        <v>http://babel.hathitrust.org/cgi/pt?id=uc2.ark:/13960/t8bg2mh0v</v>
      </c>
      <c r="H3707" t="str">
        <f>HYPERLINK("http://catalog.hathitrust.org/Record/006513004")</f>
        <v>http://catalog.hathitrust.org/Record/006513004</v>
      </c>
      <c r="J3707" s="1">
        <v>1880</v>
      </c>
      <c r="K3707" t="s">
        <v>19826</v>
      </c>
      <c r="L3707" t="s">
        <v>19827</v>
      </c>
    </row>
    <row r="3708" spans="1:12">
      <c r="A3708" t="s">
        <v>12209</v>
      </c>
      <c r="B3708" s="1" t="s">
        <v>12210</v>
      </c>
      <c r="E3708">
        <v>1</v>
      </c>
      <c r="F3708">
        <v>1</v>
      </c>
      <c r="G3708" t="str">
        <f>HYPERLINK("http://babel.hathitrust.org/cgi/pt?id=uc1.b266865")</f>
        <v>http://babel.hathitrust.org/cgi/pt?id=uc1.b266865</v>
      </c>
      <c r="H3708" t="str">
        <f>HYPERLINK("http://catalog.hathitrust.org/Record/006513005")</f>
        <v>http://catalog.hathitrust.org/Record/006513005</v>
      </c>
      <c r="J3708" s="1">
        <v>1874</v>
      </c>
      <c r="K3708" t="s">
        <v>12211</v>
      </c>
      <c r="L3708" t="s">
        <v>12212</v>
      </c>
    </row>
    <row r="3709" spans="1:12">
      <c r="A3709" t="s">
        <v>12213</v>
      </c>
      <c r="B3709" s="1" t="s">
        <v>12210</v>
      </c>
      <c r="F3709">
        <v>1</v>
      </c>
      <c r="G3709" t="str">
        <f>HYPERLINK("http://babel.hathitrust.org/cgi/pt?id=uc2.ark:/13960/t2k64dk37")</f>
        <v>http://babel.hathitrust.org/cgi/pt?id=uc2.ark:/13960/t2k64dk37</v>
      </c>
      <c r="H3709" t="str">
        <f>HYPERLINK("http://catalog.hathitrust.org/Record/006513005")</f>
        <v>http://catalog.hathitrust.org/Record/006513005</v>
      </c>
      <c r="J3709" s="1">
        <v>1874</v>
      </c>
      <c r="K3709" t="s">
        <v>12211</v>
      </c>
      <c r="L3709" t="s">
        <v>12212</v>
      </c>
    </row>
    <row r="3710" spans="1:12">
      <c r="A3710" t="s">
        <v>12214</v>
      </c>
      <c r="B3710" s="1" t="s">
        <v>12215</v>
      </c>
      <c r="E3710">
        <v>1</v>
      </c>
      <c r="F3710">
        <v>1</v>
      </c>
      <c r="G3710" t="str">
        <f>HYPERLINK("http://babel.hathitrust.org/cgi/pt?id=uc1.b266866")</f>
        <v>http://babel.hathitrust.org/cgi/pt?id=uc1.b266866</v>
      </c>
      <c r="H3710" t="str">
        <f>HYPERLINK("http://catalog.hathitrust.org/Record/006513006")</f>
        <v>http://catalog.hathitrust.org/Record/006513006</v>
      </c>
      <c r="J3710" s="1">
        <v>1870</v>
      </c>
      <c r="K3710" t="s">
        <v>12216</v>
      </c>
      <c r="L3710" t="s">
        <v>15662</v>
      </c>
    </row>
    <row r="3711" spans="1:12">
      <c r="A3711" t="s">
        <v>12217</v>
      </c>
      <c r="B3711" s="1" t="s">
        <v>12218</v>
      </c>
      <c r="F3711">
        <v>1</v>
      </c>
      <c r="G3711" t="str">
        <f>HYPERLINK("http://babel.hathitrust.org/cgi/pt?id=hvd.hn1t2g")</f>
        <v>http://babel.hathitrust.org/cgi/pt?id=hvd.hn1t2g</v>
      </c>
      <c r="H3711" t="str">
        <f>HYPERLINK("http://catalog.hathitrust.org/Record/006513008")</f>
        <v>http://catalog.hathitrust.org/Record/006513008</v>
      </c>
      <c r="J3711" s="1">
        <v>1856</v>
      </c>
      <c r="K3711" t="s">
        <v>12219</v>
      </c>
      <c r="L3711" t="s">
        <v>12718</v>
      </c>
    </row>
    <row r="3712" spans="1:12">
      <c r="A3712" t="s">
        <v>12220</v>
      </c>
      <c r="B3712" s="1" t="s">
        <v>12218</v>
      </c>
      <c r="F3712">
        <v>1</v>
      </c>
      <c r="G3712" t="str">
        <f>HYPERLINK("http://babel.hathitrust.org/cgi/pt?id=uc1.b266868")</f>
        <v>http://babel.hathitrust.org/cgi/pt?id=uc1.b266868</v>
      </c>
      <c r="H3712" t="str">
        <f>HYPERLINK("http://catalog.hathitrust.org/Record/006513008")</f>
        <v>http://catalog.hathitrust.org/Record/006513008</v>
      </c>
      <c r="J3712" s="1">
        <v>1856</v>
      </c>
      <c r="K3712" t="s">
        <v>12219</v>
      </c>
      <c r="L3712" t="s">
        <v>12718</v>
      </c>
    </row>
    <row r="3713" spans="1:12">
      <c r="A3713" t="s">
        <v>12221</v>
      </c>
      <c r="B3713" s="1" t="s">
        <v>12218</v>
      </c>
      <c r="F3713">
        <v>1</v>
      </c>
      <c r="G3713" t="str">
        <f>HYPERLINK("http://babel.hathitrust.org/cgi/pt?id=uc2.ark:/13960/t47p8xc7g")</f>
        <v>http://babel.hathitrust.org/cgi/pt?id=uc2.ark:/13960/t47p8xc7g</v>
      </c>
      <c r="H3713" t="str">
        <f>HYPERLINK("http://catalog.hathitrust.org/Record/006513008")</f>
        <v>http://catalog.hathitrust.org/Record/006513008</v>
      </c>
      <c r="J3713" s="1">
        <v>1856</v>
      </c>
      <c r="K3713" t="s">
        <v>12219</v>
      </c>
      <c r="L3713" t="s">
        <v>12718</v>
      </c>
    </row>
    <row r="3714" spans="1:12">
      <c r="A3714" t="s">
        <v>12222</v>
      </c>
      <c r="B3714" s="1" t="s">
        <v>12223</v>
      </c>
      <c r="E3714">
        <v>1</v>
      </c>
      <c r="F3714">
        <v>1</v>
      </c>
      <c r="G3714" t="str">
        <f>HYPERLINK("http://babel.hathitrust.org/cgi/pt?id=uc1.b266870")</f>
        <v>http://babel.hathitrust.org/cgi/pt?id=uc1.b266870</v>
      </c>
      <c r="H3714" t="str">
        <f>HYPERLINK("http://catalog.hathitrust.org/Record/006513010")</f>
        <v>http://catalog.hathitrust.org/Record/006513010</v>
      </c>
      <c r="J3714" s="1">
        <v>1876</v>
      </c>
      <c r="K3714" t="s">
        <v>12224</v>
      </c>
      <c r="L3714" t="s">
        <v>12225</v>
      </c>
    </row>
    <row r="3715" spans="1:12">
      <c r="A3715" t="s">
        <v>12226</v>
      </c>
      <c r="B3715" s="1" t="s">
        <v>12223</v>
      </c>
      <c r="F3715">
        <v>1</v>
      </c>
      <c r="G3715" t="str">
        <f>HYPERLINK("http://babel.hathitrust.org/cgi/pt?id=uc2.ark:/13960/t6tx3867q")</f>
        <v>http://babel.hathitrust.org/cgi/pt?id=uc2.ark:/13960/t6tx3867q</v>
      </c>
      <c r="H3715" t="str">
        <f>HYPERLINK("http://catalog.hathitrust.org/Record/006513010")</f>
        <v>http://catalog.hathitrust.org/Record/006513010</v>
      </c>
      <c r="J3715" s="1">
        <v>1876</v>
      </c>
      <c r="K3715" t="s">
        <v>12224</v>
      </c>
      <c r="L3715" t="s">
        <v>12225</v>
      </c>
    </row>
    <row r="3716" spans="1:12">
      <c r="A3716" t="s">
        <v>12227</v>
      </c>
      <c r="B3716" s="1" t="s">
        <v>12228</v>
      </c>
      <c r="D3716">
        <v>1</v>
      </c>
      <c r="G3716" t="str">
        <f>HYPERLINK("http://babel.hathitrust.org/cgi/pt?id=uc1.b266871")</f>
        <v>http://babel.hathitrust.org/cgi/pt?id=uc1.b266871</v>
      </c>
      <c r="H3716" t="str">
        <f>HYPERLINK("http://catalog.hathitrust.org/Record/006513011")</f>
        <v>http://catalog.hathitrust.org/Record/006513011</v>
      </c>
      <c r="J3716" s="1">
        <v>1811</v>
      </c>
      <c r="K3716" t="s">
        <v>12229</v>
      </c>
      <c r="L3716" t="s">
        <v>20043</v>
      </c>
    </row>
    <row r="3717" spans="1:12">
      <c r="A3717" t="s">
        <v>12230</v>
      </c>
      <c r="B3717" s="1" t="s">
        <v>12231</v>
      </c>
      <c r="F3717">
        <v>1</v>
      </c>
      <c r="G3717" t="str">
        <f>HYPERLINK("http://babel.hathitrust.org/cgi/pt?id=uc1.b266874")</f>
        <v>http://babel.hathitrust.org/cgi/pt?id=uc1.b266874</v>
      </c>
      <c r="H3717" t="str">
        <f>HYPERLINK("http://catalog.hathitrust.org/Record/006513014")</f>
        <v>http://catalog.hathitrust.org/Record/006513014</v>
      </c>
      <c r="J3717" s="1">
        <v>1826</v>
      </c>
      <c r="K3717" t="s">
        <v>12232</v>
      </c>
      <c r="L3717" t="s">
        <v>20043</v>
      </c>
    </row>
    <row r="3718" spans="1:12">
      <c r="A3718" t="s">
        <v>12233</v>
      </c>
      <c r="B3718" s="1" t="s">
        <v>12231</v>
      </c>
      <c r="F3718">
        <v>1</v>
      </c>
      <c r="G3718" t="str">
        <f>HYPERLINK("http://babel.hathitrust.org/cgi/pt?id=uc2.ark:/13960/t1td9qx4s")</f>
        <v>http://babel.hathitrust.org/cgi/pt?id=uc2.ark:/13960/t1td9qx4s</v>
      </c>
      <c r="H3718" t="str">
        <f>HYPERLINK("http://catalog.hathitrust.org/Record/006513014")</f>
        <v>http://catalog.hathitrust.org/Record/006513014</v>
      </c>
      <c r="J3718" s="1">
        <v>1826</v>
      </c>
      <c r="K3718" t="s">
        <v>12232</v>
      </c>
      <c r="L3718" t="s">
        <v>20043</v>
      </c>
    </row>
    <row r="3719" spans="1:12">
      <c r="A3719" t="s">
        <v>12234</v>
      </c>
      <c r="B3719" s="1" t="s">
        <v>12235</v>
      </c>
      <c r="D3719">
        <v>1</v>
      </c>
      <c r="G3719" t="str">
        <f>HYPERLINK("http://babel.hathitrust.org/cgi/pt?id=uc1.b266875")</f>
        <v>http://babel.hathitrust.org/cgi/pt?id=uc1.b266875</v>
      </c>
      <c r="H3719" t="str">
        <f>HYPERLINK("http://catalog.hathitrust.org/Record/006513015")</f>
        <v>http://catalog.hathitrust.org/Record/006513015</v>
      </c>
      <c r="J3719" s="1">
        <v>1834</v>
      </c>
      <c r="K3719" t="s">
        <v>12236</v>
      </c>
      <c r="L3719" t="s">
        <v>20043</v>
      </c>
    </row>
    <row r="3720" spans="1:12">
      <c r="A3720" t="s">
        <v>12237</v>
      </c>
      <c r="B3720" s="1" t="s">
        <v>12238</v>
      </c>
      <c r="F3720">
        <v>1</v>
      </c>
      <c r="G3720" t="str">
        <f>HYPERLINK("http://babel.hathitrust.org/cgi/pt?id=uc1.b266876")</f>
        <v>http://babel.hathitrust.org/cgi/pt?id=uc1.b266876</v>
      </c>
      <c r="H3720" t="str">
        <f>HYPERLINK("http://catalog.hathitrust.org/Record/006513016")</f>
        <v>http://catalog.hathitrust.org/Record/006513016</v>
      </c>
      <c r="J3720" s="1">
        <v>1835</v>
      </c>
      <c r="K3720" t="s">
        <v>12158</v>
      </c>
      <c r="L3720" t="s">
        <v>20043</v>
      </c>
    </row>
    <row r="3721" spans="1:12">
      <c r="A3721" t="s">
        <v>12159</v>
      </c>
      <c r="B3721" s="1" t="s">
        <v>12238</v>
      </c>
      <c r="F3721">
        <v>1</v>
      </c>
      <c r="G3721" t="str">
        <f>HYPERLINK("http://babel.hathitrust.org/cgi/pt?id=uc2.ark:/13960/t20c4wc7q")</f>
        <v>http://babel.hathitrust.org/cgi/pt?id=uc2.ark:/13960/t20c4wc7q</v>
      </c>
      <c r="H3721" t="str">
        <f>HYPERLINK("http://catalog.hathitrust.org/Record/006513016")</f>
        <v>http://catalog.hathitrust.org/Record/006513016</v>
      </c>
      <c r="J3721" s="1">
        <v>1835</v>
      </c>
      <c r="K3721" t="s">
        <v>12158</v>
      </c>
      <c r="L3721" t="s">
        <v>20043</v>
      </c>
    </row>
    <row r="3722" spans="1:12">
      <c r="A3722" t="s">
        <v>12160</v>
      </c>
      <c r="B3722" s="1" t="s">
        <v>12161</v>
      </c>
      <c r="F3722">
        <v>1</v>
      </c>
      <c r="G3722" t="str">
        <f>HYPERLINK("http://babel.hathitrust.org/cgi/pt?id=uc1.b266878")</f>
        <v>http://babel.hathitrust.org/cgi/pt?id=uc1.b266878</v>
      </c>
      <c r="H3722" t="str">
        <f>HYPERLINK("http://catalog.hathitrust.org/Record/006513018")</f>
        <v>http://catalog.hathitrust.org/Record/006513018</v>
      </c>
      <c r="J3722" s="1">
        <v>1823</v>
      </c>
      <c r="K3722" t="s">
        <v>12162</v>
      </c>
      <c r="L3722" t="s">
        <v>20043</v>
      </c>
    </row>
    <row r="3723" spans="1:12">
      <c r="A3723" t="s">
        <v>12163</v>
      </c>
      <c r="B3723" s="1" t="s">
        <v>12161</v>
      </c>
      <c r="F3723">
        <v>1</v>
      </c>
      <c r="G3723" t="str">
        <f>HYPERLINK("http://babel.hathitrust.org/cgi/pt?id=uc2.ark:/13960/t70v8dp9n")</f>
        <v>http://babel.hathitrust.org/cgi/pt?id=uc2.ark:/13960/t70v8dp9n</v>
      </c>
      <c r="H3723" t="str">
        <f>HYPERLINK("http://catalog.hathitrust.org/Record/006513018")</f>
        <v>http://catalog.hathitrust.org/Record/006513018</v>
      </c>
      <c r="J3723" s="1">
        <v>1823</v>
      </c>
      <c r="K3723" t="s">
        <v>12162</v>
      </c>
      <c r="L3723" t="s">
        <v>20043</v>
      </c>
    </row>
    <row r="3724" spans="1:12">
      <c r="A3724" t="s">
        <v>12164</v>
      </c>
      <c r="B3724" s="1" t="s">
        <v>12165</v>
      </c>
      <c r="D3724">
        <v>1</v>
      </c>
      <c r="G3724" t="str">
        <f>HYPERLINK("http://babel.hathitrust.org/cgi/pt?id=uc1.b266879")</f>
        <v>http://babel.hathitrust.org/cgi/pt?id=uc1.b266879</v>
      </c>
      <c r="H3724" t="str">
        <f>HYPERLINK("http://catalog.hathitrust.org/Record/006513019")</f>
        <v>http://catalog.hathitrust.org/Record/006513019</v>
      </c>
      <c r="J3724" s="1">
        <v>1830</v>
      </c>
      <c r="K3724" t="s">
        <v>12166</v>
      </c>
      <c r="L3724" t="s">
        <v>12167</v>
      </c>
    </row>
    <row r="3725" spans="1:12">
      <c r="A3725" t="s">
        <v>12168</v>
      </c>
      <c r="B3725" s="1" t="s">
        <v>12169</v>
      </c>
      <c r="F3725">
        <v>1</v>
      </c>
      <c r="G3725" t="str">
        <f>HYPERLINK("http://babel.hathitrust.org/cgi/pt?id=uc1.b266893")</f>
        <v>http://babel.hathitrust.org/cgi/pt?id=uc1.b266893</v>
      </c>
      <c r="H3725" t="str">
        <f>HYPERLINK("http://catalog.hathitrust.org/Record/006513028")</f>
        <v>http://catalog.hathitrust.org/Record/006513028</v>
      </c>
      <c r="J3725" s="1">
        <v>1827</v>
      </c>
      <c r="K3725" t="s">
        <v>12170</v>
      </c>
      <c r="L3725" t="s">
        <v>14033</v>
      </c>
    </row>
    <row r="3726" spans="1:12">
      <c r="A3726" t="s">
        <v>12171</v>
      </c>
      <c r="B3726" s="1" t="s">
        <v>12172</v>
      </c>
      <c r="E3726">
        <v>1</v>
      </c>
      <c r="G3726" t="str">
        <f>HYPERLINK("http://babel.hathitrust.org/cgi/pt?id=njp.32101063584260")</f>
        <v>http://babel.hathitrust.org/cgi/pt?id=njp.32101063584260</v>
      </c>
      <c r="H3726" t="str">
        <f>HYPERLINK("http://catalog.hathitrust.org/Record/006513031")</f>
        <v>http://catalog.hathitrust.org/Record/006513031</v>
      </c>
      <c r="J3726" s="1">
        <v>1811</v>
      </c>
      <c r="K3726" t="s">
        <v>12173</v>
      </c>
      <c r="L3726" t="s">
        <v>20043</v>
      </c>
    </row>
    <row r="3727" spans="1:12">
      <c r="A3727" t="s">
        <v>12174</v>
      </c>
      <c r="B3727" s="1" t="s">
        <v>12175</v>
      </c>
      <c r="E3727">
        <v>1</v>
      </c>
      <c r="G3727" t="str">
        <f>HYPERLINK("http://babel.hathitrust.org/cgi/pt?id=uc1.b266899")</f>
        <v>http://babel.hathitrust.org/cgi/pt?id=uc1.b266899</v>
      </c>
      <c r="H3727" t="str">
        <f>HYPERLINK("http://catalog.hathitrust.org/Record/006513032")</f>
        <v>http://catalog.hathitrust.org/Record/006513032</v>
      </c>
      <c r="J3727" s="1">
        <v>1824</v>
      </c>
      <c r="K3727" t="s">
        <v>12173</v>
      </c>
      <c r="L3727" t="s">
        <v>20043</v>
      </c>
    </row>
    <row r="3728" spans="1:12">
      <c r="A3728" t="s">
        <v>12176</v>
      </c>
      <c r="B3728" s="1" t="s">
        <v>12177</v>
      </c>
      <c r="E3728">
        <v>1</v>
      </c>
      <c r="G3728" t="str">
        <f>HYPERLINK("http://babel.hathitrust.org/cgi/pt?id=uc1.b266901")</f>
        <v>http://babel.hathitrust.org/cgi/pt?id=uc1.b266901</v>
      </c>
      <c r="H3728" t="str">
        <f>HYPERLINK("http://catalog.hathitrust.org/Record/006513034")</f>
        <v>http://catalog.hathitrust.org/Record/006513034</v>
      </c>
      <c r="J3728" s="1">
        <v>1832</v>
      </c>
      <c r="K3728" t="s">
        <v>12178</v>
      </c>
      <c r="L3728" t="s">
        <v>20043</v>
      </c>
    </row>
    <row r="3729" spans="1:12">
      <c r="A3729" t="s">
        <v>12179</v>
      </c>
      <c r="B3729" s="1" t="s">
        <v>12180</v>
      </c>
      <c r="E3729">
        <v>1</v>
      </c>
      <c r="G3729" t="str">
        <f>HYPERLINK("http://babel.hathitrust.org/cgi/pt?id=uc2.ark:/13960/t6xw4bw41")</f>
        <v>http://babel.hathitrust.org/cgi/pt?id=uc2.ark:/13960/t6xw4bw41</v>
      </c>
      <c r="H3729" t="str">
        <f>HYPERLINK("http://catalog.hathitrust.org/Record/006513035")</f>
        <v>http://catalog.hathitrust.org/Record/006513035</v>
      </c>
      <c r="J3729" s="1">
        <v>1836</v>
      </c>
      <c r="K3729" t="s">
        <v>12181</v>
      </c>
      <c r="L3729" t="s">
        <v>20043</v>
      </c>
    </row>
    <row r="3730" spans="1:12">
      <c r="A3730" t="s">
        <v>12182</v>
      </c>
      <c r="B3730" s="1" t="s">
        <v>12183</v>
      </c>
      <c r="E3730">
        <v>1</v>
      </c>
      <c r="G3730" t="str">
        <f>HYPERLINK("http://babel.hathitrust.org/cgi/pt?id=uc1.b266903")</f>
        <v>http://babel.hathitrust.org/cgi/pt?id=uc1.b266903</v>
      </c>
      <c r="H3730" t="str">
        <f>HYPERLINK("http://catalog.hathitrust.org/Record/006513036")</f>
        <v>http://catalog.hathitrust.org/Record/006513036</v>
      </c>
      <c r="J3730" s="1">
        <v>1831</v>
      </c>
      <c r="K3730" t="s">
        <v>12184</v>
      </c>
      <c r="L3730" t="s">
        <v>20043</v>
      </c>
    </row>
    <row r="3731" spans="1:12">
      <c r="A3731" t="s">
        <v>12185</v>
      </c>
      <c r="B3731" s="1" t="s">
        <v>12186</v>
      </c>
      <c r="E3731">
        <v>1</v>
      </c>
      <c r="G3731" t="str">
        <f>HYPERLINK("http://babel.hathitrust.org/cgi/pt?id=uc2.ark:/13960/t72v2gg18")</f>
        <v>http://babel.hathitrust.org/cgi/pt?id=uc2.ark:/13960/t72v2gg18</v>
      </c>
      <c r="H3731" t="str">
        <f>HYPERLINK("http://catalog.hathitrust.org/Record/006513037")</f>
        <v>http://catalog.hathitrust.org/Record/006513037</v>
      </c>
      <c r="J3731" s="1">
        <v>1821</v>
      </c>
      <c r="K3731" t="s">
        <v>12101</v>
      </c>
      <c r="L3731" t="s">
        <v>20043</v>
      </c>
    </row>
    <row r="3732" spans="1:12">
      <c r="A3732" t="s">
        <v>12102</v>
      </c>
      <c r="B3732" s="1" t="s">
        <v>12103</v>
      </c>
      <c r="F3732">
        <v>1</v>
      </c>
      <c r="G3732" t="str">
        <f>HYPERLINK("http://babel.hathitrust.org/cgi/pt?id=uc1.b266911")</f>
        <v>http://babel.hathitrust.org/cgi/pt?id=uc1.b266911</v>
      </c>
      <c r="H3732" t="str">
        <f>HYPERLINK("http://catalog.hathitrust.org/Record/006513043")</f>
        <v>http://catalog.hathitrust.org/Record/006513043</v>
      </c>
      <c r="J3732" s="1">
        <v>1907</v>
      </c>
      <c r="K3732" t="s">
        <v>12104</v>
      </c>
      <c r="L3732" t="s">
        <v>19710</v>
      </c>
    </row>
    <row r="3733" spans="1:12">
      <c r="A3733" t="s">
        <v>12105</v>
      </c>
      <c r="B3733" s="1" t="s">
        <v>12103</v>
      </c>
      <c r="F3733">
        <v>1</v>
      </c>
      <c r="G3733" t="str">
        <f>HYPERLINK("http://babel.hathitrust.org/cgi/pt?id=uc2.ark:/13960/t4hm55j3b")</f>
        <v>http://babel.hathitrust.org/cgi/pt?id=uc2.ark:/13960/t4hm55j3b</v>
      </c>
      <c r="H3733" t="str">
        <f>HYPERLINK("http://catalog.hathitrust.org/Record/006513043")</f>
        <v>http://catalog.hathitrust.org/Record/006513043</v>
      </c>
      <c r="J3733" s="1">
        <v>1907</v>
      </c>
      <c r="K3733" t="s">
        <v>12104</v>
      </c>
      <c r="L3733" t="s">
        <v>19710</v>
      </c>
    </row>
    <row r="3734" spans="1:12">
      <c r="A3734" t="s">
        <v>12106</v>
      </c>
      <c r="B3734" s="1" t="s">
        <v>12107</v>
      </c>
      <c r="E3734">
        <v>1</v>
      </c>
      <c r="F3734">
        <v>1</v>
      </c>
      <c r="G3734" t="str">
        <f>HYPERLINK("http://babel.hathitrust.org/cgi/pt?id=uc1.b266913")</f>
        <v>http://babel.hathitrust.org/cgi/pt?id=uc1.b266913</v>
      </c>
      <c r="H3734" t="str">
        <f>HYPERLINK("http://catalog.hathitrust.org/Record/006513044")</f>
        <v>http://catalog.hathitrust.org/Record/006513044</v>
      </c>
      <c r="J3734" s="1">
        <v>1893</v>
      </c>
      <c r="K3734" t="s">
        <v>14153</v>
      </c>
      <c r="L3734" t="s">
        <v>12108</v>
      </c>
    </row>
    <row r="3735" spans="1:12">
      <c r="A3735" t="s">
        <v>12109</v>
      </c>
      <c r="B3735" s="1" t="s">
        <v>12107</v>
      </c>
      <c r="F3735">
        <v>1</v>
      </c>
      <c r="G3735" t="str">
        <f>HYPERLINK("http://babel.hathitrust.org/cgi/pt?id=uc2.ark:/13960/t2b856b1j")</f>
        <v>http://babel.hathitrust.org/cgi/pt?id=uc2.ark:/13960/t2b856b1j</v>
      </c>
      <c r="H3735" t="str">
        <f>HYPERLINK("http://catalog.hathitrust.org/Record/006513044")</f>
        <v>http://catalog.hathitrust.org/Record/006513044</v>
      </c>
      <c r="J3735" s="1">
        <v>1893</v>
      </c>
      <c r="K3735" t="s">
        <v>14153</v>
      </c>
      <c r="L3735" t="s">
        <v>12108</v>
      </c>
    </row>
    <row r="3736" spans="1:12">
      <c r="A3736" t="s">
        <v>12110</v>
      </c>
      <c r="B3736" s="1" t="s">
        <v>12111</v>
      </c>
      <c r="F3736">
        <v>1</v>
      </c>
      <c r="G3736" t="str">
        <f>HYPERLINK("http://babel.hathitrust.org/cgi/pt?id=uc1.b266914")</f>
        <v>http://babel.hathitrust.org/cgi/pt?id=uc1.b266914</v>
      </c>
      <c r="H3736" t="str">
        <f>HYPERLINK("http://catalog.hathitrust.org/Record/006513045")</f>
        <v>http://catalog.hathitrust.org/Record/006513045</v>
      </c>
      <c r="J3736" s="1">
        <v>1816</v>
      </c>
      <c r="K3736" t="s">
        <v>12112</v>
      </c>
      <c r="L3736" t="s">
        <v>20043</v>
      </c>
    </row>
    <row r="3737" spans="1:12">
      <c r="A3737" t="s">
        <v>12113</v>
      </c>
      <c r="B3737" s="1" t="s">
        <v>12111</v>
      </c>
      <c r="F3737">
        <v>1</v>
      </c>
      <c r="G3737" t="str">
        <f>HYPERLINK("http://babel.hathitrust.org/cgi/pt?id=uc2.ark:/13960/t5v69cb0f")</f>
        <v>http://babel.hathitrust.org/cgi/pt?id=uc2.ark:/13960/t5v69cb0f</v>
      </c>
      <c r="H3737" t="str">
        <f>HYPERLINK("http://catalog.hathitrust.org/Record/006513045")</f>
        <v>http://catalog.hathitrust.org/Record/006513045</v>
      </c>
      <c r="J3737" s="1">
        <v>1816</v>
      </c>
      <c r="K3737" t="s">
        <v>12112</v>
      </c>
      <c r="L3737" t="s">
        <v>20043</v>
      </c>
    </row>
    <row r="3738" spans="1:12">
      <c r="A3738" t="s">
        <v>12114</v>
      </c>
      <c r="B3738" s="1" t="s">
        <v>12115</v>
      </c>
      <c r="F3738">
        <v>1</v>
      </c>
      <c r="G3738" t="str">
        <f>HYPERLINK("http://babel.hathitrust.org/cgi/pt?id=hvd.hx5ps2")</f>
        <v>http://babel.hathitrust.org/cgi/pt?id=hvd.hx5ps2</v>
      </c>
      <c r="H3738" t="str">
        <f>HYPERLINK("http://catalog.hathitrust.org/Record/006513242")</f>
        <v>http://catalog.hathitrust.org/Record/006513242</v>
      </c>
      <c r="J3738" s="1">
        <v>1845</v>
      </c>
      <c r="K3738" t="s">
        <v>12116</v>
      </c>
    </row>
    <row r="3739" spans="1:12">
      <c r="A3739" t="s">
        <v>12117</v>
      </c>
      <c r="B3739" s="1" t="s">
        <v>12115</v>
      </c>
      <c r="F3739">
        <v>1</v>
      </c>
      <c r="G3739" t="str">
        <f>HYPERLINK("http://babel.hathitrust.org/cgi/pt?id=uc1.b267192")</f>
        <v>http://babel.hathitrust.org/cgi/pt?id=uc1.b267192</v>
      </c>
      <c r="H3739" t="str">
        <f>HYPERLINK("http://catalog.hathitrust.org/Record/006513242")</f>
        <v>http://catalog.hathitrust.org/Record/006513242</v>
      </c>
      <c r="J3739" s="1">
        <v>1845</v>
      </c>
      <c r="K3739" t="s">
        <v>12116</v>
      </c>
    </row>
    <row r="3740" spans="1:12">
      <c r="A3740" t="s">
        <v>12118</v>
      </c>
      <c r="B3740" s="1" t="s">
        <v>12115</v>
      </c>
      <c r="F3740">
        <v>1</v>
      </c>
      <c r="G3740" t="str">
        <f>HYPERLINK("http://babel.hathitrust.org/cgi/pt?id=uc2.ark:/13960/t4sj1dn0d")</f>
        <v>http://babel.hathitrust.org/cgi/pt?id=uc2.ark:/13960/t4sj1dn0d</v>
      </c>
      <c r="H3740" t="str">
        <f>HYPERLINK("http://catalog.hathitrust.org/Record/006513242")</f>
        <v>http://catalog.hathitrust.org/Record/006513242</v>
      </c>
      <c r="J3740" s="1">
        <v>1845</v>
      </c>
      <c r="K3740" t="s">
        <v>12116</v>
      </c>
    </row>
    <row r="3741" spans="1:12">
      <c r="A3741" t="s">
        <v>12119</v>
      </c>
      <c r="B3741" s="1" t="s">
        <v>12115</v>
      </c>
      <c r="F3741">
        <v>1</v>
      </c>
      <c r="G3741" t="str">
        <f>HYPERLINK("http://babel.hathitrust.org/cgi/pt?id=uva.x000758126")</f>
        <v>http://babel.hathitrust.org/cgi/pt?id=uva.x000758126</v>
      </c>
      <c r="H3741" t="str">
        <f>HYPERLINK("http://catalog.hathitrust.org/Record/006513242")</f>
        <v>http://catalog.hathitrust.org/Record/006513242</v>
      </c>
      <c r="J3741" s="1">
        <v>1845</v>
      </c>
      <c r="K3741" t="s">
        <v>12116</v>
      </c>
    </row>
    <row r="3742" spans="1:12">
      <c r="A3742" t="s">
        <v>12120</v>
      </c>
      <c r="B3742" s="1" t="s">
        <v>12121</v>
      </c>
      <c r="E3742">
        <v>1</v>
      </c>
      <c r="F3742">
        <v>1</v>
      </c>
      <c r="G3742" t="str">
        <f>HYPERLINK("http://babel.hathitrust.org/cgi/pt?id=uc1.b272568")</f>
        <v>http://babel.hathitrust.org/cgi/pt?id=uc1.b272568</v>
      </c>
      <c r="H3742" t="str">
        <f>HYPERLINK("http://catalog.hathitrust.org/Record/006516582")</f>
        <v>http://catalog.hathitrust.org/Record/006516582</v>
      </c>
      <c r="J3742" s="1">
        <v>1886</v>
      </c>
      <c r="K3742" t="s">
        <v>12122</v>
      </c>
      <c r="L3742" t="s">
        <v>19000</v>
      </c>
    </row>
    <row r="3743" spans="1:12">
      <c r="A3743" t="s">
        <v>12123</v>
      </c>
      <c r="B3743" s="1" t="s">
        <v>12121</v>
      </c>
      <c r="F3743">
        <v>1</v>
      </c>
      <c r="G3743" t="str">
        <f>HYPERLINK("http://babel.hathitrust.org/cgi/pt?id=uc2.ark:/13960/t55d8rh54")</f>
        <v>http://babel.hathitrust.org/cgi/pt?id=uc2.ark:/13960/t55d8rh54</v>
      </c>
      <c r="H3743" t="str">
        <f>HYPERLINK("http://catalog.hathitrust.org/Record/006516582")</f>
        <v>http://catalog.hathitrust.org/Record/006516582</v>
      </c>
      <c r="J3743" s="1">
        <v>1886</v>
      </c>
      <c r="K3743" t="s">
        <v>12122</v>
      </c>
      <c r="L3743" t="s">
        <v>19000</v>
      </c>
    </row>
    <row r="3744" spans="1:12">
      <c r="A3744" t="s">
        <v>12124</v>
      </c>
      <c r="B3744" s="1" t="s">
        <v>12125</v>
      </c>
      <c r="E3744">
        <v>1</v>
      </c>
      <c r="G3744" t="str">
        <f>HYPERLINK("http://babel.hathitrust.org/cgi/pt?id=hvd.hn1rgx")</f>
        <v>http://babel.hathitrust.org/cgi/pt?id=hvd.hn1rgx</v>
      </c>
      <c r="H3744" t="str">
        <f>HYPERLINK("http://catalog.hathitrust.org/Record/006516583")</f>
        <v>http://catalog.hathitrust.org/Record/006516583</v>
      </c>
      <c r="J3744" s="1">
        <v>1869</v>
      </c>
      <c r="K3744" t="s">
        <v>12126</v>
      </c>
      <c r="L3744" t="s">
        <v>17914</v>
      </c>
    </row>
    <row r="3745" spans="1:12">
      <c r="A3745" t="s">
        <v>12127</v>
      </c>
      <c r="B3745" s="1" t="s">
        <v>12128</v>
      </c>
      <c r="E3745">
        <v>1</v>
      </c>
      <c r="G3745" t="str">
        <f>HYPERLINK("http://babel.hathitrust.org/cgi/pt?id=uc1.b272656")</f>
        <v>http://babel.hathitrust.org/cgi/pt?id=uc1.b272656</v>
      </c>
      <c r="H3745" t="str">
        <f>HYPERLINK("http://catalog.hathitrust.org/Record/006516616")</f>
        <v>http://catalog.hathitrust.org/Record/006516616</v>
      </c>
      <c r="J3745" s="1">
        <v>1904</v>
      </c>
      <c r="K3745" t="s">
        <v>12129</v>
      </c>
      <c r="L3745" t="s">
        <v>19945</v>
      </c>
    </row>
    <row r="3746" spans="1:12">
      <c r="A3746" t="s">
        <v>12130</v>
      </c>
      <c r="B3746" s="1" t="s">
        <v>12131</v>
      </c>
      <c r="F3746">
        <v>1</v>
      </c>
      <c r="G3746" t="str">
        <f>HYPERLINK("http://babel.hathitrust.org/cgi/pt?id=loc.ark:/13960/t2794rx86")</f>
        <v>http://babel.hathitrust.org/cgi/pt?id=loc.ark:/13960/t2794rx86</v>
      </c>
      <c r="H3746" t="str">
        <f>HYPERLINK("http://catalog.hathitrust.org/Record/006516644")</f>
        <v>http://catalog.hathitrust.org/Record/006516644</v>
      </c>
      <c r="J3746" s="1">
        <v>1921</v>
      </c>
      <c r="K3746" t="s">
        <v>20381</v>
      </c>
      <c r="L3746" t="s">
        <v>20382</v>
      </c>
    </row>
    <row r="3747" spans="1:12">
      <c r="A3747" t="s">
        <v>12132</v>
      </c>
      <c r="B3747" s="1" t="s">
        <v>12131</v>
      </c>
      <c r="F3747">
        <v>1</v>
      </c>
      <c r="G3747" t="str">
        <f>HYPERLINK("http://babel.hathitrust.org/cgi/pt?id=uc1.b272711")</f>
        <v>http://babel.hathitrust.org/cgi/pt?id=uc1.b272711</v>
      </c>
      <c r="H3747" t="str">
        <f>HYPERLINK("http://catalog.hathitrust.org/Record/006516644")</f>
        <v>http://catalog.hathitrust.org/Record/006516644</v>
      </c>
      <c r="J3747" s="1">
        <v>1921</v>
      </c>
      <c r="K3747" t="s">
        <v>20381</v>
      </c>
      <c r="L3747" t="s">
        <v>20382</v>
      </c>
    </row>
    <row r="3748" spans="1:12">
      <c r="A3748" t="s">
        <v>12133</v>
      </c>
      <c r="B3748" s="1" t="s">
        <v>12131</v>
      </c>
      <c r="F3748">
        <v>1</v>
      </c>
      <c r="G3748" t="str">
        <f>HYPERLINK("http://babel.hathitrust.org/cgi/pt?id=uc2.ark:/13960/t8qb9zg26")</f>
        <v>http://babel.hathitrust.org/cgi/pt?id=uc2.ark:/13960/t8qb9zg26</v>
      </c>
      <c r="H3748" t="str">
        <f>HYPERLINK("http://catalog.hathitrust.org/Record/006516644")</f>
        <v>http://catalog.hathitrust.org/Record/006516644</v>
      </c>
      <c r="J3748" s="1">
        <v>1921</v>
      </c>
      <c r="K3748" t="s">
        <v>20381</v>
      </c>
      <c r="L3748" t="s">
        <v>20382</v>
      </c>
    </row>
    <row r="3749" spans="1:12">
      <c r="A3749" t="s">
        <v>12134</v>
      </c>
      <c r="B3749" s="1" t="s">
        <v>12135</v>
      </c>
      <c r="E3749">
        <v>1</v>
      </c>
      <c r="G3749" t="str">
        <f>HYPERLINK("http://babel.hathitrust.org/cgi/pt?id=uc1.b272901")</f>
        <v>http://babel.hathitrust.org/cgi/pt?id=uc1.b272901</v>
      </c>
      <c r="H3749" t="str">
        <f>HYPERLINK("http://catalog.hathitrust.org/Record/006516780")</f>
        <v>http://catalog.hathitrust.org/Record/006516780</v>
      </c>
      <c r="J3749" s="1">
        <v>1898</v>
      </c>
      <c r="K3749" t="s">
        <v>12136</v>
      </c>
      <c r="L3749" t="s">
        <v>18982</v>
      </c>
    </row>
    <row r="3750" spans="1:12">
      <c r="A3750" t="s">
        <v>12137</v>
      </c>
      <c r="B3750" s="1" t="s">
        <v>12138</v>
      </c>
      <c r="F3750">
        <v>1</v>
      </c>
      <c r="G3750" t="str">
        <f>HYPERLINK("http://babel.hathitrust.org/cgi/pt?id=uc1.b273589")</f>
        <v>http://babel.hathitrust.org/cgi/pt?id=uc1.b273589</v>
      </c>
      <c r="H3750" t="str">
        <f>HYPERLINK("http://catalog.hathitrust.org/Record/006517334")</f>
        <v>http://catalog.hathitrust.org/Record/006517334</v>
      </c>
      <c r="J3750" s="1">
        <v>1919</v>
      </c>
      <c r="K3750" t="s">
        <v>12139</v>
      </c>
      <c r="L3750" t="s">
        <v>12140</v>
      </c>
    </row>
    <row r="3751" spans="1:12">
      <c r="A3751" t="s">
        <v>12141</v>
      </c>
      <c r="B3751" s="1" t="s">
        <v>12138</v>
      </c>
      <c r="F3751">
        <v>1</v>
      </c>
      <c r="G3751" t="str">
        <f>HYPERLINK("http://babel.hathitrust.org/cgi/pt?id=uc2.ark:/13960/t78s4nx0m")</f>
        <v>http://babel.hathitrust.org/cgi/pt?id=uc2.ark:/13960/t78s4nx0m</v>
      </c>
      <c r="H3751" t="str">
        <f>HYPERLINK("http://catalog.hathitrust.org/Record/006517334")</f>
        <v>http://catalog.hathitrust.org/Record/006517334</v>
      </c>
      <c r="J3751" s="1">
        <v>1919</v>
      </c>
      <c r="K3751" t="s">
        <v>12139</v>
      </c>
      <c r="L3751" t="s">
        <v>12140</v>
      </c>
    </row>
    <row r="3752" spans="1:12">
      <c r="A3752" t="s">
        <v>12142</v>
      </c>
      <c r="B3752" s="1" t="s">
        <v>12143</v>
      </c>
      <c r="F3752">
        <v>1</v>
      </c>
      <c r="G3752" t="str">
        <f>HYPERLINK("http://babel.hathitrust.org/cgi/pt?id=uc1.b273590")</f>
        <v>http://babel.hathitrust.org/cgi/pt?id=uc1.b273590</v>
      </c>
      <c r="H3752" t="str">
        <f>HYPERLINK("http://catalog.hathitrust.org/Record/006517335")</f>
        <v>http://catalog.hathitrust.org/Record/006517335</v>
      </c>
      <c r="J3752" s="1">
        <v>1917</v>
      </c>
      <c r="K3752" t="s">
        <v>12144</v>
      </c>
      <c r="L3752" t="s">
        <v>12140</v>
      </c>
    </row>
    <row r="3753" spans="1:12">
      <c r="A3753" t="s">
        <v>12145</v>
      </c>
      <c r="B3753" s="1" t="s">
        <v>12143</v>
      </c>
      <c r="F3753">
        <v>1</v>
      </c>
      <c r="G3753" t="str">
        <f>HYPERLINK("http://babel.hathitrust.org/cgi/pt?id=uc2.ark:/13960/t13n23823")</f>
        <v>http://babel.hathitrust.org/cgi/pt?id=uc2.ark:/13960/t13n23823</v>
      </c>
      <c r="H3753" t="str">
        <f>HYPERLINK("http://catalog.hathitrust.org/Record/006517335")</f>
        <v>http://catalog.hathitrust.org/Record/006517335</v>
      </c>
      <c r="J3753" s="1">
        <v>1917</v>
      </c>
      <c r="K3753" t="s">
        <v>12144</v>
      </c>
      <c r="L3753" t="s">
        <v>12140</v>
      </c>
    </row>
    <row r="3754" spans="1:12">
      <c r="A3754" t="s">
        <v>12146</v>
      </c>
      <c r="B3754" s="1" t="s">
        <v>12147</v>
      </c>
      <c r="F3754">
        <v>1</v>
      </c>
      <c r="G3754" t="str">
        <f>HYPERLINK("http://babel.hathitrust.org/cgi/pt?id=uc1.b273591")</f>
        <v>http://babel.hathitrust.org/cgi/pt?id=uc1.b273591</v>
      </c>
      <c r="H3754" t="str">
        <f>HYPERLINK("http://catalog.hathitrust.org/Record/006517336")</f>
        <v>http://catalog.hathitrust.org/Record/006517336</v>
      </c>
      <c r="J3754" s="1">
        <v>1928</v>
      </c>
      <c r="K3754" t="s">
        <v>12148</v>
      </c>
      <c r="L3754" t="s">
        <v>12140</v>
      </c>
    </row>
    <row r="3755" spans="1:12">
      <c r="A3755" t="s">
        <v>12149</v>
      </c>
      <c r="B3755" s="1" t="s">
        <v>12147</v>
      </c>
      <c r="F3755">
        <v>1</v>
      </c>
      <c r="G3755" t="str">
        <f>HYPERLINK("http://babel.hathitrust.org/cgi/pt?id=uc1.b55948")</f>
        <v>http://babel.hathitrust.org/cgi/pt?id=uc1.b55948</v>
      </c>
      <c r="H3755" t="str">
        <f>HYPERLINK("http://catalog.hathitrust.org/Record/006517336")</f>
        <v>http://catalog.hathitrust.org/Record/006517336</v>
      </c>
      <c r="J3755" s="1">
        <v>1928</v>
      </c>
      <c r="K3755" t="s">
        <v>12148</v>
      </c>
      <c r="L3755" t="s">
        <v>12140</v>
      </c>
    </row>
    <row r="3756" spans="1:12">
      <c r="A3756" t="s">
        <v>12150</v>
      </c>
      <c r="B3756" s="1" t="s">
        <v>12151</v>
      </c>
      <c r="F3756">
        <v>1</v>
      </c>
      <c r="G3756" t="str">
        <f>HYPERLINK("http://babel.hathitrust.org/cgi/pt?id=uc1.b273598")</f>
        <v>http://babel.hathitrust.org/cgi/pt?id=uc1.b273598</v>
      </c>
      <c r="H3756" t="str">
        <f>HYPERLINK("http://catalog.hathitrust.org/Record/006517340")</f>
        <v>http://catalog.hathitrust.org/Record/006517340</v>
      </c>
      <c r="J3756" s="1">
        <v>1890</v>
      </c>
      <c r="K3756" t="s">
        <v>12152</v>
      </c>
      <c r="L3756" t="s">
        <v>12153</v>
      </c>
    </row>
    <row r="3757" spans="1:12">
      <c r="A3757" t="s">
        <v>12154</v>
      </c>
      <c r="B3757" s="1" t="s">
        <v>12151</v>
      </c>
      <c r="F3757">
        <v>1</v>
      </c>
      <c r="G3757" t="str">
        <f>HYPERLINK("http://babel.hathitrust.org/cgi/pt?id=uc1.b308337")</f>
        <v>http://babel.hathitrust.org/cgi/pt?id=uc1.b308337</v>
      </c>
      <c r="H3757" t="str">
        <f>HYPERLINK("http://catalog.hathitrust.org/Record/006517340")</f>
        <v>http://catalog.hathitrust.org/Record/006517340</v>
      </c>
      <c r="J3757" s="1">
        <v>1890</v>
      </c>
      <c r="K3757" t="s">
        <v>12152</v>
      </c>
      <c r="L3757" t="s">
        <v>12153</v>
      </c>
    </row>
    <row r="3758" spans="1:12">
      <c r="A3758" t="s">
        <v>12155</v>
      </c>
      <c r="B3758" s="1" t="s">
        <v>12151</v>
      </c>
      <c r="F3758">
        <v>1</v>
      </c>
      <c r="G3758" t="str">
        <f>HYPERLINK("http://babel.hathitrust.org/cgi/pt?id=uc2.ark:/13960/t5gb21k17")</f>
        <v>http://babel.hathitrust.org/cgi/pt?id=uc2.ark:/13960/t5gb21k17</v>
      </c>
      <c r="H3758" t="str">
        <f>HYPERLINK("http://catalog.hathitrust.org/Record/006517340")</f>
        <v>http://catalog.hathitrust.org/Record/006517340</v>
      </c>
      <c r="J3758" s="1">
        <v>1890</v>
      </c>
      <c r="K3758" t="s">
        <v>12152</v>
      </c>
      <c r="L3758" t="s">
        <v>12153</v>
      </c>
    </row>
    <row r="3759" spans="1:12">
      <c r="A3759" t="s">
        <v>12156</v>
      </c>
      <c r="B3759" s="1" t="s">
        <v>12157</v>
      </c>
      <c r="F3759">
        <v>1</v>
      </c>
      <c r="G3759" t="str">
        <f>HYPERLINK("http://babel.hathitrust.org/cgi/pt?id=nyp.33433066604749")</f>
        <v>http://babel.hathitrust.org/cgi/pt?id=nyp.33433066604749</v>
      </c>
      <c r="H3759" t="str">
        <f>HYPERLINK("http://catalog.hathitrust.org/Record/006517348")</f>
        <v>http://catalog.hathitrust.org/Record/006517348</v>
      </c>
      <c r="J3759" s="1">
        <v>1888</v>
      </c>
      <c r="K3759" t="s">
        <v>12036</v>
      </c>
      <c r="L3759" t="s">
        <v>12037</v>
      </c>
    </row>
    <row r="3760" spans="1:12">
      <c r="A3760" t="s">
        <v>12038</v>
      </c>
      <c r="B3760" s="1" t="s">
        <v>12157</v>
      </c>
      <c r="F3760">
        <v>1</v>
      </c>
      <c r="G3760" t="str">
        <f>HYPERLINK("http://babel.hathitrust.org/cgi/pt?id=uc1.b273609")</f>
        <v>http://babel.hathitrust.org/cgi/pt?id=uc1.b273609</v>
      </c>
      <c r="H3760" t="str">
        <f>HYPERLINK("http://catalog.hathitrust.org/Record/006517348")</f>
        <v>http://catalog.hathitrust.org/Record/006517348</v>
      </c>
      <c r="J3760" s="1">
        <v>1888</v>
      </c>
      <c r="K3760" t="s">
        <v>12036</v>
      </c>
      <c r="L3760" t="s">
        <v>12037</v>
      </c>
    </row>
    <row r="3761" spans="1:12">
      <c r="A3761" t="s">
        <v>12039</v>
      </c>
      <c r="B3761" s="1" t="s">
        <v>12157</v>
      </c>
      <c r="F3761">
        <v>1</v>
      </c>
      <c r="G3761" t="str">
        <f>HYPERLINK("http://babel.hathitrust.org/cgi/pt?id=uc2.ark:/13960/t1ng4kj4f")</f>
        <v>http://babel.hathitrust.org/cgi/pt?id=uc2.ark:/13960/t1ng4kj4f</v>
      </c>
      <c r="H3761" t="str">
        <f>HYPERLINK("http://catalog.hathitrust.org/Record/006517348")</f>
        <v>http://catalog.hathitrust.org/Record/006517348</v>
      </c>
      <c r="J3761" s="1">
        <v>1888</v>
      </c>
      <c r="K3761" t="s">
        <v>12036</v>
      </c>
      <c r="L3761" t="s">
        <v>12037</v>
      </c>
    </row>
    <row r="3762" spans="1:12">
      <c r="A3762" t="s">
        <v>12040</v>
      </c>
      <c r="B3762" s="1" t="s">
        <v>12041</v>
      </c>
      <c r="F3762">
        <v>1</v>
      </c>
      <c r="G3762" t="str">
        <f>HYPERLINK("http://babel.hathitrust.org/cgi/pt?id=uc1.b273613")</f>
        <v>http://babel.hathitrust.org/cgi/pt?id=uc1.b273613</v>
      </c>
      <c r="H3762" t="str">
        <f>HYPERLINK("http://catalog.hathitrust.org/Record/006517351")</f>
        <v>http://catalog.hathitrust.org/Record/006517351</v>
      </c>
      <c r="J3762" s="1">
        <v>1919</v>
      </c>
      <c r="K3762" t="s">
        <v>12042</v>
      </c>
      <c r="L3762" t="s">
        <v>12043</v>
      </c>
    </row>
    <row r="3763" spans="1:12">
      <c r="A3763" t="s">
        <v>12044</v>
      </c>
      <c r="B3763" s="1" t="s">
        <v>12045</v>
      </c>
      <c r="F3763">
        <v>1</v>
      </c>
      <c r="G3763" t="str">
        <f>HYPERLINK("http://babel.hathitrust.org/cgi/pt?id=uc1.b273614")</f>
        <v>http://babel.hathitrust.org/cgi/pt?id=uc1.b273614</v>
      </c>
      <c r="H3763" t="str">
        <f>HYPERLINK("http://catalog.hathitrust.org/Record/006517352")</f>
        <v>http://catalog.hathitrust.org/Record/006517352</v>
      </c>
      <c r="J3763" s="1">
        <v>1908</v>
      </c>
      <c r="K3763" t="s">
        <v>12046</v>
      </c>
      <c r="L3763" t="s">
        <v>12047</v>
      </c>
    </row>
    <row r="3764" spans="1:12">
      <c r="A3764" t="s">
        <v>12048</v>
      </c>
      <c r="B3764" s="1" t="s">
        <v>12045</v>
      </c>
      <c r="F3764">
        <v>1</v>
      </c>
      <c r="G3764" t="str">
        <f>HYPERLINK("http://babel.hathitrust.org/cgi/pt?id=uc2.ark:/13960/t06w9917k")</f>
        <v>http://babel.hathitrust.org/cgi/pt?id=uc2.ark:/13960/t06w9917k</v>
      </c>
      <c r="H3764" t="str">
        <f>HYPERLINK("http://catalog.hathitrust.org/Record/006517352")</f>
        <v>http://catalog.hathitrust.org/Record/006517352</v>
      </c>
      <c r="J3764" s="1">
        <v>1908</v>
      </c>
      <c r="K3764" t="s">
        <v>12046</v>
      </c>
      <c r="L3764" t="s">
        <v>12047</v>
      </c>
    </row>
    <row r="3765" spans="1:12">
      <c r="A3765" t="s">
        <v>12049</v>
      </c>
      <c r="B3765" s="1" t="s">
        <v>12050</v>
      </c>
      <c r="F3765">
        <v>1</v>
      </c>
      <c r="G3765" t="str">
        <f>HYPERLINK("http://babel.hathitrust.org/cgi/pt?id=uc1.b273624")</f>
        <v>http://babel.hathitrust.org/cgi/pt?id=uc1.b273624</v>
      </c>
      <c r="H3765" t="str">
        <f>HYPERLINK("http://catalog.hathitrust.org/Record/006517362")</f>
        <v>http://catalog.hathitrust.org/Record/006517362</v>
      </c>
      <c r="J3765" s="1">
        <v>1902</v>
      </c>
      <c r="K3765" t="s">
        <v>12051</v>
      </c>
      <c r="L3765" t="s">
        <v>12047</v>
      </c>
    </row>
    <row r="3766" spans="1:12">
      <c r="A3766" t="s">
        <v>12052</v>
      </c>
      <c r="B3766" s="1" t="s">
        <v>12050</v>
      </c>
      <c r="F3766">
        <v>1</v>
      </c>
      <c r="G3766" t="str">
        <f>HYPERLINK("http://babel.hathitrust.org/cgi/pt?id=uc2.ark:/13960/t04x5777n")</f>
        <v>http://babel.hathitrust.org/cgi/pt?id=uc2.ark:/13960/t04x5777n</v>
      </c>
      <c r="H3766" t="str">
        <f>HYPERLINK("http://catalog.hathitrust.org/Record/006517362")</f>
        <v>http://catalog.hathitrust.org/Record/006517362</v>
      </c>
      <c r="J3766" s="1">
        <v>1902</v>
      </c>
      <c r="K3766" t="s">
        <v>12051</v>
      </c>
      <c r="L3766" t="s">
        <v>12047</v>
      </c>
    </row>
    <row r="3767" spans="1:12">
      <c r="A3767" t="s">
        <v>12053</v>
      </c>
      <c r="B3767" s="1" t="s">
        <v>12054</v>
      </c>
      <c r="F3767">
        <v>1</v>
      </c>
      <c r="G3767" t="str">
        <f>HYPERLINK("http://babel.hathitrust.org/cgi/pt?id=uc1.b273625")</f>
        <v>http://babel.hathitrust.org/cgi/pt?id=uc1.b273625</v>
      </c>
      <c r="H3767" t="str">
        <f>HYPERLINK("http://catalog.hathitrust.org/Record/006517363")</f>
        <v>http://catalog.hathitrust.org/Record/006517363</v>
      </c>
      <c r="J3767" s="1">
        <v>1892</v>
      </c>
      <c r="K3767" t="s">
        <v>12055</v>
      </c>
      <c r="L3767" t="s">
        <v>12056</v>
      </c>
    </row>
    <row r="3768" spans="1:12">
      <c r="A3768" t="s">
        <v>12057</v>
      </c>
      <c r="B3768" s="1" t="s">
        <v>12054</v>
      </c>
      <c r="F3768">
        <v>1</v>
      </c>
      <c r="G3768" t="str">
        <f>HYPERLINK("http://babel.hathitrust.org/cgi/pt?id=uc2.ark:/13960/t5w66d880")</f>
        <v>http://babel.hathitrust.org/cgi/pt?id=uc2.ark:/13960/t5w66d880</v>
      </c>
      <c r="H3768" t="str">
        <f>HYPERLINK("http://catalog.hathitrust.org/Record/006517363")</f>
        <v>http://catalog.hathitrust.org/Record/006517363</v>
      </c>
      <c r="J3768" s="1">
        <v>1892</v>
      </c>
      <c r="K3768" t="s">
        <v>12055</v>
      </c>
      <c r="L3768" t="s">
        <v>12056</v>
      </c>
    </row>
    <row r="3769" spans="1:12">
      <c r="A3769" t="s">
        <v>12058</v>
      </c>
      <c r="B3769" s="1" t="s">
        <v>12059</v>
      </c>
      <c r="F3769">
        <v>1</v>
      </c>
      <c r="G3769" t="str">
        <f>HYPERLINK("http://babel.hathitrust.org/cgi/pt?id=uc1.b273629")</f>
        <v>http://babel.hathitrust.org/cgi/pt?id=uc1.b273629</v>
      </c>
      <c r="H3769" t="str">
        <f>HYPERLINK("http://catalog.hathitrust.org/Record/006517366")</f>
        <v>http://catalog.hathitrust.org/Record/006517366</v>
      </c>
      <c r="J3769" s="1">
        <v>1928</v>
      </c>
      <c r="K3769" t="s">
        <v>12060</v>
      </c>
      <c r="L3769" t="s">
        <v>12061</v>
      </c>
    </row>
    <row r="3770" spans="1:12">
      <c r="A3770" t="s">
        <v>12062</v>
      </c>
      <c r="B3770" s="1" t="s">
        <v>12063</v>
      </c>
      <c r="F3770">
        <v>1</v>
      </c>
      <c r="G3770" t="str">
        <f>HYPERLINK("http://babel.hathitrust.org/cgi/pt?id=nyp.33433082504659")</f>
        <v>http://babel.hathitrust.org/cgi/pt?id=nyp.33433082504659</v>
      </c>
      <c r="H3770" t="str">
        <f>HYPERLINK("http://catalog.hathitrust.org/Record/006517369")</f>
        <v>http://catalog.hathitrust.org/Record/006517369</v>
      </c>
      <c r="J3770" s="1">
        <v>1884</v>
      </c>
      <c r="K3770" t="s">
        <v>12064</v>
      </c>
      <c r="L3770" t="s">
        <v>12065</v>
      </c>
    </row>
    <row r="3771" spans="1:12">
      <c r="A3771" t="s">
        <v>12066</v>
      </c>
      <c r="B3771" s="1" t="s">
        <v>12063</v>
      </c>
      <c r="F3771">
        <v>1</v>
      </c>
      <c r="G3771" t="str">
        <f>HYPERLINK("http://babel.hathitrust.org/cgi/pt?id=uc1.b273632")</f>
        <v>http://babel.hathitrust.org/cgi/pt?id=uc1.b273632</v>
      </c>
      <c r="H3771" t="str">
        <f>HYPERLINK("http://catalog.hathitrust.org/Record/006517369")</f>
        <v>http://catalog.hathitrust.org/Record/006517369</v>
      </c>
      <c r="J3771" s="1">
        <v>1884</v>
      </c>
      <c r="K3771" t="s">
        <v>12064</v>
      </c>
      <c r="L3771" t="s">
        <v>12065</v>
      </c>
    </row>
    <row r="3772" spans="1:12">
      <c r="A3772" t="s">
        <v>12067</v>
      </c>
      <c r="B3772" s="1" t="s">
        <v>12063</v>
      </c>
      <c r="F3772">
        <v>1</v>
      </c>
      <c r="G3772" t="str">
        <f>HYPERLINK("http://babel.hathitrust.org/cgi/pt?id=uc2.ark:/13960/t9377jf16")</f>
        <v>http://babel.hathitrust.org/cgi/pt?id=uc2.ark:/13960/t9377jf16</v>
      </c>
      <c r="H3772" t="str">
        <f>HYPERLINK("http://catalog.hathitrust.org/Record/006517369")</f>
        <v>http://catalog.hathitrust.org/Record/006517369</v>
      </c>
      <c r="J3772" s="1">
        <v>1884</v>
      </c>
      <c r="K3772" t="s">
        <v>12064</v>
      </c>
      <c r="L3772" t="s">
        <v>12065</v>
      </c>
    </row>
    <row r="3773" spans="1:12">
      <c r="A3773" t="s">
        <v>12068</v>
      </c>
      <c r="B3773" s="1" t="s">
        <v>12069</v>
      </c>
      <c r="E3773">
        <v>1</v>
      </c>
      <c r="G3773" t="str">
        <f>HYPERLINK("http://babel.hathitrust.org/cgi/pt?id=hvd.hwkz43")</f>
        <v>http://babel.hathitrust.org/cgi/pt?id=hvd.hwkz43</v>
      </c>
      <c r="H3773" t="str">
        <f>HYPERLINK("http://catalog.hathitrust.org/Record/006518368")</f>
        <v>http://catalog.hathitrust.org/Record/006518368</v>
      </c>
      <c r="I3773" s="1" t="s">
        <v>12071</v>
      </c>
      <c r="J3773" s="1">
        <v>1850</v>
      </c>
      <c r="K3773" t="s">
        <v>12070</v>
      </c>
      <c r="L3773" t="s">
        <v>20675</v>
      </c>
    </row>
    <row r="3774" spans="1:12">
      <c r="A3774" t="s">
        <v>12072</v>
      </c>
      <c r="B3774" s="1" t="s">
        <v>12069</v>
      </c>
      <c r="E3774">
        <v>1</v>
      </c>
      <c r="G3774" t="str">
        <f>HYPERLINK("http://babel.hathitrust.org/cgi/pt?id=hvd.hwkz44")</f>
        <v>http://babel.hathitrust.org/cgi/pt?id=hvd.hwkz44</v>
      </c>
      <c r="H3774" t="str">
        <f>HYPERLINK("http://catalog.hathitrust.org/Record/006518368")</f>
        <v>http://catalog.hathitrust.org/Record/006518368</v>
      </c>
      <c r="I3774" s="1" t="s">
        <v>12073</v>
      </c>
      <c r="J3774" s="1">
        <v>1850</v>
      </c>
      <c r="K3774" t="s">
        <v>12070</v>
      </c>
      <c r="L3774" t="s">
        <v>20675</v>
      </c>
    </row>
    <row r="3775" spans="1:12">
      <c r="A3775" t="s">
        <v>12074</v>
      </c>
      <c r="B3775" s="1" t="s">
        <v>12069</v>
      </c>
      <c r="E3775">
        <v>1</v>
      </c>
      <c r="G3775" t="str">
        <f>HYPERLINK("http://babel.hathitrust.org/cgi/pt?id=hvd.hwkz4s")</f>
        <v>http://babel.hathitrust.org/cgi/pt?id=hvd.hwkz4s</v>
      </c>
      <c r="H3775" t="str">
        <f>HYPERLINK("http://catalog.hathitrust.org/Record/006518368")</f>
        <v>http://catalog.hathitrust.org/Record/006518368</v>
      </c>
      <c r="I3775" s="1" t="s">
        <v>12075</v>
      </c>
      <c r="J3775" s="1">
        <v>1850</v>
      </c>
      <c r="K3775" t="s">
        <v>12070</v>
      </c>
      <c r="L3775" t="s">
        <v>20675</v>
      </c>
    </row>
    <row r="3776" spans="1:12">
      <c r="A3776" t="s">
        <v>12076</v>
      </c>
      <c r="B3776" s="1" t="s">
        <v>12069</v>
      </c>
      <c r="E3776">
        <v>1</v>
      </c>
      <c r="G3776" t="str">
        <f>HYPERLINK("http://babel.hathitrust.org/cgi/pt?id=hvd.hwkz4t")</f>
        <v>http://babel.hathitrust.org/cgi/pt?id=hvd.hwkz4t</v>
      </c>
      <c r="H3776" t="str">
        <f>HYPERLINK("http://catalog.hathitrust.org/Record/006518368")</f>
        <v>http://catalog.hathitrust.org/Record/006518368</v>
      </c>
      <c r="I3776" s="1" t="s">
        <v>12077</v>
      </c>
      <c r="J3776" s="1">
        <v>1850</v>
      </c>
      <c r="K3776" t="s">
        <v>12070</v>
      </c>
      <c r="L3776" t="s">
        <v>20675</v>
      </c>
    </row>
    <row r="3777" spans="1:12">
      <c r="A3777" t="s">
        <v>12078</v>
      </c>
      <c r="B3777" s="1" t="s">
        <v>12079</v>
      </c>
      <c r="F3777">
        <v>1</v>
      </c>
      <c r="G3777" t="str">
        <f>HYPERLINK("http://babel.hathitrust.org/cgi/pt?id=hvd.32044011799186")</f>
        <v>http://babel.hathitrust.org/cgi/pt?id=hvd.32044011799186</v>
      </c>
      <c r="H3777" t="str">
        <f>HYPERLINK("http://catalog.hathitrust.org/Record/006518416")</f>
        <v>http://catalog.hathitrust.org/Record/006518416</v>
      </c>
      <c r="J3777" s="1">
        <v>1824</v>
      </c>
      <c r="K3777" t="s">
        <v>12080</v>
      </c>
      <c r="L3777" t="s">
        <v>14751</v>
      </c>
    </row>
    <row r="3778" spans="1:12">
      <c r="A3778" t="s">
        <v>12081</v>
      </c>
      <c r="B3778" s="1" t="s">
        <v>12079</v>
      </c>
      <c r="F3778">
        <v>1</v>
      </c>
      <c r="G3778" t="str">
        <f>HYPERLINK("http://babel.hathitrust.org/cgi/pt?id=loc.ark:/13960/t3vt28m56")</f>
        <v>http://babel.hathitrust.org/cgi/pt?id=loc.ark:/13960/t3vt28m56</v>
      </c>
      <c r="H3778" t="str">
        <f>HYPERLINK("http://catalog.hathitrust.org/Record/006518416")</f>
        <v>http://catalog.hathitrust.org/Record/006518416</v>
      </c>
      <c r="J3778" s="1">
        <v>1824</v>
      </c>
      <c r="K3778" t="s">
        <v>12080</v>
      </c>
      <c r="L3778" t="s">
        <v>14751</v>
      </c>
    </row>
    <row r="3779" spans="1:12">
      <c r="A3779" t="s">
        <v>12082</v>
      </c>
      <c r="B3779" s="1" t="s">
        <v>12079</v>
      </c>
      <c r="F3779">
        <v>1</v>
      </c>
      <c r="G3779" t="str">
        <f>HYPERLINK("http://babel.hathitrust.org/cgi/pt?id=uc1.b275052")</f>
        <v>http://babel.hathitrust.org/cgi/pt?id=uc1.b275052</v>
      </c>
      <c r="H3779" t="str">
        <f>HYPERLINK("http://catalog.hathitrust.org/Record/006518416")</f>
        <v>http://catalog.hathitrust.org/Record/006518416</v>
      </c>
      <c r="J3779" s="1">
        <v>1824</v>
      </c>
      <c r="K3779" t="s">
        <v>12080</v>
      </c>
      <c r="L3779" t="s">
        <v>14751</v>
      </c>
    </row>
    <row r="3780" spans="1:12">
      <c r="A3780" t="s">
        <v>12083</v>
      </c>
      <c r="B3780" s="1" t="s">
        <v>12079</v>
      </c>
      <c r="F3780">
        <v>1</v>
      </c>
      <c r="G3780" t="str">
        <f>HYPERLINK("http://babel.hathitrust.org/cgi/pt?id=uc2.ark:/13960/t7xk87w9w")</f>
        <v>http://babel.hathitrust.org/cgi/pt?id=uc2.ark:/13960/t7xk87w9w</v>
      </c>
      <c r="H3780" t="str">
        <f>HYPERLINK("http://catalog.hathitrust.org/Record/006518416")</f>
        <v>http://catalog.hathitrust.org/Record/006518416</v>
      </c>
      <c r="J3780" s="1">
        <v>1824</v>
      </c>
      <c r="K3780" t="s">
        <v>12080</v>
      </c>
      <c r="L3780" t="s">
        <v>14751</v>
      </c>
    </row>
    <row r="3781" spans="1:12">
      <c r="A3781" t="s">
        <v>12084</v>
      </c>
      <c r="B3781" s="1" t="s">
        <v>12085</v>
      </c>
      <c r="F3781">
        <v>1</v>
      </c>
      <c r="G3781" t="str">
        <f>HYPERLINK("http://babel.hathitrust.org/cgi/pt?id=nyp.33433074813266")</f>
        <v>http://babel.hathitrust.org/cgi/pt?id=nyp.33433074813266</v>
      </c>
      <c r="H3781" t="str">
        <f>HYPERLINK("http://catalog.hathitrust.org/Record/006518433")</f>
        <v>http://catalog.hathitrust.org/Record/006518433</v>
      </c>
      <c r="J3781" s="1">
        <v>1858</v>
      </c>
      <c r="K3781" t="s">
        <v>12086</v>
      </c>
      <c r="L3781" t="s">
        <v>12087</v>
      </c>
    </row>
    <row r="3782" spans="1:12">
      <c r="A3782" t="s">
        <v>12088</v>
      </c>
      <c r="B3782" s="1" t="s">
        <v>12085</v>
      </c>
      <c r="F3782">
        <v>1</v>
      </c>
      <c r="G3782" t="str">
        <f>HYPERLINK("http://babel.hathitrust.org/cgi/pt?id=nyp.33433082509906")</f>
        <v>http://babel.hathitrust.org/cgi/pt?id=nyp.33433082509906</v>
      </c>
      <c r="H3782" t="str">
        <f>HYPERLINK("http://catalog.hathitrust.org/Record/006518433")</f>
        <v>http://catalog.hathitrust.org/Record/006518433</v>
      </c>
      <c r="J3782" s="1">
        <v>1858</v>
      </c>
      <c r="K3782" t="s">
        <v>12086</v>
      </c>
      <c r="L3782" t="s">
        <v>12087</v>
      </c>
    </row>
    <row r="3783" spans="1:12">
      <c r="A3783" t="s">
        <v>12089</v>
      </c>
      <c r="B3783" s="1" t="s">
        <v>12085</v>
      </c>
      <c r="F3783">
        <v>1</v>
      </c>
      <c r="G3783" t="str">
        <f>HYPERLINK("http://babel.hathitrust.org/cgi/pt?id=uc1.b275078")</f>
        <v>http://babel.hathitrust.org/cgi/pt?id=uc1.b275078</v>
      </c>
      <c r="H3783" t="str">
        <f>HYPERLINK("http://catalog.hathitrust.org/Record/006518433")</f>
        <v>http://catalog.hathitrust.org/Record/006518433</v>
      </c>
      <c r="J3783" s="1">
        <v>1858</v>
      </c>
      <c r="K3783" t="s">
        <v>12086</v>
      </c>
      <c r="L3783" t="s">
        <v>12087</v>
      </c>
    </row>
    <row r="3784" spans="1:12">
      <c r="A3784" t="s">
        <v>12090</v>
      </c>
      <c r="B3784" s="1" t="s">
        <v>12085</v>
      </c>
      <c r="F3784">
        <v>1</v>
      </c>
      <c r="G3784" t="str">
        <f>HYPERLINK("http://babel.hathitrust.org/cgi/pt?id=uc2.ark:/13960/t4th8fm9b")</f>
        <v>http://babel.hathitrust.org/cgi/pt?id=uc2.ark:/13960/t4th8fm9b</v>
      </c>
      <c r="H3784" t="str">
        <f>HYPERLINK("http://catalog.hathitrust.org/Record/006518433")</f>
        <v>http://catalog.hathitrust.org/Record/006518433</v>
      </c>
      <c r="J3784" s="1">
        <v>1858</v>
      </c>
      <c r="K3784" t="s">
        <v>12086</v>
      </c>
      <c r="L3784" t="s">
        <v>12087</v>
      </c>
    </row>
    <row r="3785" spans="1:12">
      <c r="A3785" t="s">
        <v>12091</v>
      </c>
      <c r="B3785" s="1" t="s">
        <v>12085</v>
      </c>
      <c r="F3785">
        <v>1</v>
      </c>
      <c r="G3785" t="str">
        <f>HYPERLINK("http://babel.hathitrust.org/cgi/pt?id=yale.39002014268503")</f>
        <v>http://babel.hathitrust.org/cgi/pt?id=yale.39002014268503</v>
      </c>
      <c r="H3785" t="str">
        <f>HYPERLINK("http://catalog.hathitrust.org/Record/006518433")</f>
        <v>http://catalog.hathitrust.org/Record/006518433</v>
      </c>
      <c r="J3785" s="1">
        <v>1858</v>
      </c>
      <c r="K3785" t="s">
        <v>12086</v>
      </c>
      <c r="L3785" t="s">
        <v>12087</v>
      </c>
    </row>
    <row r="3786" spans="1:12">
      <c r="A3786" t="s">
        <v>12092</v>
      </c>
      <c r="B3786" s="1" t="s">
        <v>12093</v>
      </c>
      <c r="F3786">
        <v>1</v>
      </c>
      <c r="G3786" t="str">
        <f>HYPERLINK("http://babel.hathitrust.org/cgi/pt?id=loc.ark:/13960/t9k36cm2f")</f>
        <v>http://babel.hathitrust.org/cgi/pt?id=loc.ark:/13960/t9k36cm2f</v>
      </c>
      <c r="H3786" t="str">
        <f>HYPERLINK("http://catalog.hathitrust.org/Record/006518587")</f>
        <v>http://catalog.hathitrust.org/Record/006518587</v>
      </c>
      <c r="J3786" s="1">
        <v>1892</v>
      </c>
      <c r="K3786" t="s">
        <v>12094</v>
      </c>
      <c r="L3786" t="s">
        <v>20831</v>
      </c>
    </row>
    <row r="3787" spans="1:12">
      <c r="A3787" t="s">
        <v>12095</v>
      </c>
      <c r="B3787" s="1" t="s">
        <v>12093</v>
      </c>
      <c r="F3787">
        <v>1</v>
      </c>
      <c r="G3787" t="str">
        <f>HYPERLINK("http://babel.hathitrust.org/cgi/pt?id=uc1.b275329")</f>
        <v>http://babel.hathitrust.org/cgi/pt?id=uc1.b275329</v>
      </c>
      <c r="H3787" t="str">
        <f>HYPERLINK("http://catalog.hathitrust.org/Record/006518587")</f>
        <v>http://catalog.hathitrust.org/Record/006518587</v>
      </c>
      <c r="J3787" s="1">
        <v>1892</v>
      </c>
      <c r="K3787" t="s">
        <v>12094</v>
      </c>
      <c r="L3787" t="s">
        <v>20831</v>
      </c>
    </row>
    <row r="3788" spans="1:12">
      <c r="A3788" t="s">
        <v>12096</v>
      </c>
      <c r="B3788" s="1" t="s">
        <v>12097</v>
      </c>
      <c r="E3788">
        <v>1</v>
      </c>
      <c r="G3788" t="str">
        <f>HYPERLINK("http://babel.hathitrust.org/cgi/pt?id=uc1.b275528")</f>
        <v>http://babel.hathitrust.org/cgi/pt?id=uc1.b275528</v>
      </c>
      <c r="H3788" t="str">
        <f>HYPERLINK("http://catalog.hathitrust.org/Record/006518700")</f>
        <v>http://catalog.hathitrust.org/Record/006518700</v>
      </c>
      <c r="J3788" s="1">
        <v>1869</v>
      </c>
      <c r="K3788" t="s">
        <v>12098</v>
      </c>
      <c r="L3788" t="s">
        <v>20773</v>
      </c>
    </row>
    <row r="3789" spans="1:12">
      <c r="A3789" t="s">
        <v>12099</v>
      </c>
      <c r="B3789" s="1" t="s">
        <v>12100</v>
      </c>
      <c r="F3789">
        <v>1</v>
      </c>
      <c r="G3789" t="str">
        <f>HYPERLINK("http://babel.hathitrust.org/cgi/pt?id=uc1.b276018")</f>
        <v>http://babel.hathitrust.org/cgi/pt?id=uc1.b276018</v>
      </c>
      <c r="H3789" t="str">
        <f>HYPERLINK("http://catalog.hathitrust.org/Record/006519010")</f>
        <v>http://catalog.hathitrust.org/Record/006519010</v>
      </c>
      <c r="J3789" s="1">
        <v>1888</v>
      </c>
      <c r="K3789" t="s">
        <v>11976</v>
      </c>
      <c r="L3789" t="s">
        <v>11977</v>
      </c>
    </row>
    <row r="3790" spans="1:12">
      <c r="A3790" t="s">
        <v>11978</v>
      </c>
      <c r="B3790" s="1" t="s">
        <v>11979</v>
      </c>
      <c r="F3790">
        <v>1</v>
      </c>
      <c r="G3790" t="str">
        <f>HYPERLINK("http://babel.hathitrust.org/cgi/pt?id=uc1.b276138")</f>
        <v>http://babel.hathitrust.org/cgi/pt?id=uc1.b276138</v>
      </c>
      <c r="H3790" t="str">
        <f>HYPERLINK("http://catalog.hathitrust.org/Record/006519080")</f>
        <v>http://catalog.hathitrust.org/Record/006519080</v>
      </c>
      <c r="J3790" s="1">
        <v>1907</v>
      </c>
      <c r="K3790" t="s">
        <v>11980</v>
      </c>
      <c r="L3790" t="s">
        <v>11981</v>
      </c>
    </row>
    <row r="3791" spans="1:12">
      <c r="A3791" t="s">
        <v>11982</v>
      </c>
      <c r="B3791" s="1" t="s">
        <v>11979</v>
      </c>
      <c r="F3791">
        <v>1</v>
      </c>
      <c r="G3791" t="str">
        <f>HYPERLINK("http://babel.hathitrust.org/cgi/pt?id=uc2.ark:/13960/t6tx3mx0w")</f>
        <v>http://babel.hathitrust.org/cgi/pt?id=uc2.ark:/13960/t6tx3mx0w</v>
      </c>
      <c r="H3791" t="str">
        <f>HYPERLINK("http://catalog.hathitrust.org/Record/006519080")</f>
        <v>http://catalog.hathitrust.org/Record/006519080</v>
      </c>
      <c r="J3791" s="1">
        <v>1907</v>
      </c>
      <c r="K3791" t="s">
        <v>11980</v>
      </c>
      <c r="L3791" t="s">
        <v>11981</v>
      </c>
    </row>
    <row r="3792" spans="1:12">
      <c r="A3792" t="s">
        <v>11983</v>
      </c>
      <c r="B3792" s="1" t="s">
        <v>11984</v>
      </c>
      <c r="F3792">
        <v>1</v>
      </c>
      <c r="G3792" t="str">
        <f>HYPERLINK("http://babel.hathitrust.org/cgi/pt?id=uc1.b276140")</f>
        <v>http://babel.hathitrust.org/cgi/pt?id=uc1.b276140</v>
      </c>
      <c r="H3792" t="str">
        <f>HYPERLINK("http://catalog.hathitrust.org/Record/006519081")</f>
        <v>http://catalog.hathitrust.org/Record/006519081</v>
      </c>
      <c r="J3792" s="1">
        <v>1917</v>
      </c>
      <c r="K3792" t="s">
        <v>11985</v>
      </c>
      <c r="L3792" t="s">
        <v>11986</v>
      </c>
    </row>
    <row r="3793" spans="1:12">
      <c r="A3793" t="s">
        <v>11987</v>
      </c>
      <c r="B3793" s="1" t="s">
        <v>11988</v>
      </c>
      <c r="F3793">
        <v>1</v>
      </c>
      <c r="G3793" t="str">
        <f>HYPERLINK("http://babel.hathitrust.org/cgi/pt?id=uc1.b276142")</f>
        <v>http://babel.hathitrust.org/cgi/pt?id=uc1.b276142</v>
      </c>
      <c r="H3793" t="str">
        <f>HYPERLINK("http://catalog.hathitrust.org/Record/006519082")</f>
        <v>http://catalog.hathitrust.org/Record/006519082</v>
      </c>
      <c r="J3793" s="1">
        <v>1892</v>
      </c>
      <c r="K3793" t="s">
        <v>11989</v>
      </c>
      <c r="L3793" t="s">
        <v>11990</v>
      </c>
    </row>
    <row r="3794" spans="1:12">
      <c r="A3794" t="s">
        <v>11991</v>
      </c>
      <c r="B3794" s="1" t="s">
        <v>11988</v>
      </c>
      <c r="F3794">
        <v>1</v>
      </c>
      <c r="G3794" t="str">
        <f>HYPERLINK("http://babel.hathitrust.org/cgi/pt?id=uc2.ark:/13960/t2n58gg8x")</f>
        <v>http://babel.hathitrust.org/cgi/pt?id=uc2.ark:/13960/t2n58gg8x</v>
      </c>
      <c r="H3794" t="str">
        <f>HYPERLINK("http://catalog.hathitrust.org/Record/006519082")</f>
        <v>http://catalog.hathitrust.org/Record/006519082</v>
      </c>
      <c r="J3794" s="1">
        <v>1892</v>
      </c>
      <c r="K3794" t="s">
        <v>11989</v>
      </c>
      <c r="L3794" t="s">
        <v>11990</v>
      </c>
    </row>
    <row r="3795" spans="1:12">
      <c r="A3795" t="s">
        <v>11992</v>
      </c>
      <c r="B3795" s="1" t="s">
        <v>11993</v>
      </c>
      <c r="F3795">
        <v>1</v>
      </c>
      <c r="G3795" t="str">
        <f>HYPERLINK("http://babel.hathitrust.org/cgi/pt?id=uc1.b276145")</f>
        <v>http://babel.hathitrust.org/cgi/pt?id=uc1.b276145</v>
      </c>
      <c r="H3795" t="str">
        <f>HYPERLINK("http://catalog.hathitrust.org/Record/006519084")</f>
        <v>http://catalog.hathitrust.org/Record/006519084</v>
      </c>
      <c r="J3795" s="1">
        <v>1857</v>
      </c>
      <c r="K3795" t="s">
        <v>11994</v>
      </c>
      <c r="L3795" t="s">
        <v>19384</v>
      </c>
    </row>
    <row r="3796" spans="1:12">
      <c r="A3796" t="s">
        <v>11995</v>
      </c>
      <c r="B3796" s="1" t="s">
        <v>11993</v>
      </c>
      <c r="F3796">
        <v>1</v>
      </c>
      <c r="G3796" t="str">
        <f>HYPERLINK("http://babel.hathitrust.org/cgi/pt?id=uc2.ark:/13960/t6542x80w")</f>
        <v>http://babel.hathitrust.org/cgi/pt?id=uc2.ark:/13960/t6542x80w</v>
      </c>
      <c r="H3796" t="str">
        <f>HYPERLINK("http://catalog.hathitrust.org/Record/006519084")</f>
        <v>http://catalog.hathitrust.org/Record/006519084</v>
      </c>
      <c r="J3796" s="1">
        <v>1857</v>
      </c>
      <c r="K3796" t="s">
        <v>11994</v>
      </c>
      <c r="L3796" t="s">
        <v>19384</v>
      </c>
    </row>
    <row r="3797" spans="1:12">
      <c r="A3797" t="s">
        <v>11996</v>
      </c>
      <c r="B3797" s="1" t="s">
        <v>11997</v>
      </c>
      <c r="F3797">
        <v>1</v>
      </c>
      <c r="G3797" t="str">
        <f>HYPERLINK("http://babel.hathitrust.org/cgi/pt?id=uc1.b276155")</f>
        <v>http://babel.hathitrust.org/cgi/pt?id=uc1.b276155</v>
      </c>
      <c r="H3797" t="str">
        <f>HYPERLINK("http://catalog.hathitrust.org/Record/006519091")</f>
        <v>http://catalog.hathitrust.org/Record/006519091</v>
      </c>
      <c r="J3797" s="1">
        <v>1927</v>
      </c>
      <c r="K3797" t="s">
        <v>11998</v>
      </c>
      <c r="L3797" t="s">
        <v>11999</v>
      </c>
    </row>
    <row r="3798" spans="1:12">
      <c r="A3798" t="s">
        <v>12000</v>
      </c>
      <c r="B3798" s="1" t="s">
        <v>12001</v>
      </c>
      <c r="D3798">
        <v>1</v>
      </c>
      <c r="G3798" t="str">
        <f>HYPERLINK("http://babel.hathitrust.org/cgi/pt?id=uc1.b276180")</f>
        <v>http://babel.hathitrust.org/cgi/pt?id=uc1.b276180</v>
      </c>
      <c r="H3798" t="str">
        <f>HYPERLINK("http://catalog.hathitrust.org/Record/006519103")</f>
        <v>http://catalog.hathitrust.org/Record/006519103</v>
      </c>
      <c r="J3798" s="1">
        <v>1907</v>
      </c>
      <c r="K3798" t="s">
        <v>12002</v>
      </c>
      <c r="L3798" t="s">
        <v>19745</v>
      </c>
    </row>
    <row r="3799" spans="1:12">
      <c r="A3799" t="s">
        <v>12003</v>
      </c>
      <c r="B3799" s="1" t="s">
        <v>12001</v>
      </c>
      <c r="F3799">
        <v>1</v>
      </c>
      <c r="G3799" t="str">
        <f>HYPERLINK("http://babel.hathitrust.org/cgi/pt?id=uc2.ark:/13960/t00z73q6n")</f>
        <v>http://babel.hathitrust.org/cgi/pt?id=uc2.ark:/13960/t00z73q6n</v>
      </c>
      <c r="H3799" t="str">
        <f>HYPERLINK("http://catalog.hathitrust.org/Record/006519103")</f>
        <v>http://catalog.hathitrust.org/Record/006519103</v>
      </c>
      <c r="J3799" s="1">
        <v>1907</v>
      </c>
      <c r="K3799" t="s">
        <v>12002</v>
      </c>
      <c r="L3799" t="s">
        <v>19745</v>
      </c>
    </row>
    <row r="3800" spans="1:12">
      <c r="A3800" t="s">
        <v>12004</v>
      </c>
      <c r="B3800" s="1" t="s">
        <v>12005</v>
      </c>
      <c r="F3800">
        <v>1</v>
      </c>
      <c r="G3800" t="str">
        <f>HYPERLINK("http://babel.hathitrust.org/cgi/pt?id=uc2.ark:/13960/t0bv7dn52")</f>
        <v>http://babel.hathitrust.org/cgi/pt?id=uc2.ark:/13960/t0bv7dn52</v>
      </c>
      <c r="H3800" t="str">
        <f>HYPERLINK("http://catalog.hathitrust.org/Record/006519109")</f>
        <v>http://catalog.hathitrust.org/Record/006519109</v>
      </c>
      <c r="J3800" s="1">
        <v>1870</v>
      </c>
      <c r="K3800" t="s">
        <v>12006</v>
      </c>
      <c r="L3800" t="s">
        <v>12007</v>
      </c>
    </row>
    <row r="3801" spans="1:12">
      <c r="A3801" t="s">
        <v>12008</v>
      </c>
      <c r="B3801" s="1" t="s">
        <v>12009</v>
      </c>
      <c r="F3801">
        <v>1</v>
      </c>
      <c r="G3801" t="str">
        <f>HYPERLINK("http://babel.hathitrust.org/cgi/pt?id=uc1.b276198")</f>
        <v>http://babel.hathitrust.org/cgi/pt?id=uc1.b276198</v>
      </c>
      <c r="H3801" t="str">
        <f>HYPERLINK("http://catalog.hathitrust.org/Record/006519110")</f>
        <v>http://catalog.hathitrust.org/Record/006519110</v>
      </c>
      <c r="J3801" s="1">
        <v>1913</v>
      </c>
      <c r="K3801" t="s">
        <v>12010</v>
      </c>
      <c r="L3801" t="s">
        <v>12011</v>
      </c>
    </row>
    <row r="3802" spans="1:12">
      <c r="A3802" t="s">
        <v>12012</v>
      </c>
      <c r="B3802" s="1" t="s">
        <v>12013</v>
      </c>
      <c r="E3802">
        <v>1</v>
      </c>
      <c r="F3802">
        <v>1</v>
      </c>
      <c r="G3802" t="str">
        <f>HYPERLINK("http://babel.hathitrust.org/cgi/pt?id=uc1.b276203")</f>
        <v>http://babel.hathitrust.org/cgi/pt?id=uc1.b276203</v>
      </c>
      <c r="H3802" t="str">
        <f>HYPERLINK("http://catalog.hathitrust.org/Record/006519114")</f>
        <v>http://catalog.hathitrust.org/Record/006519114</v>
      </c>
      <c r="J3802" s="1">
        <v>1906</v>
      </c>
      <c r="K3802" t="s">
        <v>12014</v>
      </c>
      <c r="L3802" t="s">
        <v>12015</v>
      </c>
    </row>
    <row r="3803" spans="1:12">
      <c r="A3803" t="s">
        <v>12016</v>
      </c>
      <c r="B3803" s="1" t="s">
        <v>12013</v>
      </c>
      <c r="F3803">
        <v>1</v>
      </c>
      <c r="G3803" t="str">
        <f>HYPERLINK("http://babel.hathitrust.org/cgi/pt?id=uc2.ark:/13960/t6ww7b46z")</f>
        <v>http://babel.hathitrust.org/cgi/pt?id=uc2.ark:/13960/t6ww7b46z</v>
      </c>
      <c r="H3803" t="str">
        <f>HYPERLINK("http://catalog.hathitrust.org/Record/006519114")</f>
        <v>http://catalog.hathitrust.org/Record/006519114</v>
      </c>
      <c r="J3803" s="1">
        <v>1906</v>
      </c>
      <c r="K3803" t="s">
        <v>12014</v>
      </c>
      <c r="L3803" t="s">
        <v>12015</v>
      </c>
    </row>
    <row r="3804" spans="1:12">
      <c r="A3804" t="s">
        <v>12017</v>
      </c>
      <c r="B3804" s="1" t="s">
        <v>12018</v>
      </c>
      <c r="D3804">
        <v>1</v>
      </c>
      <c r="G3804" t="str">
        <f>HYPERLINK("http://babel.hathitrust.org/cgi/pt?id=uc1.b276210")</f>
        <v>http://babel.hathitrust.org/cgi/pt?id=uc1.b276210</v>
      </c>
      <c r="H3804" t="str">
        <f>HYPERLINK("http://catalog.hathitrust.org/Record/006519118")</f>
        <v>http://catalog.hathitrust.org/Record/006519118</v>
      </c>
      <c r="J3804" s="1">
        <v>1922</v>
      </c>
      <c r="K3804" t="s">
        <v>12019</v>
      </c>
      <c r="L3804" t="s">
        <v>12020</v>
      </c>
    </row>
    <row r="3805" spans="1:12">
      <c r="A3805" t="s">
        <v>12021</v>
      </c>
      <c r="B3805" s="1" t="s">
        <v>12018</v>
      </c>
      <c r="F3805">
        <v>1</v>
      </c>
      <c r="G3805" t="str">
        <f>HYPERLINK("http://babel.hathitrust.org/cgi/pt?id=uc2.ark:/13960/t3kw5bh2k")</f>
        <v>http://babel.hathitrust.org/cgi/pt?id=uc2.ark:/13960/t3kw5bh2k</v>
      </c>
      <c r="H3805" t="str">
        <f>HYPERLINK("http://catalog.hathitrust.org/Record/006519118")</f>
        <v>http://catalog.hathitrust.org/Record/006519118</v>
      </c>
      <c r="J3805" s="1">
        <v>1922</v>
      </c>
      <c r="K3805" t="s">
        <v>12019</v>
      </c>
      <c r="L3805" t="s">
        <v>12020</v>
      </c>
    </row>
    <row r="3806" spans="1:12">
      <c r="A3806" t="s">
        <v>12022</v>
      </c>
      <c r="B3806" s="1" t="s">
        <v>12023</v>
      </c>
      <c r="D3806">
        <v>1</v>
      </c>
      <c r="G3806" t="str">
        <f>HYPERLINK("http://babel.hathitrust.org/cgi/pt?id=uc1.b276211")</f>
        <v>http://babel.hathitrust.org/cgi/pt?id=uc1.b276211</v>
      </c>
      <c r="H3806" t="str">
        <f>HYPERLINK("http://catalog.hathitrust.org/Record/006519119")</f>
        <v>http://catalog.hathitrust.org/Record/006519119</v>
      </c>
      <c r="J3806" s="1">
        <v>1870</v>
      </c>
      <c r="K3806" t="s">
        <v>12024</v>
      </c>
      <c r="L3806" t="s">
        <v>19548</v>
      </c>
    </row>
    <row r="3807" spans="1:12">
      <c r="A3807" t="s">
        <v>12025</v>
      </c>
      <c r="B3807" s="1" t="s">
        <v>12026</v>
      </c>
      <c r="F3807">
        <v>1</v>
      </c>
      <c r="G3807" t="str">
        <f>HYPERLINK("http://babel.hathitrust.org/cgi/pt?id=uc1.b276456")</f>
        <v>http://babel.hathitrust.org/cgi/pt?id=uc1.b276456</v>
      </c>
      <c r="H3807" t="str">
        <f>HYPERLINK("http://catalog.hathitrust.org/Record/006519304")</f>
        <v>http://catalog.hathitrust.org/Record/006519304</v>
      </c>
      <c r="J3807" s="1">
        <v>1931</v>
      </c>
      <c r="K3807" t="s">
        <v>12027</v>
      </c>
      <c r="L3807" t="s">
        <v>12028</v>
      </c>
    </row>
    <row r="3808" spans="1:12">
      <c r="A3808" t="s">
        <v>12029</v>
      </c>
      <c r="B3808" s="1" t="s">
        <v>12030</v>
      </c>
      <c r="F3808">
        <v>1</v>
      </c>
      <c r="G3808" t="str">
        <f>HYPERLINK("http://babel.hathitrust.org/cgi/pt?id=uc1.b276457")</f>
        <v>http://babel.hathitrust.org/cgi/pt?id=uc1.b276457</v>
      </c>
      <c r="H3808" t="str">
        <f>HYPERLINK("http://catalog.hathitrust.org/Record/006519305")</f>
        <v>http://catalog.hathitrust.org/Record/006519305</v>
      </c>
      <c r="J3808" s="1">
        <v>1935</v>
      </c>
      <c r="K3808" t="s">
        <v>12031</v>
      </c>
      <c r="L3808" t="s">
        <v>12028</v>
      </c>
    </row>
    <row r="3809" spans="1:12">
      <c r="A3809" t="s">
        <v>12032</v>
      </c>
      <c r="B3809" s="1" t="s">
        <v>12033</v>
      </c>
      <c r="F3809">
        <v>1</v>
      </c>
      <c r="G3809" t="str">
        <f>HYPERLINK("http://babel.hathitrust.org/cgi/pt?id=uc1.b278494")</f>
        <v>http://babel.hathitrust.org/cgi/pt?id=uc1.b278494</v>
      </c>
      <c r="H3809" t="str">
        <f>HYPERLINK("http://catalog.hathitrust.org/Record/006520667")</f>
        <v>http://catalog.hathitrust.org/Record/006520667</v>
      </c>
      <c r="J3809" s="1">
        <v>1886</v>
      </c>
      <c r="K3809" t="s">
        <v>12034</v>
      </c>
      <c r="L3809" t="s">
        <v>12035</v>
      </c>
    </row>
    <row r="3810" spans="1:12">
      <c r="A3810" t="s">
        <v>11920</v>
      </c>
      <c r="B3810" s="1" t="s">
        <v>12033</v>
      </c>
      <c r="F3810">
        <v>1</v>
      </c>
      <c r="G3810" t="str">
        <f>HYPERLINK("http://babel.hathitrust.org/cgi/pt?id=uc2.ark:/13960/t46q1wk55")</f>
        <v>http://babel.hathitrust.org/cgi/pt?id=uc2.ark:/13960/t46q1wk55</v>
      </c>
      <c r="H3810" t="str">
        <f>HYPERLINK("http://catalog.hathitrust.org/Record/006520667")</f>
        <v>http://catalog.hathitrust.org/Record/006520667</v>
      </c>
      <c r="J3810" s="1">
        <v>1886</v>
      </c>
      <c r="K3810" t="s">
        <v>12034</v>
      </c>
      <c r="L3810" t="s">
        <v>12035</v>
      </c>
    </row>
    <row r="3811" spans="1:12">
      <c r="A3811" t="s">
        <v>11921</v>
      </c>
      <c r="B3811" s="1" t="s">
        <v>11922</v>
      </c>
      <c r="F3811">
        <v>1</v>
      </c>
      <c r="G3811" t="str">
        <f>HYPERLINK("http://babel.hathitrust.org/cgi/pt?id=uc1.b280054")</f>
        <v>http://babel.hathitrust.org/cgi/pt?id=uc1.b280054</v>
      </c>
      <c r="H3811" t="str">
        <f>HYPERLINK("http://catalog.hathitrust.org/Record/006521622")</f>
        <v>http://catalog.hathitrust.org/Record/006521622</v>
      </c>
      <c r="J3811" s="1">
        <v>1910</v>
      </c>
      <c r="K3811" t="s">
        <v>11923</v>
      </c>
      <c r="L3811" t="s">
        <v>19710</v>
      </c>
    </row>
    <row r="3812" spans="1:12">
      <c r="A3812" t="s">
        <v>11924</v>
      </c>
      <c r="B3812" s="1" t="s">
        <v>11925</v>
      </c>
      <c r="F3812">
        <v>1</v>
      </c>
      <c r="G3812" t="str">
        <f>HYPERLINK("http://babel.hathitrust.org/cgi/pt?id=uc1.b286835")</f>
        <v>http://babel.hathitrust.org/cgi/pt?id=uc1.b286835</v>
      </c>
      <c r="H3812" t="str">
        <f>HYPERLINK("http://catalog.hathitrust.org/Record/006525675")</f>
        <v>http://catalog.hathitrust.org/Record/006525675</v>
      </c>
      <c r="I3812" s="1" t="s">
        <v>20183</v>
      </c>
      <c r="J3812" s="1">
        <v>1895</v>
      </c>
      <c r="K3812" t="s">
        <v>11926</v>
      </c>
      <c r="L3812" t="s">
        <v>11927</v>
      </c>
    </row>
    <row r="3813" spans="1:12">
      <c r="A3813" t="s">
        <v>11928</v>
      </c>
      <c r="B3813" s="1" t="s">
        <v>11929</v>
      </c>
      <c r="E3813">
        <v>1</v>
      </c>
      <c r="G3813" t="str">
        <f>HYPERLINK("http://babel.hathitrust.org/cgi/pt?id=uc1.b287380")</f>
        <v>http://babel.hathitrust.org/cgi/pt?id=uc1.b287380</v>
      </c>
      <c r="H3813" t="str">
        <f>HYPERLINK("http://catalog.hathitrust.org/Record/006525937")</f>
        <v>http://catalog.hathitrust.org/Record/006525937</v>
      </c>
      <c r="J3813" s="1">
        <v>1880</v>
      </c>
      <c r="K3813" t="s">
        <v>14720</v>
      </c>
      <c r="L3813" t="s">
        <v>17875</v>
      </c>
    </row>
    <row r="3814" spans="1:12">
      <c r="A3814" t="s">
        <v>11930</v>
      </c>
      <c r="B3814" s="1" t="s">
        <v>11931</v>
      </c>
      <c r="E3814">
        <v>1</v>
      </c>
      <c r="G3814" t="str">
        <f>HYPERLINK("http://babel.hathitrust.org/cgi/pt?id=uc1.b287382")</f>
        <v>http://babel.hathitrust.org/cgi/pt?id=uc1.b287382</v>
      </c>
      <c r="H3814" t="str">
        <f>HYPERLINK("http://catalog.hathitrust.org/Record/006525938")</f>
        <v>http://catalog.hathitrust.org/Record/006525938</v>
      </c>
      <c r="J3814" s="1">
        <v>1896</v>
      </c>
      <c r="K3814" t="s">
        <v>11932</v>
      </c>
      <c r="L3814" t="s">
        <v>17875</v>
      </c>
    </row>
    <row r="3815" spans="1:12">
      <c r="A3815" t="s">
        <v>11933</v>
      </c>
      <c r="B3815" s="1" t="s">
        <v>11934</v>
      </c>
      <c r="F3815">
        <v>1</v>
      </c>
      <c r="G3815" t="str">
        <f>HYPERLINK("http://babel.hathitrust.org/cgi/pt?id=uc1.b291096")</f>
        <v>http://babel.hathitrust.org/cgi/pt?id=uc1.b291096</v>
      </c>
      <c r="H3815" t="str">
        <f>HYPERLINK("http://catalog.hathitrust.org/Record/006528024")</f>
        <v>http://catalog.hathitrust.org/Record/006528024</v>
      </c>
      <c r="I3815" s="1" t="s">
        <v>20916</v>
      </c>
      <c r="J3815" s="1">
        <v>1911</v>
      </c>
      <c r="K3815" t="s">
        <v>11935</v>
      </c>
      <c r="L3815" t="s">
        <v>11936</v>
      </c>
    </row>
    <row r="3816" spans="1:12">
      <c r="A3816" t="s">
        <v>11937</v>
      </c>
      <c r="B3816" s="1" t="s">
        <v>11934</v>
      </c>
      <c r="F3816">
        <v>1</v>
      </c>
      <c r="G3816" t="str">
        <f>HYPERLINK("http://babel.hathitrust.org/cgi/pt?id=uc1.b291097")</f>
        <v>http://babel.hathitrust.org/cgi/pt?id=uc1.b291097</v>
      </c>
      <c r="H3816" t="str">
        <f>HYPERLINK("http://catalog.hathitrust.org/Record/006528024")</f>
        <v>http://catalog.hathitrust.org/Record/006528024</v>
      </c>
      <c r="I3816" s="1" t="s">
        <v>20755</v>
      </c>
      <c r="J3816" s="1">
        <v>1911</v>
      </c>
      <c r="K3816" t="s">
        <v>11935</v>
      </c>
      <c r="L3816" t="s">
        <v>11936</v>
      </c>
    </row>
    <row r="3817" spans="1:12">
      <c r="A3817" t="s">
        <v>11938</v>
      </c>
      <c r="B3817" s="1" t="s">
        <v>11939</v>
      </c>
      <c r="F3817">
        <v>1</v>
      </c>
      <c r="G3817" t="str">
        <f>HYPERLINK("http://babel.hathitrust.org/cgi/pt?id=uc1.b293474")</f>
        <v>http://babel.hathitrust.org/cgi/pt?id=uc1.b293474</v>
      </c>
      <c r="H3817" t="str">
        <f>HYPERLINK("http://catalog.hathitrust.org/Record/006529603")</f>
        <v>http://catalog.hathitrust.org/Record/006529603</v>
      </c>
      <c r="J3817" s="1">
        <v>1922</v>
      </c>
      <c r="K3817" t="s">
        <v>11940</v>
      </c>
      <c r="L3817" t="s">
        <v>20193</v>
      </c>
    </row>
    <row r="3818" spans="1:12">
      <c r="A3818" t="s">
        <v>11941</v>
      </c>
      <c r="B3818" s="1" t="s">
        <v>11939</v>
      </c>
      <c r="F3818">
        <v>1</v>
      </c>
      <c r="G3818" t="str">
        <f>HYPERLINK("http://babel.hathitrust.org/cgi/pt?id=uc2.ark:/13960/t25b0282q")</f>
        <v>http://babel.hathitrust.org/cgi/pt?id=uc2.ark:/13960/t25b0282q</v>
      </c>
      <c r="H3818" t="str">
        <f>HYPERLINK("http://catalog.hathitrust.org/Record/006529603")</f>
        <v>http://catalog.hathitrust.org/Record/006529603</v>
      </c>
      <c r="J3818" s="1">
        <v>1922</v>
      </c>
      <c r="K3818" t="s">
        <v>11940</v>
      </c>
      <c r="L3818" t="s">
        <v>20193</v>
      </c>
    </row>
    <row r="3819" spans="1:12">
      <c r="A3819" t="s">
        <v>11942</v>
      </c>
      <c r="B3819" s="1" t="s">
        <v>11943</v>
      </c>
      <c r="F3819">
        <v>1</v>
      </c>
      <c r="G3819" t="str">
        <f>HYPERLINK("http://babel.hathitrust.org/cgi/pt?id=uc1.b293517")</f>
        <v>http://babel.hathitrust.org/cgi/pt?id=uc1.b293517</v>
      </c>
      <c r="H3819" t="str">
        <f>HYPERLINK("http://catalog.hathitrust.org/Record/006529632")</f>
        <v>http://catalog.hathitrust.org/Record/006529632</v>
      </c>
      <c r="J3819" s="1">
        <v>1855</v>
      </c>
      <c r="K3819" t="s">
        <v>11944</v>
      </c>
      <c r="L3819" t="s">
        <v>11945</v>
      </c>
    </row>
    <row r="3820" spans="1:12">
      <c r="A3820" t="s">
        <v>11946</v>
      </c>
      <c r="B3820" s="1" t="s">
        <v>11943</v>
      </c>
      <c r="F3820">
        <v>1</v>
      </c>
      <c r="G3820" t="str">
        <f>HYPERLINK("http://babel.hathitrust.org/cgi/pt?id=uc2.ark:/13960/t6154j61s")</f>
        <v>http://babel.hathitrust.org/cgi/pt?id=uc2.ark:/13960/t6154j61s</v>
      </c>
      <c r="H3820" t="str">
        <f>HYPERLINK("http://catalog.hathitrust.org/Record/006529632")</f>
        <v>http://catalog.hathitrust.org/Record/006529632</v>
      </c>
      <c r="J3820" s="1">
        <v>1855</v>
      </c>
      <c r="K3820" t="s">
        <v>11944</v>
      </c>
      <c r="L3820" t="s">
        <v>11945</v>
      </c>
    </row>
    <row r="3821" spans="1:12">
      <c r="A3821" t="s">
        <v>11947</v>
      </c>
      <c r="B3821" s="1" t="s">
        <v>11948</v>
      </c>
      <c r="F3821">
        <v>1</v>
      </c>
      <c r="G3821" t="str">
        <f>HYPERLINK("http://babel.hathitrust.org/cgi/pt?id=uc1.b293521")</f>
        <v>http://babel.hathitrust.org/cgi/pt?id=uc1.b293521</v>
      </c>
      <c r="H3821" t="str">
        <f>HYPERLINK("http://catalog.hathitrust.org/Record/006529635")</f>
        <v>http://catalog.hathitrust.org/Record/006529635</v>
      </c>
      <c r="J3821" s="1">
        <v>1898</v>
      </c>
      <c r="K3821" t="s">
        <v>11949</v>
      </c>
      <c r="L3821" t="s">
        <v>11950</v>
      </c>
    </row>
    <row r="3822" spans="1:12">
      <c r="A3822" t="s">
        <v>11951</v>
      </c>
      <c r="B3822" s="1" t="s">
        <v>11948</v>
      </c>
      <c r="F3822">
        <v>1</v>
      </c>
      <c r="G3822" t="str">
        <f>HYPERLINK("http://babel.hathitrust.org/cgi/pt?id=uc2.ark:/13960/t0qr4rr87")</f>
        <v>http://babel.hathitrust.org/cgi/pt?id=uc2.ark:/13960/t0qr4rr87</v>
      </c>
      <c r="H3822" t="str">
        <f>HYPERLINK("http://catalog.hathitrust.org/Record/006529635")</f>
        <v>http://catalog.hathitrust.org/Record/006529635</v>
      </c>
      <c r="J3822" s="1">
        <v>1898</v>
      </c>
      <c r="K3822" t="s">
        <v>11949</v>
      </c>
      <c r="L3822" t="s">
        <v>11950</v>
      </c>
    </row>
    <row r="3823" spans="1:12">
      <c r="A3823" t="s">
        <v>11952</v>
      </c>
      <c r="B3823" s="1" t="s">
        <v>11953</v>
      </c>
      <c r="F3823">
        <v>1</v>
      </c>
      <c r="G3823" t="str">
        <f>HYPERLINK("http://babel.hathitrust.org/cgi/pt?id=uc1.b293524")</f>
        <v>http://babel.hathitrust.org/cgi/pt?id=uc1.b293524</v>
      </c>
      <c r="H3823" t="str">
        <f>HYPERLINK("http://catalog.hathitrust.org/Record/006529636")</f>
        <v>http://catalog.hathitrust.org/Record/006529636</v>
      </c>
      <c r="J3823" s="1">
        <v>1846</v>
      </c>
      <c r="K3823" t="s">
        <v>11954</v>
      </c>
      <c r="L3823" t="s">
        <v>11955</v>
      </c>
    </row>
    <row r="3824" spans="1:12">
      <c r="A3824" t="s">
        <v>11956</v>
      </c>
      <c r="B3824" s="1" t="s">
        <v>11953</v>
      </c>
      <c r="F3824">
        <v>1</v>
      </c>
      <c r="G3824" t="str">
        <f>HYPERLINK("http://babel.hathitrust.org/cgi/pt?id=uc2.ark:/13960/t13n23j92")</f>
        <v>http://babel.hathitrust.org/cgi/pt?id=uc2.ark:/13960/t13n23j92</v>
      </c>
      <c r="H3824" t="str">
        <f>HYPERLINK("http://catalog.hathitrust.org/Record/006529636")</f>
        <v>http://catalog.hathitrust.org/Record/006529636</v>
      </c>
      <c r="J3824" s="1">
        <v>1846</v>
      </c>
      <c r="K3824" t="s">
        <v>11954</v>
      </c>
      <c r="L3824" t="s">
        <v>11955</v>
      </c>
    </row>
    <row r="3825" spans="1:12">
      <c r="A3825" t="s">
        <v>11957</v>
      </c>
      <c r="B3825" s="1" t="s">
        <v>11958</v>
      </c>
      <c r="F3825">
        <v>1</v>
      </c>
      <c r="G3825" t="str">
        <f>HYPERLINK("http://babel.hathitrust.org/cgi/pt?id=uc1.b293550")</f>
        <v>http://babel.hathitrust.org/cgi/pt?id=uc1.b293550</v>
      </c>
      <c r="H3825" t="str">
        <f>HYPERLINK("http://catalog.hathitrust.org/Record/006529649")</f>
        <v>http://catalog.hathitrust.org/Record/006529649</v>
      </c>
      <c r="J3825" s="1">
        <v>1895</v>
      </c>
      <c r="K3825" t="s">
        <v>11959</v>
      </c>
      <c r="L3825" t="s">
        <v>20831</v>
      </c>
    </row>
    <row r="3826" spans="1:12">
      <c r="A3826" t="s">
        <v>11960</v>
      </c>
      <c r="B3826" s="1" t="s">
        <v>11961</v>
      </c>
      <c r="F3826">
        <v>1</v>
      </c>
      <c r="G3826" t="str">
        <f>HYPERLINK("http://babel.hathitrust.org/cgi/pt?id=hvd.hx523b")</f>
        <v>http://babel.hathitrust.org/cgi/pt?id=hvd.hx523b</v>
      </c>
      <c r="H3826" t="str">
        <f>HYPERLINK("http://catalog.hathitrust.org/Record/006531024")</f>
        <v>http://catalog.hathitrust.org/Record/006531024</v>
      </c>
      <c r="J3826" s="1">
        <v>1846</v>
      </c>
      <c r="K3826" t="s">
        <v>11962</v>
      </c>
      <c r="L3826" t="s">
        <v>19514</v>
      </c>
    </row>
    <row r="3827" spans="1:12">
      <c r="A3827" t="s">
        <v>11963</v>
      </c>
      <c r="B3827" s="1" t="s">
        <v>11961</v>
      </c>
      <c r="F3827">
        <v>1</v>
      </c>
      <c r="G3827" t="str">
        <f>HYPERLINK("http://babel.hathitrust.org/cgi/pt?id=uc1.b296116")</f>
        <v>http://babel.hathitrust.org/cgi/pt?id=uc1.b296116</v>
      </c>
      <c r="H3827" t="str">
        <f>HYPERLINK("http://catalog.hathitrust.org/Record/006531024")</f>
        <v>http://catalog.hathitrust.org/Record/006531024</v>
      </c>
      <c r="J3827" s="1">
        <v>1846</v>
      </c>
      <c r="K3827" t="s">
        <v>11962</v>
      </c>
      <c r="L3827" t="s">
        <v>19514</v>
      </c>
    </row>
    <row r="3828" spans="1:12">
      <c r="A3828" t="s">
        <v>11964</v>
      </c>
      <c r="B3828" s="1" t="s">
        <v>11961</v>
      </c>
      <c r="F3828">
        <v>1</v>
      </c>
      <c r="G3828" t="str">
        <f>HYPERLINK("http://babel.hathitrust.org/cgi/pt?id=uc2.ark:/13960/t41r6rh1c")</f>
        <v>http://babel.hathitrust.org/cgi/pt?id=uc2.ark:/13960/t41r6rh1c</v>
      </c>
      <c r="H3828" t="str">
        <f>HYPERLINK("http://catalog.hathitrust.org/Record/006531024")</f>
        <v>http://catalog.hathitrust.org/Record/006531024</v>
      </c>
      <c r="J3828" s="1">
        <v>1846</v>
      </c>
      <c r="K3828" t="s">
        <v>11962</v>
      </c>
      <c r="L3828" t="s">
        <v>19514</v>
      </c>
    </row>
    <row r="3829" spans="1:12">
      <c r="A3829" t="s">
        <v>11965</v>
      </c>
      <c r="B3829" s="1" t="s">
        <v>11966</v>
      </c>
      <c r="F3829">
        <v>1</v>
      </c>
      <c r="G3829" t="str">
        <f>HYPERLINK("http://babel.hathitrust.org/cgi/pt?id=uc1.b296403")</f>
        <v>http://babel.hathitrust.org/cgi/pt?id=uc1.b296403</v>
      </c>
      <c r="H3829" t="str">
        <f>HYPERLINK("http://catalog.hathitrust.org/Record/006531160")</f>
        <v>http://catalog.hathitrust.org/Record/006531160</v>
      </c>
      <c r="I3829" s="1" t="s">
        <v>20796</v>
      </c>
      <c r="J3829" s="1">
        <v>1867</v>
      </c>
      <c r="K3829" t="s">
        <v>11967</v>
      </c>
      <c r="L3829" t="s">
        <v>11968</v>
      </c>
    </row>
    <row r="3830" spans="1:12">
      <c r="A3830" t="s">
        <v>11969</v>
      </c>
      <c r="B3830" s="1" t="s">
        <v>11966</v>
      </c>
      <c r="F3830">
        <v>1</v>
      </c>
      <c r="G3830" t="str">
        <f>HYPERLINK("http://babel.hathitrust.org/cgi/pt?id=uc1.b296404")</f>
        <v>http://babel.hathitrust.org/cgi/pt?id=uc1.b296404</v>
      </c>
      <c r="H3830" t="str">
        <f>HYPERLINK("http://catalog.hathitrust.org/Record/006531160")</f>
        <v>http://catalog.hathitrust.org/Record/006531160</v>
      </c>
      <c r="I3830" s="1" t="s">
        <v>20799</v>
      </c>
      <c r="J3830" s="1">
        <v>1867</v>
      </c>
      <c r="K3830" t="s">
        <v>11967</v>
      </c>
      <c r="L3830" t="s">
        <v>11968</v>
      </c>
    </row>
    <row r="3831" spans="1:12">
      <c r="A3831" t="s">
        <v>11970</v>
      </c>
      <c r="B3831" s="1" t="s">
        <v>11971</v>
      </c>
      <c r="F3831">
        <v>1</v>
      </c>
      <c r="G3831" t="str">
        <f>HYPERLINK("http://babel.hathitrust.org/cgi/pt?id=uc1.b298046")</f>
        <v>http://babel.hathitrust.org/cgi/pt?id=uc1.b298046</v>
      </c>
      <c r="H3831" t="str">
        <f>HYPERLINK("http://catalog.hathitrust.org/Record/006532135")</f>
        <v>http://catalog.hathitrust.org/Record/006532135</v>
      </c>
      <c r="J3831" s="1">
        <v>1908</v>
      </c>
      <c r="K3831" t="s">
        <v>11972</v>
      </c>
      <c r="L3831" t="s">
        <v>15843</v>
      </c>
    </row>
    <row r="3832" spans="1:12">
      <c r="A3832" t="s">
        <v>11973</v>
      </c>
      <c r="B3832" s="1" t="s">
        <v>11971</v>
      </c>
      <c r="F3832">
        <v>1</v>
      </c>
      <c r="G3832" t="str">
        <f>HYPERLINK("http://babel.hathitrust.org/cgi/pt?id=uc2.ark:/13960/t1ng4m00r")</f>
        <v>http://babel.hathitrust.org/cgi/pt?id=uc2.ark:/13960/t1ng4m00r</v>
      </c>
      <c r="H3832" t="str">
        <f>HYPERLINK("http://catalog.hathitrust.org/Record/006532135")</f>
        <v>http://catalog.hathitrust.org/Record/006532135</v>
      </c>
      <c r="J3832" s="1">
        <v>1908</v>
      </c>
      <c r="K3832" t="s">
        <v>11972</v>
      </c>
      <c r="L3832" t="s">
        <v>15843</v>
      </c>
    </row>
    <row r="3833" spans="1:12">
      <c r="A3833" t="s">
        <v>11974</v>
      </c>
      <c r="B3833" s="1" t="s">
        <v>11975</v>
      </c>
      <c r="E3833">
        <v>1</v>
      </c>
      <c r="F3833">
        <v>1</v>
      </c>
      <c r="G3833" t="str">
        <f>HYPERLINK("http://babel.hathitrust.org/cgi/pt?id=hvd.32044011743028")</f>
        <v>http://babel.hathitrust.org/cgi/pt?id=hvd.32044011743028</v>
      </c>
      <c r="H3833" t="str">
        <f>HYPERLINK("http://catalog.hathitrust.org/Record/006532149")</f>
        <v>http://catalog.hathitrust.org/Record/006532149</v>
      </c>
      <c r="J3833" s="1">
        <v>1845</v>
      </c>
      <c r="K3833" t="s">
        <v>11859</v>
      </c>
      <c r="L3833" t="s">
        <v>17631</v>
      </c>
    </row>
    <row r="3834" spans="1:12">
      <c r="A3834" t="s">
        <v>11860</v>
      </c>
      <c r="B3834" s="1" t="s">
        <v>11975</v>
      </c>
      <c r="F3834">
        <v>1</v>
      </c>
      <c r="G3834" t="str">
        <f>HYPERLINK("http://babel.hathitrust.org/cgi/pt?id=loc.ark:/13960/t3jw8zt4v")</f>
        <v>http://babel.hathitrust.org/cgi/pt?id=loc.ark:/13960/t3jw8zt4v</v>
      </c>
      <c r="H3834" t="str">
        <f>HYPERLINK("http://catalog.hathitrust.org/Record/006532149")</f>
        <v>http://catalog.hathitrust.org/Record/006532149</v>
      </c>
      <c r="J3834" s="1">
        <v>1845</v>
      </c>
      <c r="K3834" t="s">
        <v>11859</v>
      </c>
      <c r="L3834" t="s">
        <v>17631</v>
      </c>
    </row>
    <row r="3835" spans="1:12">
      <c r="A3835" t="s">
        <v>11861</v>
      </c>
      <c r="B3835" s="1" t="s">
        <v>11975</v>
      </c>
      <c r="F3835">
        <v>1</v>
      </c>
      <c r="G3835" t="str">
        <f>HYPERLINK("http://babel.hathitrust.org/cgi/pt?id=nyp.33433074840152")</f>
        <v>http://babel.hathitrust.org/cgi/pt?id=nyp.33433074840152</v>
      </c>
      <c r="H3835" t="str">
        <f>HYPERLINK("http://catalog.hathitrust.org/Record/006532149")</f>
        <v>http://catalog.hathitrust.org/Record/006532149</v>
      </c>
      <c r="J3835" s="1">
        <v>1845</v>
      </c>
      <c r="K3835" t="s">
        <v>11859</v>
      </c>
      <c r="L3835" t="s">
        <v>17631</v>
      </c>
    </row>
    <row r="3836" spans="1:12">
      <c r="A3836" t="s">
        <v>11862</v>
      </c>
      <c r="B3836" s="1" t="s">
        <v>11975</v>
      </c>
      <c r="F3836">
        <v>1</v>
      </c>
      <c r="G3836" t="str">
        <f>HYPERLINK("http://babel.hathitrust.org/cgi/pt?id=uc1.b298070")</f>
        <v>http://babel.hathitrust.org/cgi/pt?id=uc1.b298070</v>
      </c>
      <c r="H3836" t="str">
        <f>HYPERLINK("http://catalog.hathitrust.org/Record/006532149")</f>
        <v>http://catalog.hathitrust.org/Record/006532149</v>
      </c>
      <c r="J3836" s="1">
        <v>1845</v>
      </c>
      <c r="K3836" t="s">
        <v>11859</v>
      </c>
      <c r="L3836" t="s">
        <v>17631</v>
      </c>
    </row>
    <row r="3837" spans="1:12">
      <c r="A3837" t="s">
        <v>11863</v>
      </c>
      <c r="B3837" s="1" t="s">
        <v>11975</v>
      </c>
      <c r="F3837">
        <v>1</v>
      </c>
      <c r="G3837" t="str">
        <f>HYPERLINK("http://babel.hathitrust.org/cgi/pt?id=uc2.ark:/13960/t4vh5gx8g")</f>
        <v>http://babel.hathitrust.org/cgi/pt?id=uc2.ark:/13960/t4vh5gx8g</v>
      </c>
      <c r="H3837" t="str">
        <f>HYPERLINK("http://catalog.hathitrust.org/Record/006532149")</f>
        <v>http://catalog.hathitrust.org/Record/006532149</v>
      </c>
      <c r="J3837" s="1">
        <v>1845</v>
      </c>
      <c r="K3837" t="s">
        <v>11859</v>
      </c>
      <c r="L3837" t="s">
        <v>17631</v>
      </c>
    </row>
    <row r="3838" spans="1:12">
      <c r="A3838" t="s">
        <v>11864</v>
      </c>
      <c r="B3838" s="1" t="s">
        <v>11865</v>
      </c>
      <c r="F3838">
        <v>1</v>
      </c>
      <c r="G3838" t="str">
        <f>HYPERLINK("http://babel.hathitrust.org/cgi/pt?id=uc1.b298083")</f>
        <v>http://babel.hathitrust.org/cgi/pt?id=uc1.b298083</v>
      </c>
      <c r="H3838" t="str">
        <f>HYPERLINK("http://catalog.hathitrust.org/Record/006532157")</f>
        <v>http://catalog.hathitrust.org/Record/006532157</v>
      </c>
      <c r="J3838" s="1">
        <v>1910</v>
      </c>
      <c r="K3838" t="s">
        <v>11866</v>
      </c>
      <c r="L3838" t="s">
        <v>21003</v>
      </c>
    </row>
    <row r="3839" spans="1:12">
      <c r="A3839" t="s">
        <v>11867</v>
      </c>
      <c r="B3839" s="1" t="s">
        <v>11868</v>
      </c>
      <c r="D3839">
        <v>1</v>
      </c>
      <c r="G3839" t="str">
        <f>HYPERLINK("http://babel.hathitrust.org/cgi/pt?id=uc1.32106001575882")</f>
        <v>http://babel.hathitrust.org/cgi/pt?id=uc1.32106001575882</v>
      </c>
      <c r="H3839" t="str">
        <f>HYPERLINK("http://catalog.hathitrust.org/Record/006532162")</f>
        <v>http://catalog.hathitrust.org/Record/006532162</v>
      </c>
      <c r="J3839" s="1">
        <v>1929</v>
      </c>
      <c r="K3839" t="s">
        <v>16226</v>
      </c>
      <c r="L3839" t="s">
        <v>19745</v>
      </c>
    </row>
    <row r="3840" spans="1:12">
      <c r="A3840" t="s">
        <v>11869</v>
      </c>
      <c r="B3840" s="1" t="s">
        <v>11868</v>
      </c>
      <c r="F3840">
        <v>1</v>
      </c>
      <c r="G3840" t="str">
        <f>HYPERLINK("http://babel.hathitrust.org/cgi/pt?id=uc1.b298091")</f>
        <v>http://babel.hathitrust.org/cgi/pt?id=uc1.b298091</v>
      </c>
      <c r="H3840" t="str">
        <f>HYPERLINK("http://catalog.hathitrust.org/Record/006532162")</f>
        <v>http://catalog.hathitrust.org/Record/006532162</v>
      </c>
      <c r="J3840" s="1">
        <v>1929</v>
      </c>
      <c r="K3840" t="s">
        <v>16226</v>
      </c>
      <c r="L3840" t="s">
        <v>19745</v>
      </c>
    </row>
    <row r="3841" spans="1:12">
      <c r="A3841" t="s">
        <v>11870</v>
      </c>
      <c r="B3841" s="1" t="s">
        <v>11871</v>
      </c>
      <c r="D3841">
        <v>1</v>
      </c>
      <c r="G3841" t="str">
        <f>HYPERLINK("http://babel.hathitrust.org/cgi/pt?id=uc1.b298092")</f>
        <v>http://babel.hathitrust.org/cgi/pt?id=uc1.b298092</v>
      </c>
      <c r="H3841" t="str">
        <f>HYPERLINK("http://catalog.hathitrust.org/Record/006532163")</f>
        <v>http://catalog.hathitrust.org/Record/006532163</v>
      </c>
      <c r="J3841" s="1">
        <v>1878</v>
      </c>
      <c r="K3841" t="s">
        <v>19543</v>
      </c>
      <c r="L3841" t="s">
        <v>11872</v>
      </c>
    </row>
    <row r="3842" spans="1:12">
      <c r="A3842" t="s">
        <v>11873</v>
      </c>
      <c r="B3842" s="1" t="s">
        <v>11871</v>
      </c>
      <c r="F3842">
        <v>1</v>
      </c>
      <c r="G3842" t="str">
        <f>HYPERLINK("http://babel.hathitrust.org/cgi/pt?id=uc2.ark:/13960/t8x92563f")</f>
        <v>http://babel.hathitrust.org/cgi/pt?id=uc2.ark:/13960/t8x92563f</v>
      </c>
      <c r="H3842" t="str">
        <f>HYPERLINK("http://catalog.hathitrust.org/Record/006532163")</f>
        <v>http://catalog.hathitrust.org/Record/006532163</v>
      </c>
      <c r="J3842" s="1">
        <v>1878</v>
      </c>
      <c r="K3842" t="s">
        <v>19543</v>
      </c>
      <c r="L3842" t="s">
        <v>11872</v>
      </c>
    </row>
    <row r="3843" spans="1:12">
      <c r="A3843" t="s">
        <v>11874</v>
      </c>
      <c r="B3843" s="1" t="s">
        <v>11875</v>
      </c>
      <c r="F3843">
        <v>1</v>
      </c>
      <c r="G3843" t="str">
        <f>HYPERLINK("http://babel.hathitrust.org/cgi/pt?id=uc1.b301257")</f>
        <v>http://babel.hathitrust.org/cgi/pt?id=uc1.b301257</v>
      </c>
      <c r="H3843" t="str">
        <f>HYPERLINK("http://catalog.hathitrust.org/Record/006534284")</f>
        <v>http://catalog.hathitrust.org/Record/006534284</v>
      </c>
      <c r="J3843" s="1">
        <v>1919</v>
      </c>
      <c r="K3843" t="s">
        <v>11876</v>
      </c>
      <c r="L3843" t="s">
        <v>11877</v>
      </c>
    </row>
    <row r="3844" spans="1:12">
      <c r="A3844" t="s">
        <v>11878</v>
      </c>
      <c r="B3844" s="1" t="s">
        <v>11875</v>
      </c>
      <c r="F3844">
        <v>1</v>
      </c>
      <c r="G3844" t="str">
        <f>HYPERLINK("http://babel.hathitrust.org/cgi/pt?id=uc2.ark:/13960/t5k934r9j")</f>
        <v>http://babel.hathitrust.org/cgi/pt?id=uc2.ark:/13960/t5k934r9j</v>
      </c>
      <c r="H3844" t="str">
        <f>HYPERLINK("http://catalog.hathitrust.org/Record/006534284")</f>
        <v>http://catalog.hathitrust.org/Record/006534284</v>
      </c>
      <c r="J3844" s="1">
        <v>1919</v>
      </c>
      <c r="K3844" t="s">
        <v>11876</v>
      </c>
      <c r="L3844" t="s">
        <v>11877</v>
      </c>
    </row>
    <row r="3845" spans="1:12">
      <c r="A3845" t="s">
        <v>11879</v>
      </c>
      <c r="B3845" s="1" t="s">
        <v>11880</v>
      </c>
      <c r="F3845">
        <v>1</v>
      </c>
      <c r="G3845" t="str">
        <f>HYPERLINK("http://babel.hathitrust.org/cgi/pt?id=uc1.b302948")</f>
        <v>http://babel.hathitrust.org/cgi/pt?id=uc1.b302948</v>
      </c>
      <c r="H3845" t="str">
        <f>HYPERLINK("http://catalog.hathitrust.org/Record/006535258")</f>
        <v>http://catalog.hathitrust.org/Record/006535258</v>
      </c>
      <c r="J3845" s="1">
        <v>1924</v>
      </c>
      <c r="K3845" t="s">
        <v>11881</v>
      </c>
      <c r="L3845" t="s">
        <v>11882</v>
      </c>
    </row>
    <row r="3846" spans="1:12">
      <c r="A3846" t="s">
        <v>11883</v>
      </c>
      <c r="B3846" s="1" t="s">
        <v>11884</v>
      </c>
      <c r="F3846">
        <v>1</v>
      </c>
      <c r="G3846" t="str">
        <f>HYPERLINK("http://babel.hathitrust.org/cgi/pt?id=uc1.b305361")</f>
        <v>http://babel.hathitrust.org/cgi/pt?id=uc1.b305361</v>
      </c>
      <c r="H3846" t="str">
        <f>HYPERLINK("http://catalog.hathitrust.org/Record/006536843")</f>
        <v>http://catalog.hathitrust.org/Record/006536843</v>
      </c>
      <c r="J3846" s="1">
        <v>1913</v>
      </c>
      <c r="K3846" t="s">
        <v>11885</v>
      </c>
      <c r="L3846" t="s">
        <v>11886</v>
      </c>
    </row>
    <row r="3847" spans="1:12">
      <c r="A3847" t="s">
        <v>11887</v>
      </c>
      <c r="B3847" s="1" t="s">
        <v>11888</v>
      </c>
      <c r="F3847">
        <v>1</v>
      </c>
      <c r="G3847" t="str">
        <f>HYPERLINK("http://babel.hathitrust.org/cgi/pt?id=uc1.b305362")</f>
        <v>http://babel.hathitrust.org/cgi/pt?id=uc1.b305362</v>
      </c>
      <c r="H3847" t="str">
        <f>HYPERLINK("http://catalog.hathitrust.org/Record/006536844")</f>
        <v>http://catalog.hathitrust.org/Record/006536844</v>
      </c>
      <c r="J3847" s="1">
        <v>1924</v>
      </c>
      <c r="K3847" t="s">
        <v>11889</v>
      </c>
      <c r="L3847" t="s">
        <v>11886</v>
      </c>
    </row>
    <row r="3848" spans="1:12">
      <c r="A3848" t="s">
        <v>11890</v>
      </c>
      <c r="B3848" s="1" t="s">
        <v>11891</v>
      </c>
      <c r="F3848">
        <v>1</v>
      </c>
      <c r="G3848" t="str">
        <f>HYPERLINK("http://babel.hathitrust.org/cgi/pt?id=uc1.b305363")</f>
        <v>http://babel.hathitrust.org/cgi/pt?id=uc1.b305363</v>
      </c>
      <c r="H3848" t="str">
        <f>HYPERLINK("http://catalog.hathitrust.org/Record/006536845")</f>
        <v>http://catalog.hathitrust.org/Record/006536845</v>
      </c>
      <c r="J3848" s="1">
        <v>1924</v>
      </c>
      <c r="K3848" t="s">
        <v>11892</v>
      </c>
      <c r="L3848" t="s">
        <v>11886</v>
      </c>
    </row>
    <row r="3849" spans="1:12">
      <c r="A3849" t="s">
        <v>11893</v>
      </c>
      <c r="B3849" s="1" t="s">
        <v>11894</v>
      </c>
      <c r="F3849">
        <v>1</v>
      </c>
      <c r="G3849" t="str">
        <f>HYPERLINK("http://babel.hathitrust.org/cgi/pt?id=loc.ark:/13960/t1sf3k997")</f>
        <v>http://babel.hathitrust.org/cgi/pt?id=loc.ark:/13960/t1sf3k997</v>
      </c>
      <c r="H3849" t="str">
        <f>HYPERLINK("http://catalog.hathitrust.org/Record/006536864")</f>
        <v>http://catalog.hathitrust.org/Record/006536864</v>
      </c>
      <c r="J3849" s="1">
        <v>1913</v>
      </c>
      <c r="K3849" t="s">
        <v>11895</v>
      </c>
      <c r="L3849" t="s">
        <v>11896</v>
      </c>
    </row>
    <row r="3850" spans="1:12">
      <c r="A3850" t="s">
        <v>11897</v>
      </c>
      <c r="B3850" s="1" t="s">
        <v>11894</v>
      </c>
      <c r="F3850">
        <v>1</v>
      </c>
      <c r="G3850" t="str">
        <f>HYPERLINK("http://babel.hathitrust.org/cgi/pt?id=nyp.33433069253627")</f>
        <v>http://babel.hathitrust.org/cgi/pt?id=nyp.33433069253627</v>
      </c>
      <c r="H3850" t="str">
        <f>HYPERLINK("http://catalog.hathitrust.org/Record/006536864")</f>
        <v>http://catalog.hathitrust.org/Record/006536864</v>
      </c>
      <c r="J3850" s="1">
        <v>1913</v>
      </c>
      <c r="K3850" t="s">
        <v>11895</v>
      </c>
      <c r="L3850" t="s">
        <v>11896</v>
      </c>
    </row>
    <row r="3851" spans="1:12">
      <c r="A3851" t="s">
        <v>11898</v>
      </c>
      <c r="B3851" s="1" t="s">
        <v>11894</v>
      </c>
      <c r="F3851">
        <v>1</v>
      </c>
      <c r="G3851" t="str">
        <f>HYPERLINK("http://babel.hathitrust.org/cgi/pt?id=uc1.b305399")</f>
        <v>http://babel.hathitrust.org/cgi/pt?id=uc1.b305399</v>
      </c>
      <c r="H3851" t="str">
        <f>HYPERLINK("http://catalog.hathitrust.org/Record/006536864")</f>
        <v>http://catalog.hathitrust.org/Record/006536864</v>
      </c>
      <c r="J3851" s="1">
        <v>1913</v>
      </c>
      <c r="K3851" t="s">
        <v>11895</v>
      </c>
      <c r="L3851" t="s">
        <v>11896</v>
      </c>
    </row>
    <row r="3852" spans="1:12">
      <c r="A3852" t="s">
        <v>11899</v>
      </c>
      <c r="B3852" s="1" t="s">
        <v>11900</v>
      </c>
      <c r="F3852">
        <v>1</v>
      </c>
      <c r="G3852" t="str">
        <f>HYPERLINK("http://babel.hathitrust.org/cgi/pt?id=uc1.b305400")</f>
        <v>http://babel.hathitrust.org/cgi/pt?id=uc1.b305400</v>
      </c>
      <c r="H3852" t="str">
        <f>HYPERLINK("http://catalog.hathitrust.org/Record/006536865")</f>
        <v>http://catalog.hathitrust.org/Record/006536865</v>
      </c>
      <c r="J3852" s="1">
        <v>1897</v>
      </c>
      <c r="K3852" t="s">
        <v>14227</v>
      </c>
      <c r="L3852" t="s">
        <v>14228</v>
      </c>
    </row>
    <row r="3853" spans="1:12">
      <c r="A3853" t="s">
        <v>11901</v>
      </c>
      <c r="B3853" s="1" t="s">
        <v>11900</v>
      </c>
      <c r="F3853">
        <v>1</v>
      </c>
      <c r="G3853" t="str">
        <f>HYPERLINK("http://babel.hathitrust.org/cgi/pt?id=uc2.ark:/13960/t1hh6gm1h")</f>
        <v>http://babel.hathitrust.org/cgi/pt?id=uc2.ark:/13960/t1hh6gm1h</v>
      </c>
      <c r="H3853" t="str">
        <f>HYPERLINK("http://catalog.hathitrust.org/Record/006536865")</f>
        <v>http://catalog.hathitrust.org/Record/006536865</v>
      </c>
      <c r="J3853" s="1">
        <v>1897</v>
      </c>
      <c r="K3853" t="s">
        <v>14227</v>
      </c>
      <c r="L3853" t="s">
        <v>14228</v>
      </c>
    </row>
    <row r="3854" spans="1:12">
      <c r="A3854" t="s">
        <v>11902</v>
      </c>
      <c r="B3854" s="1" t="s">
        <v>11903</v>
      </c>
      <c r="F3854">
        <v>1</v>
      </c>
      <c r="G3854" t="str">
        <f>HYPERLINK("http://babel.hathitrust.org/cgi/pt?id=uc1.b305402")</f>
        <v>http://babel.hathitrust.org/cgi/pt?id=uc1.b305402</v>
      </c>
      <c r="H3854" t="str">
        <f>HYPERLINK("http://catalog.hathitrust.org/Record/006536866")</f>
        <v>http://catalog.hathitrust.org/Record/006536866</v>
      </c>
      <c r="J3854" s="1">
        <v>1882</v>
      </c>
      <c r="K3854" t="s">
        <v>11904</v>
      </c>
      <c r="L3854" t="s">
        <v>11905</v>
      </c>
    </row>
    <row r="3855" spans="1:12">
      <c r="A3855" t="s">
        <v>11906</v>
      </c>
      <c r="B3855" s="1" t="s">
        <v>11903</v>
      </c>
      <c r="F3855">
        <v>1</v>
      </c>
      <c r="G3855" t="str">
        <f>HYPERLINK("http://babel.hathitrust.org/cgi/pt?id=uc2.ark:/13960/t7kp7zk4p")</f>
        <v>http://babel.hathitrust.org/cgi/pt?id=uc2.ark:/13960/t7kp7zk4p</v>
      </c>
      <c r="H3855" t="str">
        <f>HYPERLINK("http://catalog.hathitrust.org/Record/006536866")</f>
        <v>http://catalog.hathitrust.org/Record/006536866</v>
      </c>
      <c r="J3855" s="1">
        <v>1882</v>
      </c>
      <c r="K3855" t="s">
        <v>11904</v>
      </c>
      <c r="L3855" t="s">
        <v>11905</v>
      </c>
    </row>
    <row r="3856" spans="1:12">
      <c r="A3856" t="s">
        <v>11907</v>
      </c>
      <c r="B3856" s="1" t="s">
        <v>11908</v>
      </c>
      <c r="F3856">
        <v>1</v>
      </c>
      <c r="G3856" t="str">
        <f>HYPERLINK("http://babel.hathitrust.org/cgi/pt?id=uc1.b305403")</f>
        <v>http://babel.hathitrust.org/cgi/pt?id=uc1.b305403</v>
      </c>
      <c r="H3856" t="str">
        <f>HYPERLINK("http://catalog.hathitrust.org/Record/006536867")</f>
        <v>http://catalog.hathitrust.org/Record/006536867</v>
      </c>
      <c r="J3856" s="1">
        <v>1917</v>
      </c>
      <c r="K3856" t="s">
        <v>11909</v>
      </c>
      <c r="L3856" t="s">
        <v>11910</v>
      </c>
    </row>
    <row r="3857" spans="1:12">
      <c r="A3857" t="s">
        <v>11911</v>
      </c>
      <c r="B3857" s="1" t="s">
        <v>11912</v>
      </c>
      <c r="F3857">
        <v>1</v>
      </c>
      <c r="G3857" t="str">
        <f>HYPERLINK("http://babel.hathitrust.org/cgi/pt?id=uc1.b305406")</f>
        <v>http://babel.hathitrust.org/cgi/pt?id=uc1.b305406</v>
      </c>
      <c r="H3857" t="str">
        <f>HYPERLINK("http://catalog.hathitrust.org/Record/006536868")</f>
        <v>http://catalog.hathitrust.org/Record/006536868</v>
      </c>
      <c r="J3857" s="1">
        <v>1908</v>
      </c>
      <c r="K3857" t="s">
        <v>11913</v>
      </c>
      <c r="L3857" t="s">
        <v>11914</v>
      </c>
    </row>
    <row r="3858" spans="1:12">
      <c r="A3858" t="s">
        <v>11915</v>
      </c>
      <c r="B3858" s="1" t="s">
        <v>11916</v>
      </c>
      <c r="F3858">
        <v>1</v>
      </c>
      <c r="G3858" t="str">
        <f>HYPERLINK("http://babel.hathitrust.org/cgi/pt?id=uc1.b305815")</f>
        <v>http://babel.hathitrust.org/cgi/pt?id=uc1.b305815</v>
      </c>
      <c r="H3858" t="str">
        <f>HYPERLINK("http://catalog.hathitrust.org/Record/006537193")</f>
        <v>http://catalog.hathitrust.org/Record/006537193</v>
      </c>
      <c r="J3858" s="1">
        <v>1916</v>
      </c>
      <c r="K3858" t="s">
        <v>11917</v>
      </c>
      <c r="L3858" t="s">
        <v>11918</v>
      </c>
    </row>
    <row r="3859" spans="1:12">
      <c r="A3859" t="s">
        <v>11919</v>
      </c>
      <c r="B3859" s="1" t="s">
        <v>11916</v>
      </c>
      <c r="F3859">
        <v>1</v>
      </c>
      <c r="G3859" t="str">
        <f>HYPERLINK("http://babel.hathitrust.org/cgi/pt?id=uc2.ark:/13960/t2n58h400")</f>
        <v>http://babel.hathitrust.org/cgi/pt?id=uc2.ark:/13960/t2n58h400</v>
      </c>
      <c r="H3859" t="str">
        <f>HYPERLINK("http://catalog.hathitrust.org/Record/006537193")</f>
        <v>http://catalog.hathitrust.org/Record/006537193</v>
      </c>
      <c r="J3859" s="1">
        <v>1916</v>
      </c>
      <c r="K3859" t="s">
        <v>11917</v>
      </c>
      <c r="L3859" t="s">
        <v>11918</v>
      </c>
    </row>
    <row r="3860" spans="1:12">
      <c r="A3860" t="s">
        <v>11802</v>
      </c>
      <c r="B3860" s="1" t="s">
        <v>11803</v>
      </c>
      <c r="F3860">
        <v>1</v>
      </c>
      <c r="G3860" t="str">
        <f>HYPERLINK("http://babel.hathitrust.org/cgi/pt?id=uc1.b305848")</f>
        <v>http://babel.hathitrust.org/cgi/pt?id=uc1.b305848</v>
      </c>
      <c r="H3860" t="str">
        <f>HYPERLINK("http://catalog.hathitrust.org/Record/006537201")</f>
        <v>http://catalog.hathitrust.org/Record/006537201</v>
      </c>
      <c r="J3860" s="1">
        <v>1921</v>
      </c>
      <c r="K3860" t="s">
        <v>11804</v>
      </c>
      <c r="L3860" t="s">
        <v>11805</v>
      </c>
    </row>
    <row r="3861" spans="1:12">
      <c r="A3861" t="s">
        <v>11806</v>
      </c>
      <c r="B3861" s="1" t="s">
        <v>11807</v>
      </c>
      <c r="F3861">
        <v>1</v>
      </c>
      <c r="G3861" t="str">
        <f>HYPERLINK("http://babel.hathitrust.org/cgi/pt?id=uc1.b305849")</f>
        <v>http://babel.hathitrust.org/cgi/pt?id=uc1.b305849</v>
      </c>
      <c r="H3861" t="str">
        <f>HYPERLINK("http://catalog.hathitrust.org/Record/006537202")</f>
        <v>http://catalog.hathitrust.org/Record/006537202</v>
      </c>
      <c r="J3861" s="1">
        <v>1921</v>
      </c>
      <c r="K3861" t="s">
        <v>11808</v>
      </c>
      <c r="L3861" t="s">
        <v>11809</v>
      </c>
    </row>
    <row r="3862" spans="1:12">
      <c r="A3862" t="s">
        <v>11810</v>
      </c>
      <c r="B3862" s="1" t="s">
        <v>11807</v>
      </c>
      <c r="F3862">
        <v>1</v>
      </c>
      <c r="G3862" t="str">
        <f>HYPERLINK("http://babel.hathitrust.org/cgi/pt?id=uc2.ark:/13960/t3bz64t7f")</f>
        <v>http://babel.hathitrust.org/cgi/pt?id=uc2.ark:/13960/t3bz64t7f</v>
      </c>
      <c r="H3862" t="str">
        <f>HYPERLINK("http://catalog.hathitrust.org/Record/006537202")</f>
        <v>http://catalog.hathitrust.org/Record/006537202</v>
      </c>
      <c r="J3862" s="1">
        <v>1921</v>
      </c>
      <c r="K3862" t="s">
        <v>11808</v>
      </c>
      <c r="L3862" t="s">
        <v>11809</v>
      </c>
    </row>
    <row r="3863" spans="1:12">
      <c r="A3863" t="s">
        <v>11811</v>
      </c>
      <c r="B3863" s="1" t="s">
        <v>11812</v>
      </c>
      <c r="F3863">
        <v>1</v>
      </c>
      <c r="G3863" t="str">
        <f>HYPERLINK("http://babel.hathitrust.org/cgi/pt?id=uc1.b305851")</f>
        <v>http://babel.hathitrust.org/cgi/pt?id=uc1.b305851</v>
      </c>
      <c r="H3863" t="str">
        <f>HYPERLINK("http://catalog.hathitrust.org/Record/006537203")</f>
        <v>http://catalog.hathitrust.org/Record/006537203</v>
      </c>
      <c r="J3863" s="1">
        <v>1910</v>
      </c>
      <c r="K3863" t="s">
        <v>12492</v>
      </c>
      <c r="L3863" t="s">
        <v>12493</v>
      </c>
    </row>
    <row r="3864" spans="1:12">
      <c r="A3864" t="s">
        <v>11813</v>
      </c>
      <c r="B3864" s="1" t="s">
        <v>11812</v>
      </c>
      <c r="F3864">
        <v>1</v>
      </c>
      <c r="G3864" t="str">
        <f>HYPERLINK("http://babel.hathitrust.org/cgi/pt?id=uc2.ark:/13960/t2r49kr58")</f>
        <v>http://babel.hathitrust.org/cgi/pt?id=uc2.ark:/13960/t2r49kr58</v>
      </c>
      <c r="H3864" t="str">
        <f>HYPERLINK("http://catalog.hathitrust.org/Record/006537203")</f>
        <v>http://catalog.hathitrust.org/Record/006537203</v>
      </c>
      <c r="J3864" s="1">
        <v>1910</v>
      </c>
      <c r="K3864" t="s">
        <v>12492</v>
      </c>
      <c r="L3864" t="s">
        <v>12493</v>
      </c>
    </row>
    <row r="3865" spans="1:12">
      <c r="A3865" t="s">
        <v>11814</v>
      </c>
      <c r="B3865" s="1" t="s">
        <v>11815</v>
      </c>
      <c r="F3865">
        <v>1</v>
      </c>
      <c r="G3865" t="str">
        <f>HYPERLINK("http://babel.hathitrust.org/cgi/pt?id=uc1.b305901")</f>
        <v>http://babel.hathitrust.org/cgi/pt?id=uc1.b305901</v>
      </c>
      <c r="H3865" t="str">
        <f>HYPERLINK("http://catalog.hathitrust.org/Record/006537216")</f>
        <v>http://catalog.hathitrust.org/Record/006537216</v>
      </c>
      <c r="J3865" s="1">
        <v>1922</v>
      </c>
      <c r="K3865" t="s">
        <v>11816</v>
      </c>
      <c r="L3865" t="s">
        <v>11817</v>
      </c>
    </row>
    <row r="3866" spans="1:12">
      <c r="A3866" t="s">
        <v>11818</v>
      </c>
      <c r="B3866" s="1" t="s">
        <v>11819</v>
      </c>
      <c r="F3866">
        <v>1</v>
      </c>
      <c r="G3866" t="str">
        <f>HYPERLINK("http://babel.hathitrust.org/cgi/pt?id=uc1.b306150")</f>
        <v>http://babel.hathitrust.org/cgi/pt?id=uc1.b306150</v>
      </c>
      <c r="H3866" t="str">
        <f>HYPERLINK("http://catalog.hathitrust.org/Record/006537324")</f>
        <v>http://catalog.hathitrust.org/Record/006537324</v>
      </c>
      <c r="J3866" s="1">
        <v>1880</v>
      </c>
      <c r="K3866" t="s">
        <v>15746</v>
      </c>
      <c r="L3866" t="s">
        <v>15747</v>
      </c>
    </row>
    <row r="3867" spans="1:12">
      <c r="A3867" t="s">
        <v>11820</v>
      </c>
      <c r="B3867" s="1" t="s">
        <v>11819</v>
      </c>
      <c r="F3867">
        <v>1</v>
      </c>
      <c r="G3867" t="str">
        <f>HYPERLINK("http://babel.hathitrust.org/cgi/pt?id=uc2.ark:/13960/t2z31sb5v")</f>
        <v>http://babel.hathitrust.org/cgi/pt?id=uc2.ark:/13960/t2z31sb5v</v>
      </c>
      <c r="H3867" t="str">
        <f>HYPERLINK("http://catalog.hathitrust.org/Record/006537324")</f>
        <v>http://catalog.hathitrust.org/Record/006537324</v>
      </c>
      <c r="J3867" s="1">
        <v>1880</v>
      </c>
      <c r="K3867" t="s">
        <v>15746</v>
      </c>
      <c r="L3867" t="s">
        <v>15747</v>
      </c>
    </row>
    <row r="3868" spans="1:12">
      <c r="A3868" t="s">
        <v>11821</v>
      </c>
      <c r="B3868" s="1" t="s">
        <v>11822</v>
      </c>
      <c r="F3868">
        <v>1</v>
      </c>
      <c r="G3868" t="str">
        <f>HYPERLINK("http://babel.hathitrust.org/cgi/pt?id=njp.32101071985822")</f>
        <v>http://babel.hathitrust.org/cgi/pt?id=njp.32101071985822</v>
      </c>
      <c r="H3868" t="str">
        <f>HYPERLINK("http://catalog.hathitrust.org/Record/006537844")</f>
        <v>http://catalog.hathitrust.org/Record/006537844</v>
      </c>
      <c r="J3868" s="1">
        <v>1906</v>
      </c>
      <c r="K3868" t="s">
        <v>13237</v>
      </c>
      <c r="L3868" t="s">
        <v>19601</v>
      </c>
    </row>
    <row r="3869" spans="1:12">
      <c r="A3869" t="s">
        <v>11823</v>
      </c>
      <c r="B3869" s="1" t="s">
        <v>11822</v>
      </c>
      <c r="F3869">
        <v>1</v>
      </c>
      <c r="G3869" t="str">
        <f>HYPERLINK("http://babel.hathitrust.org/cgi/pt?id=uc1.b306921")</f>
        <v>http://babel.hathitrust.org/cgi/pt?id=uc1.b306921</v>
      </c>
      <c r="H3869" t="str">
        <f>HYPERLINK("http://catalog.hathitrust.org/Record/006537844")</f>
        <v>http://catalog.hathitrust.org/Record/006537844</v>
      </c>
      <c r="J3869" s="1">
        <v>1906</v>
      </c>
      <c r="K3869" t="s">
        <v>13237</v>
      </c>
      <c r="L3869" t="s">
        <v>19601</v>
      </c>
    </row>
    <row r="3870" spans="1:12">
      <c r="A3870" t="s">
        <v>11824</v>
      </c>
      <c r="B3870" s="1" t="s">
        <v>11825</v>
      </c>
      <c r="F3870">
        <v>1</v>
      </c>
      <c r="G3870" t="str">
        <f>HYPERLINK("http://babel.hathitrust.org/cgi/pt?id=uc1.b306928")</f>
        <v>http://babel.hathitrust.org/cgi/pt?id=uc1.b306928</v>
      </c>
      <c r="H3870" t="str">
        <f>HYPERLINK("http://catalog.hathitrust.org/Record/006537848")</f>
        <v>http://catalog.hathitrust.org/Record/006537848</v>
      </c>
      <c r="J3870" s="1">
        <v>1893</v>
      </c>
      <c r="K3870" t="s">
        <v>11826</v>
      </c>
      <c r="L3870" t="s">
        <v>11827</v>
      </c>
    </row>
    <row r="3871" spans="1:12">
      <c r="A3871" t="s">
        <v>11828</v>
      </c>
      <c r="B3871" s="1" t="s">
        <v>11829</v>
      </c>
      <c r="F3871">
        <v>1</v>
      </c>
      <c r="G3871" t="str">
        <f>HYPERLINK("http://babel.hathitrust.org/cgi/pt?id=uc1.b306929")</f>
        <v>http://babel.hathitrust.org/cgi/pt?id=uc1.b306929</v>
      </c>
      <c r="H3871" t="str">
        <f>HYPERLINK("http://catalog.hathitrust.org/Record/006537849")</f>
        <v>http://catalog.hathitrust.org/Record/006537849</v>
      </c>
      <c r="J3871" s="1">
        <v>1909</v>
      </c>
      <c r="K3871" t="s">
        <v>11830</v>
      </c>
      <c r="L3871" t="s">
        <v>13716</v>
      </c>
    </row>
    <row r="3872" spans="1:12">
      <c r="A3872" t="s">
        <v>11831</v>
      </c>
      <c r="B3872" s="1" t="s">
        <v>11832</v>
      </c>
      <c r="F3872">
        <v>1</v>
      </c>
      <c r="G3872" t="str">
        <f>HYPERLINK("http://babel.hathitrust.org/cgi/pt?id=uc1.b306930")</f>
        <v>http://babel.hathitrust.org/cgi/pt?id=uc1.b306930</v>
      </c>
      <c r="H3872" t="str">
        <f>HYPERLINK("http://catalog.hathitrust.org/Record/006537850")</f>
        <v>http://catalog.hathitrust.org/Record/006537850</v>
      </c>
      <c r="J3872" s="1">
        <v>1899</v>
      </c>
      <c r="K3872" t="s">
        <v>11833</v>
      </c>
      <c r="L3872" t="s">
        <v>11834</v>
      </c>
    </row>
    <row r="3873" spans="1:12">
      <c r="A3873" t="s">
        <v>11835</v>
      </c>
      <c r="B3873" s="1" t="s">
        <v>11836</v>
      </c>
      <c r="F3873">
        <v>1</v>
      </c>
      <c r="G3873" t="str">
        <f>HYPERLINK("http://babel.hathitrust.org/cgi/pt?id=nyp.33433069243917")</f>
        <v>http://babel.hathitrust.org/cgi/pt?id=nyp.33433069243917</v>
      </c>
      <c r="H3873" t="str">
        <f>HYPERLINK("http://catalog.hathitrust.org/Record/006537851")</f>
        <v>http://catalog.hathitrust.org/Record/006537851</v>
      </c>
      <c r="J3873" s="1">
        <v>1903</v>
      </c>
      <c r="K3873" t="s">
        <v>11837</v>
      </c>
      <c r="L3873" t="s">
        <v>12889</v>
      </c>
    </row>
    <row r="3874" spans="1:12">
      <c r="A3874" t="s">
        <v>11838</v>
      </c>
      <c r="B3874" s="1" t="s">
        <v>11836</v>
      </c>
      <c r="F3874">
        <v>1</v>
      </c>
      <c r="G3874" t="str">
        <f>HYPERLINK("http://babel.hathitrust.org/cgi/pt?id=uc1.b306931")</f>
        <v>http://babel.hathitrust.org/cgi/pt?id=uc1.b306931</v>
      </c>
      <c r="H3874" t="str">
        <f>HYPERLINK("http://catalog.hathitrust.org/Record/006537851")</f>
        <v>http://catalog.hathitrust.org/Record/006537851</v>
      </c>
      <c r="J3874" s="1">
        <v>1903</v>
      </c>
      <c r="K3874" t="s">
        <v>11837</v>
      </c>
      <c r="L3874" t="s">
        <v>12889</v>
      </c>
    </row>
    <row r="3875" spans="1:12">
      <c r="A3875" t="s">
        <v>11839</v>
      </c>
      <c r="B3875" s="1" t="s">
        <v>11840</v>
      </c>
      <c r="F3875">
        <v>1</v>
      </c>
      <c r="G3875" t="str">
        <f>HYPERLINK("http://babel.hathitrust.org/cgi/pt?id=uc1.b306933")</f>
        <v>http://babel.hathitrust.org/cgi/pt?id=uc1.b306933</v>
      </c>
      <c r="H3875" t="str">
        <f>HYPERLINK("http://catalog.hathitrust.org/Record/006537852")</f>
        <v>http://catalog.hathitrust.org/Record/006537852</v>
      </c>
      <c r="I3875" s="1" t="s">
        <v>20755</v>
      </c>
      <c r="J3875" s="1">
        <v>1926</v>
      </c>
      <c r="K3875" t="s">
        <v>11841</v>
      </c>
      <c r="L3875" t="s">
        <v>11842</v>
      </c>
    </row>
    <row r="3876" spans="1:12">
      <c r="A3876" t="s">
        <v>11843</v>
      </c>
      <c r="B3876" s="1" t="s">
        <v>11844</v>
      </c>
      <c r="E3876">
        <v>1</v>
      </c>
      <c r="F3876">
        <v>1</v>
      </c>
      <c r="G3876" t="str">
        <f>HYPERLINK("http://babel.hathitrust.org/cgi/pt?id=uc1.b306936")</f>
        <v>http://babel.hathitrust.org/cgi/pt?id=uc1.b306936</v>
      </c>
      <c r="H3876" t="str">
        <f>HYPERLINK("http://catalog.hathitrust.org/Record/006537853")</f>
        <v>http://catalog.hathitrust.org/Record/006537853</v>
      </c>
      <c r="J3876" s="1">
        <v>1857</v>
      </c>
      <c r="K3876" t="s">
        <v>11845</v>
      </c>
      <c r="L3876" t="s">
        <v>15662</v>
      </c>
    </row>
    <row r="3877" spans="1:12">
      <c r="A3877" t="s">
        <v>11846</v>
      </c>
      <c r="B3877" s="1" t="s">
        <v>11844</v>
      </c>
      <c r="F3877">
        <v>1</v>
      </c>
      <c r="G3877" t="str">
        <f>HYPERLINK("http://babel.hathitrust.org/cgi/pt?id=uc2.ark:/13960/t43r0v500")</f>
        <v>http://babel.hathitrust.org/cgi/pt?id=uc2.ark:/13960/t43r0v500</v>
      </c>
      <c r="H3877" t="str">
        <f>HYPERLINK("http://catalog.hathitrust.org/Record/006537853")</f>
        <v>http://catalog.hathitrust.org/Record/006537853</v>
      </c>
      <c r="J3877" s="1">
        <v>1857</v>
      </c>
      <c r="K3877" t="s">
        <v>11845</v>
      </c>
      <c r="L3877" t="s">
        <v>15662</v>
      </c>
    </row>
    <row r="3878" spans="1:12">
      <c r="A3878" t="s">
        <v>11847</v>
      </c>
      <c r="B3878" s="1" t="s">
        <v>11848</v>
      </c>
      <c r="E3878">
        <v>1</v>
      </c>
      <c r="F3878">
        <v>1</v>
      </c>
      <c r="G3878" t="str">
        <f>HYPERLINK("http://babel.hathitrust.org/cgi/pt?id=uc1.b306937")</f>
        <v>http://babel.hathitrust.org/cgi/pt?id=uc1.b306937</v>
      </c>
      <c r="H3878" t="str">
        <f>HYPERLINK("http://catalog.hathitrust.org/Record/006537854")</f>
        <v>http://catalog.hathitrust.org/Record/006537854</v>
      </c>
      <c r="J3878" s="1">
        <v>1867</v>
      </c>
      <c r="K3878" t="s">
        <v>11849</v>
      </c>
      <c r="L3878" t="s">
        <v>15662</v>
      </c>
    </row>
    <row r="3879" spans="1:12">
      <c r="A3879" t="s">
        <v>11850</v>
      </c>
      <c r="B3879" s="1" t="s">
        <v>11848</v>
      </c>
      <c r="F3879">
        <v>1</v>
      </c>
      <c r="G3879" t="str">
        <f>HYPERLINK("http://babel.hathitrust.org/cgi/pt?id=uc2.ark:/13960/t2t43nm64")</f>
        <v>http://babel.hathitrust.org/cgi/pt?id=uc2.ark:/13960/t2t43nm64</v>
      </c>
      <c r="H3879" t="str">
        <f>HYPERLINK("http://catalog.hathitrust.org/Record/006537854")</f>
        <v>http://catalog.hathitrust.org/Record/006537854</v>
      </c>
      <c r="J3879" s="1">
        <v>1867</v>
      </c>
      <c r="K3879" t="s">
        <v>11849</v>
      </c>
      <c r="L3879" t="s">
        <v>15662</v>
      </c>
    </row>
    <row r="3880" spans="1:12">
      <c r="A3880" t="s">
        <v>11851</v>
      </c>
      <c r="B3880" s="1" t="s">
        <v>11852</v>
      </c>
      <c r="E3880">
        <v>1</v>
      </c>
      <c r="F3880">
        <v>1</v>
      </c>
      <c r="G3880" t="str">
        <f>HYPERLINK("http://babel.hathitrust.org/cgi/pt?id=uc1.b306939")</f>
        <v>http://babel.hathitrust.org/cgi/pt?id=uc1.b306939</v>
      </c>
      <c r="H3880" t="str">
        <f>HYPERLINK("http://catalog.hathitrust.org/Record/006537855")</f>
        <v>http://catalog.hathitrust.org/Record/006537855</v>
      </c>
      <c r="I3880" s="1" t="s">
        <v>20799</v>
      </c>
      <c r="J3880" s="1">
        <v>1849</v>
      </c>
      <c r="K3880" t="s">
        <v>11853</v>
      </c>
      <c r="L3880" t="s">
        <v>11854</v>
      </c>
    </row>
    <row r="3881" spans="1:12">
      <c r="A3881" t="s">
        <v>11855</v>
      </c>
      <c r="B3881" s="1" t="s">
        <v>11852</v>
      </c>
      <c r="F3881">
        <v>1</v>
      </c>
      <c r="G3881" t="str">
        <f>HYPERLINK("http://babel.hathitrust.org/cgi/pt?id=uc2.ark:/13960/t3kw5d29z")</f>
        <v>http://babel.hathitrust.org/cgi/pt?id=uc2.ark:/13960/t3kw5d29z</v>
      </c>
      <c r="H3881" t="str">
        <f>HYPERLINK("http://catalog.hathitrust.org/Record/006537855")</f>
        <v>http://catalog.hathitrust.org/Record/006537855</v>
      </c>
      <c r="I3881" s="1" t="s">
        <v>20799</v>
      </c>
      <c r="J3881" s="1">
        <v>1849</v>
      </c>
      <c r="K3881" t="s">
        <v>11853</v>
      </c>
      <c r="L3881" t="s">
        <v>11854</v>
      </c>
    </row>
    <row r="3882" spans="1:12">
      <c r="A3882" t="s">
        <v>11856</v>
      </c>
      <c r="B3882" s="1" t="s">
        <v>11857</v>
      </c>
      <c r="F3882">
        <v>1</v>
      </c>
      <c r="G3882" t="str">
        <f>HYPERLINK("http://babel.hathitrust.org/cgi/pt?id=uc1.b306940")</f>
        <v>http://babel.hathitrust.org/cgi/pt?id=uc1.b306940</v>
      </c>
      <c r="H3882" t="str">
        <f>HYPERLINK("http://catalog.hathitrust.org/Record/006537856")</f>
        <v>http://catalog.hathitrust.org/Record/006537856</v>
      </c>
      <c r="I3882" s="1" t="s">
        <v>20801</v>
      </c>
      <c r="J3882" s="1">
        <v>1800</v>
      </c>
      <c r="K3882" t="s">
        <v>11858</v>
      </c>
      <c r="L3882" t="s">
        <v>11854</v>
      </c>
    </row>
    <row r="3883" spans="1:12">
      <c r="A3883" t="s">
        <v>11748</v>
      </c>
      <c r="B3883" s="1" t="s">
        <v>11749</v>
      </c>
      <c r="F3883">
        <v>1</v>
      </c>
      <c r="G3883" t="str">
        <f>HYPERLINK("http://babel.hathitrust.org/cgi/pt?id=uc1.b306942")</f>
        <v>http://babel.hathitrust.org/cgi/pt?id=uc1.b306942</v>
      </c>
      <c r="H3883" t="str">
        <f>HYPERLINK("http://catalog.hathitrust.org/Record/006537857")</f>
        <v>http://catalog.hathitrust.org/Record/006537857</v>
      </c>
      <c r="J3883" s="1">
        <v>1925</v>
      </c>
      <c r="K3883" t="s">
        <v>11750</v>
      </c>
      <c r="L3883" t="s">
        <v>11751</v>
      </c>
    </row>
    <row r="3884" spans="1:12">
      <c r="A3884" t="s">
        <v>11752</v>
      </c>
      <c r="B3884" s="1" t="s">
        <v>11753</v>
      </c>
      <c r="E3884">
        <v>1</v>
      </c>
      <c r="F3884">
        <v>1</v>
      </c>
      <c r="G3884" t="str">
        <f>HYPERLINK("http://babel.hathitrust.org/cgi/pt?id=uc1.b306943")</f>
        <v>http://babel.hathitrust.org/cgi/pt?id=uc1.b306943</v>
      </c>
      <c r="H3884" t="str">
        <f>HYPERLINK("http://catalog.hathitrust.org/Record/006537858")</f>
        <v>http://catalog.hathitrust.org/Record/006537858</v>
      </c>
      <c r="J3884" s="1">
        <v>1894</v>
      </c>
      <c r="K3884" t="s">
        <v>11754</v>
      </c>
      <c r="L3884" t="s">
        <v>11755</v>
      </c>
    </row>
    <row r="3885" spans="1:12">
      <c r="A3885" t="s">
        <v>11756</v>
      </c>
      <c r="B3885" s="1" t="s">
        <v>11753</v>
      </c>
      <c r="F3885">
        <v>1</v>
      </c>
      <c r="G3885" t="str">
        <f>HYPERLINK("http://babel.hathitrust.org/cgi/pt?id=uc2.ark:/13960/t6g15z558")</f>
        <v>http://babel.hathitrust.org/cgi/pt?id=uc2.ark:/13960/t6g15z558</v>
      </c>
      <c r="H3885" t="str">
        <f>HYPERLINK("http://catalog.hathitrust.org/Record/006537858")</f>
        <v>http://catalog.hathitrust.org/Record/006537858</v>
      </c>
      <c r="J3885" s="1">
        <v>1894</v>
      </c>
      <c r="K3885" t="s">
        <v>11754</v>
      </c>
      <c r="L3885" t="s">
        <v>11755</v>
      </c>
    </row>
    <row r="3886" spans="1:12">
      <c r="A3886" t="s">
        <v>11757</v>
      </c>
      <c r="B3886" s="1" t="s">
        <v>11758</v>
      </c>
      <c r="F3886">
        <v>1</v>
      </c>
      <c r="G3886" t="str">
        <f>HYPERLINK("http://babel.hathitrust.org/cgi/pt?id=nyp.33433069255234")</f>
        <v>http://babel.hathitrust.org/cgi/pt?id=nyp.33433069255234</v>
      </c>
      <c r="H3886" t="str">
        <f>HYPERLINK("http://catalog.hathitrust.org/Record/006537860")</f>
        <v>http://catalog.hathitrust.org/Record/006537860</v>
      </c>
      <c r="J3886" s="1">
        <v>1914</v>
      </c>
      <c r="K3886" t="s">
        <v>11759</v>
      </c>
      <c r="L3886" t="s">
        <v>11760</v>
      </c>
    </row>
    <row r="3887" spans="1:12">
      <c r="A3887" t="s">
        <v>11761</v>
      </c>
      <c r="B3887" s="1" t="s">
        <v>11758</v>
      </c>
      <c r="F3887">
        <v>1</v>
      </c>
      <c r="G3887" t="str">
        <f>HYPERLINK("http://babel.hathitrust.org/cgi/pt?id=uc1.b306949")</f>
        <v>http://babel.hathitrust.org/cgi/pt?id=uc1.b306949</v>
      </c>
      <c r="H3887" t="str">
        <f>HYPERLINK("http://catalog.hathitrust.org/Record/006537860")</f>
        <v>http://catalog.hathitrust.org/Record/006537860</v>
      </c>
      <c r="J3887" s="1">
        <v>1914</v>
      </c>
      <c r="K3887" t="s">
        <v>11759</v>
      </c>
      <c r="L3887" t="s">
        <v>11760</v>
      </c>
    </row>
    <row r="3888" spans="1:12">
      <c r="A3888" t="s">
        <v>11762</v>
      </c>
      <c r="B3888" s="1" t="s">
        <v>11758</v>
      </c>
      <c r="F3888">
        <v>1</v>
      </c>
      <c r="G3888" t="str">
        <f>HYPERLINK("http://babel.hathitrust.org/cgi/pt?id=uc2.ark:/13960/t2g73bp0b")</f>
        <v>http://babel.hathitrust.org/cgi/pt?id=uc2.ark:/13960/t2g73bp0b</v>
      </c>
      <c r="H3888" t="str">
        <f>HYPERLINK("http://catalog.hathitrust.org/Record/006537860")</f>
        <v>http://catalog.hathitrust.org/Record/006537860</v>
      </c>
      <c r="J3888" s="1">
        <v>1914</v>
      </c>
      <c r="K3888" t="s">
        <v>11759</v>
      </c>
      <c r="L3888" t="s">
        <v>11760</v>
      </c>
    </row>
    <row r="3889" spans="1:12">
      <c r="A3889" t="s">
        <v>11763</v>
      </c>
      <c r="B3889" s="1" t="s">
        <v>11764</v>
      </c>
      <c r="F3889">
        <v>1</v>
      </c>
      <c r="G3889" t="str">
        <f>HYPERLINK("http://babel.hathitrust.org/cgi/pt?id=uc1.b306952")</f>
        <v>http://babel.hathitrust.org/cgi/pt?id=uc1.b306952</v>
      </c>
      <c r="H3889" t="str">
        <f>HYPERLINK("http://catalog.hathitrust.org/Record/006537862")</f>
        <v>http://catalog.hathitrust.org/Record/006537862</v>
      </c>
      <c r="I3889" s="1" t="s">
        <v>20916</v>
      </c>
      <c r="J3889" s="1">
        <v>1917</v>
      </c>
      <c r="K3889" t="s">
        <v>11765</v>
      </c>
      <c r="L3889" t="s">
        <v>11766</v>
      </c>
    </row>
    <row r="3890" spans="1:12">
      <c r="A3890" t="s">
        <v>11767</v>
      </c>
      <c r="B3890" s="1" t="s">
        <v>11764</v>
      </c>
      <c r="F3890">
        <v>1</v>
      </c>
      <c r="G3890" t="str">
        <f>HYPERLINK("http://babel.hathitrust.org/cgi/pt?id=uc1.b306953")</f>
        <v>http://babel.hathitrust.org/cgi/pt?id=uc1.b306953</v>
      </c>
      <c r="H3890" t="str">
        <f>HYPERLINK("http://catalog.hathitrust.org/Record/006537862")</f>
        <v>http://catalog.hathitrust.org/Record/006537862</v>
      </c>
      <c r="I3890" s="1" t="s">
        <v>20755</v>
      </c>
      <c r="J3890" s="1">
        <v>1917</v>
      </c>
      <c r="K3890" t="s">
        <v>11765</v>
      </c>
      <c r="L3890" t="s">
        <v>11766</v>
      </c>
    </row>
    <row r="3891" spans="1:12">
      <c r="A3891" t="s">
        <v>11768</v>
      </c>
      <c r="B3891" s="1" t="s">
        <v>11764</v>
      </c>
      <c r="F3891">
        <v>1</v>
      </c>
      <c r="G3891" t="str">
        <f>HYPERLINK("http://babel.hathitrust.org/cgi/pt?id=uc1.b306954")</f>
        <v>http://babel.hathitrust.org/cgi/pt?id=uc1.b306954</v>
      </c>
      <c r="H3891" t="str">
        <f>HYPERLINK("http://catalog.hathitrust.org/Record/006537862")</f>
        <v>http://catalog.hathitrust.org/Record/006537862</v>
      </c>
      <c r="I3891" s="1" t="s">
        <v>20920</v>
      </c>
      <c r="J3891" s="1">
        <v>1917</v>
      </c>
      <c r="K3891" t="s">
        <v>11765</v>
      </c>
      <c r="L3891" t="s">
        <v>11766</v>
      </c>
    </row>
    <row r="3892" spans="1:12">
      <c r="A3892" t="s">
        <v>11769</v>
      </c>
      <c r="B3892" s="1" t="s">
        <v>11770</v>
      </c>
      <c r="F3892">
        <v>1</v>
      </c>
      <c r="G3892" t="str">
        <f>HYPERLINK("http://babel.hathitrust.org/cgi/pt?id=uc1.b306955")</f>
        <v>http://babel.hathitrust.org/cgi/pt?id=uc1.b306955</v>
      </c>
      <c r="H3892" t="str">
        <f>HYPERLINK("http://catalog.hathitrust.org/Record/006537863")</f>
        <v>http://catalog.hathitrust.org/Record/006537863</v>
      </c>
      <c r="J3892" s="1">
        <v>1875</v>
      </c>
      <c r="K3892" t="s">
        <v>11771</v>
      </c>
      <c r="L3892" t="s">
        <v>11772</v>
      </c>
    </row>
    <row r="3893" spans="1:12">
      <c r="A3893" t="s">
        <v>11773</v>
      </c>
      <c r="B3893" s="1" t="s">
        <v>11774</v>
      </c>
      <c r="F3893">
        <v>1</v>
      </c>
      <c r="G3893" t="str">
        <f>HYPERLINK("http://babel.hathitrust.org/cgi/pt?id=nyp.33433081988713")</f>
        <v>http://babel.hathitrust.org/cgi/pt?id=nyp.33433081988713</v>
      </c>
      <c r="H3893" t="str">
        <f>HYPERLINK("http://catalog.hathitrust.org/Record/006537864")</f>
        <v>http://catalog.hathitrust.org/Record/006537864</v>
      </c>
      <c r="J3893" s="1">
        <v>1921</v>
      </c>
      <c r="K3893" t="s">
        <v>11775</v>
      </c>
      <c r="L3893" t="s">
        <v>11776</v>
      </c>
    </row>
    <row r="3894" spans="1:12">
      <c r="A3894" t="s">
        <v>11777</v>
      </c>
      <c r="B3894" s="1" t="s">
        <v>11774</v>
      </c>
      <c r="F3894">
        <v>1</v>
      </c>
      <c r="G3894" t="str">
        <f>HYPERLINK("http://babel.hathitrust.org/cgi/pt?id=uc1.b306956")</f>
        <v>http://babel.hathitrust.org/cgi/pt?id=uc1.b306956</v>
      </c>
      <c r="H3894" t="str">
        <f>HYPERLINK("http://catalog.hathitrust.org/Record/006537864")</f>
        <v>http://catalog.hathitrust.org/Record/006537864</v>
      </c>
      <c r="J3894" s="1">
        <v>1921</v>
      </c>
      <c r="K3894" t="s">
        <v>11775</v>
      </c>
      <c r="L3894" t="s">
        <v>11776</v>
      </c>
    </row>
    <row r="3895" spans="1:12">
      <c r="A3895" t="s">
        <v>11778</v>
      </c>
      <c r="B3895" s="1" t="s">
        <v>11779</v>
      </c>
      <c r="F3895">
        <v>1</v>
      </c>
      <c r="G3895" t="str">
        <f>HYPERLINK("http://babel.hathitrust.org/cgi/pt?id=uc1.b306957")</f>
        <v>http://babel.hathitrust.org/cgi/pt?id=uc1.b306957</v>
      </c>
      <c r="H3895" t="str">
        <f>HYPERLINK("http://catalog.hathitrust.org/Record/006537865")</f>
        <v>http://catalog.hathitrust.org/Record/006537865</v>
      </c>
      <c r="J3895" s="1">
        <v>1901</v>
      </c>
      <c r="K3895" t="s">
        <v>11780</v>
      </c>
      <c r="L3895" t="s">
        <v>11781</v>
      </c>
    </row>
    <row r="3896" spans="1:12">
      <c r="A3896" t="s">
        <v>11782</v>
      </c>
      <c r="B3896" s="1" t="s">
        <v>11779</v>
      </c>
      <c r="F3896">
        <v>1</v>
      </c>
      <c r="G3896" t="str">
        <f>HYPERLINK("http://babel.hathitrust.org/cgi/pt?id=uc2.ark:/13960/t78s4pm4x")</f>
        <v>http://babel.hathitrust.org/cgi/pt?id=uc2.ark:/13960/t78s4pm4x</v>
      </c>
      <c r="H3896" t="str">
        <f>HYPERLINK("http://catalog.hathitrust.org/Record/006537865")</f>
        <v>http://catalog.hathitrust.org/Record/006537865</v>
      </c>
      <c r="J3896" s="1">
        <v>1901</v>
      </c>
      <c r="K3896" t="s">
        <v>11780</v>
      </c>
      <c r="L3896" t="s">
        <v>11781</v>
      </c>
    </row>
    <row r="3897" spans="1:12">
      <c r="A3897" t="s">
        <v>11783</v>
      </c>
      <c r="B3897" s="1" t="s">
        <v>11784</v>
      </c>
      <c r="E3897">
        <v>1</v>
      </c>
      <c r="F3897">
        <v>1</v>
      </c>
      <c r="G3897" t="str">
        <f>HYPERLINK("http://babel.hathitrust.org/cgi/pt?id=uc1.b306959")</f>
        <v>http://babel.hathitrust.org/cgi/pt?id=uc1.b306959</v>
      </c>
      <c r="H3897" t="str">
        <f>HYPERLINK("http://catalog.hathitrust.org/Record/006537866")</f>
        <v>http://catalog.hathitrust.org/Record/006537866</v>
      </c>
      <c r="J3897" s="1">
        <v>1859</v>
      </c>
      <c r="K3897" t="s">
        <v>11785</v>
      </c>
      <c r="L3897" t="s">
        <v>12718</v>
      </c>
    </row>
    <row r="3898" spans="1:12">
      <c r="A3898" t="s">
        <v>11786</v>
      </c>
      <c r="B3898" s="1" t="s">
        <v>11787</v>
      </c>
      <c r="F3898">
        <v>1</v>
      </c>
      <c r="G3898" t="str">
        <f>HYPERLINK("http://babel.hathitrust.org/cgi/pt?id=hvd.hw23xq")</f>
        <v>http://babel.hathitrust.org/cgi/pt?id=hvd.hw23xq</v>
      </c>
      <c r="H3898" t="str">
        <f>HYPERLINK("http://catalog.hathitrust.org/Record/006537867")</f>
        <v>http://catalog.hathitrust.org/Record/006537867</v>
      </c>
      <c r="J3898" s="1">
        <v>1867</v>
      </c>
      <c r="K3898" t="s">
        <v>11788</v>
      </c>
      <c r="L3898" t="s">
        <v>12718</v>
      </c>
    </row>
    <row r="3899" spans="1:12">
      <c r="A3899" t="s">
        <v>11789</v>
      </c>
      <c r="B3899" s="1" t="s">
        <v>11787</v>
      </c>
      <c r="F3899">
        <v>1</v>
      </c>
      <c r="G3899" t="str">
        <f>HYPERLINK("http://babel.hathitrust.org/cgi/pt?id=uc1.b306960")</f>
        <v>http://babel.hathitrust.org/cgi/pt?id=uc1.b306960</v>
      </c>
      <c r="H3899" t="str">
        <f>HYPERLINK("http://catalog.hathitrust.org/Record/006537867")</f>
        <v>http://catalog.hathitrust.org/Record/006537867</v>
      </c>
      <c r="J3899" s="1">
        <v>1867</v>
      </c>
      <c r="K3899" t="s">
        <v>11788</v>
      </c>
      <c r="L3899" t="s">
        <v>12718</v>
      </c>
    </row>
    <row r="3900" spans="1:12">
      <c r="A3900" t="s">
        <v>11790</v>
      </c>
      <c r="B3900" s="1" t="s">
        <v>11787</v>
      </c>
      <c r="F3900">
        <v>1</v>
      </c>
      <c r="G3900" t="str">
        <f>HYPERLINK("http://babel.hathitrust.org/cgi/pt?id=uc2.ark:/13960/t3mw2dz4c")</f>
        <v>http://babel.hathitrust.org/cgi/pt?id=uc2.ark:/13960/t3mw2dz4c</v>
      </c>
      <c r="H3900" t="str">
        <f>HYPERLINK("http://catalog.hathitrust.org/Record/006537867")</f>
        <v>http://catalog.hathitrust.org/Record/006537867</v>
      </c>
      <c r="J3900" s="1">
        <v>1867</v>
      </c>
      <c r="K3900" t="s">
        <v>11788</v>
      </c>
      <c r="L3900" t="s">
        <v>12718</v>
      </c>
    </row>
    <row r="3901" spans="1:12">
      <c r="A3901" t="s">
        <v>11791</v>
      </c>
      <c r="B3901" s="1" t="s">
        <v>11792</v>
      </c>
      <c r="F3901">
        <v>1</v>
      </c>
      <c r="G3901" t="str">
        <f>HYPERLINK("http://babel.hathitrust.org/cgi/pt?id=uc1.b306961")</f>
        <v>http://babel.hathitrust.org/cgi/pt?id=uc1.b306961</v>
      </c>
      <c r="H3901" t="str">
        <f>HYPERLINK("http://catalog.hathitrust.org/Record/006537868")</f>
        <v>http://catalog.hathitrust.org/Record/006537868</v>
      </c>
      <c r="J3901" s="1">
        <v>1875</v>
      </c>
      <c r="K3901" t="s">
        <v>11793</v>
      </c>
      <c r="L3901" t="s">
        <v>11794</v>
      </c>
    </row>
    <row r="3902" spans="1:12">
      <c r="A3902" t="s">
        <v>11795</v>
      </c>
      <c r="B3902" s="1" t="s">
        <v>11792</v>
      </c>
      <c r="F3902">
        <v>1</v>
      </c>
      <c r="G3902" t="str">
        <f>HYPERLINK("http://babel.hathitrust.org/cgi/pt?id=uc2.ark:/13960/t3bz64w8t")</f>
        <v>http://babel.hathitrust.org/cgi/pt?id=uc2.ark:/13960/t3bz64w8t</v>
      </c>
      <c r="H3902" t="str">
        <f>HYPERLINK("http://catalog.hathitrust.org/Record/006537868")</f>
        <v>http://catalog.hathitrust.org/Record/006537868</v>
      </c>
      <c r="J3902" s="1">
        <v>1875</v>
      </c>
      <c r="K3902" t="s">
        <v>11793</v>
      </c>
      <c r="L3902" t="s">
        <v>11794</v>
      </c>
    </row>
    <row r="3903" spans="1:12">
      <c r="A3903" t="s">
        <v>11796</v>
      </c>
      <c r="B3903" s="1" t="s">
        <v>11797</v>
      </c>
      <c r="F3903">
        <v>1</v>
      </c>
      <c r="G3903" t="str">
        <f>HYPERLINK("http://babel.hathitrust.org/cgi/pt?id=uc1.b306963")</f>
        <v>http://babel.hathitrust.org/cgi/pt?id=uc1.b306963</v>
      </c>
      <c r="H3903" t="str">
        <f>HYPERLINK("http://catalog.hathitrust.org/Record/006537869")</f>
        <v>http://catalog.hathitrust.org/Record/006537869</v>
      </c>
      <c r="J3903" s="1">
        <v>1896</v>
      </c>
      <c r="K3903" t="s">
        <v>11798</v>
      </c>
      <c r="L3903" t="s">
        <v>12805</v>
      </c>
    </row>
    <row r="3904" spans="1:12">
      <c r="A3904" t="s">
        <v>11799</v>
      </c>
      <c r="B3904" s="1" t="s">
        <v>11797</v>
      </c>
      <c r="F3904">
        <v>1</v>
      </c>
      <c r="G3904" t="str">
        <f>HYPERLINK("http://babel.hathitrust.org/cgi/pt?id=uc2.ark:/13960/t9w091g9s")</f>
        <v>http://babel.hathitrust.org/cgi/pt?id=uc2.ark:/13960/t9w091g9s</v>
      </c>
      <c r="H3904" t="str">
        <f>HYPERLINK("http://catalog.hathitrust.org/Record/006537869")</f>
        <v>http://catalog.hathitrust.org/Record/006537869</v>
      </c>
      <c r="J3904" s="1">
        <v>1896</v>
      </c>
      <c r="K3904" t="s">
        <v>11798</v>
      </c>
      <c r="L3904" t="s">
        <v>12805</v>
      </c>
    </row>
    <row r="3905" spans="1:12">
      <c r="A3905" t="s">
        <v>11800</v>
      </c>
      <c r="B3905" s="1" t="s">
        <v>11801</v>
      </c>
      <c r="F3905">
        <v>1</v>
      </c>
      <c r="G3905" t="str">
        <f>HYPERLINK("http://babel.hathitrust.org/cgi/pt?id=uc1.b306965")</f>
        <v>http://babel.hathitrust.org/cgi/pt?id=uc1.b306965</v>
      </c>
      <c r="H3905" t="str">
        <f>HYPERLINK("http://catalog.hathitrust.org/Record/006537871")</f>
        <v>http://catalog.hathitrust.org/Record/006537871</v>
      </c>
      <c r="J3905" s="1">
        <v>1916</v>
      </c>
      <c r="K3905" t="s">
        <v>11691</v>
      </c>
      <c r="L3905" t="s">
        <v>11692</v>
      </c>
    </row>
    <row r="3906" spans="1:12">
      <c r="A3906" t="s">
        <v>11693</v>
      </c>
      <c r="B3906" s="1" t="s">
        <v>11694</v>
      </c>
      <c r="E3906">
        <v>1</v>
      </c>
      <c r="F3906">
        <v>1</v>
      </c>
      <c r="G3906" t="str">
        <f>HYPERLINK("http://babel.hathitrust.org/cgi/pt?id=uc1.b306966")</f>
        <v>http://babel.hathitrust.org/cgi/pt?id=uc1.b306966</v>
      </c>
      <c r="H3906" t="str">
        <f>HYPERLINK("http://catalog.hathitrust.org/Record/006537872")</f>
        <v>http://catalog.hathitrust.org/Record/006537872</v>
      </c>
      <c r="I3906" s="1" t="s">
        <v>20799</v>
      </c>
      <c r="J3906" s="1">
        <v>1906</v>
      </c>
      <c r="K3906" t="s">
        <v>11695</v>
      </c>
      <c r="L3906" t="s">
        <v>13839</v>
      </c>
    </row>
    <row r="3907" spans="1:12">
      <c r="A3907" t="s">
        <v>11696</v>
      </c>
      <c r="B3907" s="1" t="s">
        <v>11697</v>
      </c>
      <c r="E3907">
        <v>1</v>
      </c>
      <c r="F3907">
        <v>1</v>
      </c>
      <c r="G3907" t="str">
        <f>HYPERLINK("http://babel.hathitrust.org/cgi/pt?id=hvd.32044097052716")</f>
        <v>http://babel.hathitrust.org/cgi/pt?id=hvd.32044097052716</v>
      </c>
      <c r="H3907" t="str">
        <f>HYPERLINK("http://catalog.hathitrust.org/Record/006537873")</f>
        <v>http://catalog.hathitrust.org/Record/006537873</v>
      </c>
      <c r="J3907" s="1">
        <v>1870</v>
      </c>
      <c r="K3907" t="s">
        <v>12863</v>
      </c>
      <c r="L3907" t="s">
        <v>19442</v>
      </c>
    </row>
    <row r="3908" spans="1:12">
      <c r="A3908" t="s">
        <v>11698</v>
      </c>
      <c r="B3908" s="1" t="s">
        <v>11697</v>
      </c>
      <c r="F3908">
        <v>1</v>
      </c>
      <c r="G3908" t="str">
        <f>HYPERLINK("http://babel.hathitrust.org/cgi/pt?id=hvd.32044102771581")</f>
        <v>http://babel.hathitrust.org/cgi/pt?id=hvd.32044102771581</v>
      </c>
      <c r="H3908" t="str">
        <f>HYPERLINK("http://catalog.hathitrust.org/Record/006537873")</f>
        <v>http://catalog.hathitrust.org/Record/006537873</v>
      </c>
      <c r="J3908" s="1">
        <v>1870</v>
      </c>
      <c r="K3908" t="s">
        <v>12863</v>
      </c>
      <c r="L3908" t="s">
        <v>19442</v>
      </c>
    </row>
    <row r="3909" spans="1:12">
      <c r="A3909" t="s">
        <v>11699</v>
      </c>
      <c r="B3909" s="1" t="s">
        <v>11697</v>
      </c>
      <c r="F3909">
        <v>1</v>
      </c>
      <c r="G3909" t="str">
        <f>HYPERLINK("http://babel.hathitrust.org/cgi/pt?id=uc1.b306967")</f>
        <v>http://babel.hathitrust.org/cgi/pt?id=uc1.b306967</v>
      </c>
      <c r="H3909" t="str">
        <f>HYPERLINK("http://catalog.hathitrust.org/Record/006537873")</f>
        <v>http://catalog.hathitrust.org/Record/006537873</v>
      </c>
      <c r="J3909" s="1">
        <v>1870</v>
      </c>
      <c r="K3909" t="s">
        <v>12863</v>
      </c>
      <c r="L3909" t="s">
        <v>19442</v>
      </c>
    </row>
    <row r="3910" spans="1:12">
      <c r="A3910" t="s">
        <v>11700</v>
      </c>
      <c r="B3910" s="1" t="s">
        <v>11701</v>
      </c>
      <c r="F3910">
        <v>1</v>
      </c>
      <c r="G3910" t="str">
        <f>HYPERLINK("http://babel.hathitrust.org/cgi/pt?id=uc1.b306968")</f>
        <v>http://babel.hathitrust.org/cgi/pt?id=uc1.b306968</v>
      </c>
      <c r="H3910" t="str">
        <f>HYPERLINK("http://catalog.hathitrust.org/Record/006537874")</f>
        <v>http://catalog.hathitrust.org/Record/006537874</v>
      </c>
      <c r="J3910" s="1">
        <v>1861</v>
      </c>
      <c r="K3910" t="s">
        <v>11702</v>
      </c>
      <c r="L3910" t="s">
        <v>19442</v>
      </c>
    </row>
    <row r="3911" spans="1:12">
      <c r="A3911" t="s">
        <v>11703</v>
      </c>
      <c r="B3911" s="1" t="s">
        <v>11704</v>
      </c>
      <c r="F3911">
        <v>1</v>
      </c>
      <c r="G3911" t="str">
        <f>HYPERLINK("http://babel.hathitrust.org/cgi/pt?id=uc1.b306969")</f>
        <v>http://babel.hathitrust.org/cgi/pt?id=uc1.b306969</v>
      </c>
      <c r="H3911" t="str">
        <f>HYPERLINK("http://catalog.hathitrust.org/Record/006537875")</f>
        <v>http://catalog.hathitrust.org/Record/006537875</v>
      </c>
      <c r="J3911" s="1">
        <v>1868</v>
      </c>
      <c r="K3911" t="s">
        <v>11705</v>
      </c>
      <c r="L3911" t="s">
        <v>19442</v>
      </c>
    </row>
    <row r="3912" spans="1:12">
      <c r="A3912" t="s">
        <v>11706</v>
      </c>
      <c r="B3912" s="1" t="s">
        <v>11704</v>
      </c>
      <c r="F3912">
        <v>1</v>
      </c>
      <c r="G3912" t="str">
        <f>HYPERLINK("http://babel.hathitrust.org/cgi/pt?id=uc2.ark:/13960/t43r0tj9v")</f>
        <v>http://babel.hathitrust.org/cgi/pt?id=uc2.ark:/13960/t43r0tj9v</v>
      </c>
      <c r="H3912" t="str">
        <f>HYPERLINK("http://catalog.hathitrust.org/Record/006537875")</f>
        <v>http://catalog.hathitrust.org/Record/006537875</v>
      </c>
      <c r="J3912" s="1">
        <v>1868</v>
      </c>
      <c r="K3912" t="s">
        <v>11705</v>
      </c>
      <c r="L3912" t="s">
        <v>19442</v>
      </c>
    </row>
    <row r="3913" spans="1:12">
      <c r="A3913" t="s">
        <v>11707</v>
      </c>
      <c r="B3913" s="1" t="s">
        <v>11708</v>
      </c>
      <c r="F3913">
        <v>1</v>
      </c>
      <c r="G3913" t="str">
        <f>HYPERLINK("http://babel.hathitrust.org/cgi/pt?id=uc1.b306970")</f>
        <v>http://babel.hathitrust.org/cgi/pt?id=uc1.b306970</v>
      </c>
      <c r="H3913" t="str">
        <f>HYPERLINK("http://catalog.hathitrust.org/Record/006537876")</f>
        <v>http://catalog.hathitrust.org/Record/006537876</v>
      </c>
      <c r="J3913" s="1">
        <v>1829</v>
      </c>
      <c r="K3913" t="s">
        <v>11709</v>
      </c>
      <c r="L3913" t="s">
        <v>11710</v>
      </c>
    </row>
    <row r="3914" spans="1:12">
      <c r="A3914" t="s">
        <v>11711</v>
      </c>
      <c r="B3914" s="1" t="s">
        <v>11712</v>
      </c>
      <c r="E3914">
        <v>1</v>
      </c>
      <c r="F3914">
        <v>1</v>
      </c>
      <c r="G3914" t="str">
        <f>HYPERLINK("http://babel.hathitrust.org/cgi/pt?id=uc1.b306971")</f>
        <v>http://babel.hathitrust.org/cgi/pt?id=uc1.b306971</v>
      </c>
      <c r="H3914" t="str">
        <f>HYPERLINK("http://catalog.hathitrust.org/Record/006537877")</f>
        <v>http://catalog.hathitrust.org/Record/006537877</v>
      </c>
      <c r="J3914" s="1">
        <v>1925</v>
      </c>
      <c r="K3914" t="s">
        <v>11713</v>
      </c>
      <c r="L3914" t="s">
        <v>18391</v>
      </c>
    </row>
    <row r="3915" spans="1:12">
      <c r="A3915" t="s">
        <v>11714</v>
      </c>
      <c r="B3915" s="1" t="s">
        <v>11715</v>
      </c>
      <c r="F3915">
        <v>1</v>
      </c>
      <c r="G3915" t="str">
        <f>HYPERLINK("http://babel.hathitrust.org/cgi/pt?id=uc1.b306973")</f>
        <v>http://babel.hathitrust.org/cgi/pt?id=uc1.b306973</v>
      </c>
      <c r="H3915" t="str">
        <f>HYPERLINK("http://catalog.hathitrust.org/Record/006537879")</f>
        <v>http://catalog.hathitrust.org/Record/006537879</v>
      </c>
      <c r="I3915" s="1" t="s">
        <v>17050</v>
      </c>
      <c r="J3915" s="1">
        <v>1918</v>
      </c>
      <c r="K3915" t="s">
        <v>11716</v>
      </c>
      <c r="L3915" t="s">
        <v>11717</v>
      </c>
    </row>
    <row r="3916" spans="1:12">
      <c r="A3916" t="s">
        <v>11718</v>
      </c>
      <c r="B3916" s="1" t="s">
        <v>11715</v>
      </c>
      <c r="F3916">
        <v>1</v>
      </c>
      <c r="G3916" t="str">
        <f>HYPERLINK("http://babel.hathitrust.org/cgi/pt?id=uc2.ark:/13960/t71v5gb95")</f>
        <v>http://babel.hathitrust.org/cgi/pt?id=uc2.ark:/13960/t71v5gb95</v>
      </c>
      <c r="H3916" t="str">
        <f>HYPERLINK("http://catalog.hathitrust.org/Record/006537879")</f>
        <v>http://catalog.hathitrust.org/Record/006537879</v>
      </c>
      <c r="J3916" s="1">
        <v>1918</v>
      </c>
      <c r="K3916" t="s">
        <v>11716</v>
      </c>
      <c r="L3916" t="s">
        <v>11717</v>
      </c>
    </row>
    <row r="3917" spans="1:12">
      <c r="A3917" t="s">
        <v>11719</v>
      </c>
      <c r="B3917" s="1" t="s">
        <v>11720</v>
      </c>
      <c r="F3917">
        <v>1</v>
      </c>
      <c r="G3917" t="str">
        <f>HYPERLINK("http://babel.hathitrust.org/cgi/pt?id=uc1.b306974")</f>
        <v>http://babel.hathitrust.org/cgi/pt?id=uc1.b306974</v>
      </c>
      <c r="H3917" t="str">
        <f>HYPERLINK("http://catalog.hathitrust.org/Record/006537880")</f>
        <v>http://catalog.hathitrust.org/Record/006537880</v>
      </c>
      <c r="J3917" s="1">
        <v>1898</v>
      </c>
      <c r="K3917" t="s">
        <v>11721</v>
      </c>
      <c r="L3917" t="s">
        <v>11722</v>
      </c>
    </row>
    <row r="3918" spans="1:12">
      <c r="A3918" t="s">
        <v>11723</v>
      </c>
      <c r="B3918" s="1" t="s">
        <v>11720</v>
      </c>
      <c r="F3918">
        <v>1</v>
      </c>
      <c r="G3918" t="str">
        <f>HYPERLINK("http://babel.hathitrust.org/cgi/pt?id=uc2.ark:/13960/t6c24vh3k")</f>
        <v>http://babel.hathitrust.org/cgi/pt?id=uc2.ark:/13960/t6c24vh3k</v>
      </c>
      <c r="H3918" t="str">
        <f>HYPERLINK("http://catalog.hathitrust.org/Record/006537880")</f>
        <v>http://catalog.hathitrust.org/Record/006537880</v>
      </c>
      <c r="J3918" s="1">
        <v>1898</v>
      </c>
      <c r="K3918" t="s">
        <v>11721</v>
      </c>
      <c r="L3918" t="s">
        <v>11722</v>
      </c>
    </row>
    <row r="3919" spans="1:12">
      <c r="A3919" t="s">
        <v>11724</v>
      </c>
      <c r="B3919" s="1" t="s">
        <v>11725</v>
      </c>
      <c r="F3919">
        <v>1</v>
      </c>
      <c r="G3919" t="str">
        <f>HYPERLINK("http://babel.hathitrust.org/cgi/pt?id=uc1.b306975")</f>
        <v>http://babel.hathitrust.org/cgi/pt?id=uc1.b306975</v>
      </c>
      <c r="H3919" t="str">
        <f>HYPERLINK("http://catalog.hathitrust.org/Record/006537881")</f>
        <v>http://catalog.hathitrust.org/Record/006537881</v>
      </c>
      <c r="I3919" s="1" t="s">
        <v>20916</v>
      </c>
      <c r="J3919" s="1">
        <v>1925</v>
      </c>
      <c r="K3919" t="s">
        <v>11726</v>
      </c>
      <c r="L3919" t="s">
        <v>11727</v>
      </c>
    </row>
    <row r="3920" spans="1:12">
      <c r="A3920" t="s">
        <v>11728</v>
      </c>
      <c r="B3920" s="1" t="s">
        <v>11725</v>
      </c>
      <c r="F3920">
        <v>1</v>
      </c>
      <c r="G3920" t="str">
        <f>HYPERLINK("http://babel.hathitrust.org/cgi/pt?id=uc1.b306976")</f>
        <v>http://babel.hathitrust.org/cgi/pt?id=uc1.b306976</v>
      </c>
      <c r="H3920" t="str">
        <f>HYPERLINK("http://catalog.hathitrust.org/Record/006537881")</f>
        <v>http://catalog.hathitrust.org/Record/006537881</v>
      </c>
      <c r="I3920" s="1" t="s">
        <v>20755</v>
      </c>
      <c r="J3920" s="1">
        <v>1925</v>
      </c>
      <c r="K3920" t="s">
        <v>11726</v>
      </c>
      <c r="L3920" t="s">
        <v>11727</v>
      </c>
    </row>
    <row r="3921" spans="1:12">
      <c r="A3921" t="s">
        <v>11729</v>
      </c>
      <c r="B3921" s="1" t="s">
        <v>11725</v>
      </c>
      <c r="F3921">
        <v>1</v>
      </c>
      <c r="G3921" t="str">
        <f>HYPERLINK("http://babel.hathitrust.org/cgi/pt?id=uc1.b306977")</f>
        <v>http://babel.hathitrust.org/cgi/pt?id=uc1.b306977</v>
      </c>
      <c r="H3921" t="str">
        <f>HYPERLINK("http://catalog.hathitrust.org/Record/006537881")</f>
        <v>http://catalog.hathitrust.org/Record/006537881</v>
      </c>
      <c r="I3921" s="1" t="s">
        <v>20920</v>
      </c>
      <c r="J3921" s="1">
        <v>1925</v>
      </c>
      <c r="K3921" t="s">
        <v>11726</v>
      </c>
      <c r="L3921" t="s">
        <v>11727</v>
      </c>
    </row>
    <row r="3922" spans="1:12">
      <c r="A3922" t="s">
        <v>11730</v>
      </c>
      <c r="B3922" s="1" t="s">
        <v>11731</v>
      </c>
      <c r="F3922">
        <v>1</v>
      </c>
      <c r="G3922" t="str">
        <f>HYPERLINK("http://babel.hathitrust.org/cgi/pt?id=uc1.b306981")</f>
        <v>http://babel.hathitrust.org/cgi/pt?id=uc1.b306981</v>
      </c>
      <c r="H3922" t="str">
        <f>HYPERLINK("http://catalog.hathitrust.org/Record/006537883")</f>
        <v>http://catalog.hathitrust.org/Record/006537883</v>
      </c>
      <c r="J3922" s="1">
        <v>1901</v>
      </c>
      <c r="K3922" t="s">
        <v>11732</v>
      </c>
      <c r="L3922" t="s">
        <v>19601</v>
      </c>
    </row>
    <row r="3923" spans="1:12">
      <c r="A3923" t="s">
        <v>11733</v>
      </c>
      <c r="B3923" s="1" t="s">
        <v>11734</v>
      </c>
      <c r="E3923">
        <v>1</v>
      </c>
      <c r="F3923">
        <v>1</v>
      </c>
      <c r="G3923" t="str">
        <f>HYPERLINK("http://babel.hathitrust.org/cgi/pt?id=uc1.b306982")</f>
        <v>http://babel.hathitrust.org/cgi/pt?id=uc1.b306982</v>
      </c>
      <c r="H3923" t="str">
        <f>HYPERLINK("http://catalog.hathitrust.org/Record/006537884")</f>
        <v>http://catalog.hathitrust.org/Record/006537884</v>
      </c>
      <c r="J3923" s="1">
        <v>1922</v>
      </c>
      <c r="K3923" t="s">
        <v>11735</v>
      </c>
      <c r="L3923" t="s">
        <v>11736</v>
      </c>
    </row>
    <row r="3924" spans="1:12">
      <c r="A3924" t="s">
        <v>11737</v>
      </c>
      <c r="B3924" s="1" t="s">
        <v>11734</v>
      </c>
      <c r="F3924">
        <v>1</v>
      </c>
      <c r="G3924" t="str">
        <f>HYPERLINK("http://babel.hathitrust.org/cgi/pt?id=uc2.ark:/13960/t5s75b975")</f>
        <v>http://babel.hathitrust.org/cgi/pt?id=uc2.ark:/13960/t5s75b975</v>
      </c>
      <c r="H3924" t="str">
        <f>HYPERLINK("http://catalog.hathitrust.org/Record/006537884")</f>
        <v>http://catalog.hathitrust.org/Record/006537884</v>
      </c>
      <c r="J3924" s="1">
        <v>1922</v>
      </c>
      <c r="K3924" t="s">
        <v>11735</v>
      </c>
      <c r="L3924" t="s">
        <v>11736</v>
      </c>
    </row>
    <row r="3925" spans="1:12">
      <c r="A3925" t="s">
        <v>11738</v>
      </c>
      <c r="B3925" s="1" t="s">
        <v>11739</v>
      </c>
      <c r="D3925">
        <v>1</v>
      </c>
      <c r="G3925" t="str">
        <f>HYPERLINK("http://babel.hathitrust.org/cgi/pt?id=uc1.b306983")</f>
        <v>http://babel.hathitrust.org/cgi/pt?id=uc1.b306983</v>
      </c>
      <c r="H3925" t="str">
        <f>HYPERLINK("http://catalog.hathitrust.org/Record/006537885")</f>
        <v>http://catalog.hathitrust.org/Record/006537885</v>
      </c>
      <c r="J3925" s="1">
        <v>1810</v>
      </c>
      <c r="K3925" t="s">
        <v>11740</v>
      </c>
      <c r="L3925" t="s">
        <v>20043</v>
      </c>
    </row>
    <row r="3926" spans="1:12">
      <c r="A3926" t="s">
        <v>11741</v>
      </c>
      <c r="B3926" s="1" t="s">
        <v>11739</v>
      </c>
      <c r="F3926">
        <v>1</v>
      </c>
      <c r="G3926" t="str">
        <f>HYPERLINK("http://babel.hathitrust.org/cgi/pt?id=uc2.ark:/13960/t2d799g78")</f>
        <v>http://babel.hathitrust.org/cgi/pt?id=uc2.ark:/13960/t2d799g78</v>
      </c>
      <c r="H3926" t="str">
        <f>HYPERLINK("http://catalog.hathitrust.org/Record/006537885")</f>
        <v>http://catalog.hathitrust.org/Record/006537885</v>
      </c>
      <c r="J3926" s="1">
        <v>1810</v>
      </c>
      <c r="K3926" t="s">
        <v>11740</v>
      </c>
      <c r="L3926" t="s">
        <v>20043</v>
      </c>
    </row>
    <row r="3927" spans="1:12">
      <c r="A3927" t="s">
        <v>11742</v>
      </c>
      <c r="B3927" s="1" t="s">
        <v>11743</v>
      </c>
      <c r="F3927">
        <v>1</v>
      </c>
      <c r="G3927" t="str">
        <f>HYPERLINK("http://babel.hathitrust.org/cgi/pt?id=uc1.b306984")</f>
        <v>http://babel.hathitrust.org/cgi/pt?id=uc1.b306984</v>
      </c>
      <c r="H3927" t="str">
        <f>HYPERLINK("http://catalog.hathitrust.org/Record/006537886")</f>
        <v>http://catalog.hathitrust.org/Record/006537886</v>
      </c>
      <c r="I3927" s="1" t="s">
        <v>20796</v>
      </c>
      <c r="J3927" s="1">
        <v>1935</v>
      </c>
      <c r="K3927" t="s">
        <v>11744</v>
      </c>
      <c r="L3927" t="s">
        <v>11745</v>
      </c>
    </row>
    <row r="3928" spans="1:12">
      <c r="A3928" t="s">
        <v>11746</v>
      </c>
      <c r="B3928" s="1" t="s">
        <v>11743</v>
      </c>
      <c r="F3928">
        <v>1</v>
      </c>
      <c r="G3928" t="str">
        <f>HYPERLINK("http://babel.hathitrust.org/cgi/pt?id=uc1.b306985")</f>
        <v>http://babel.hathitrust.org/cgi/pt?id=uc1.b306985</v>
      </c>
      <c r="H3928" t="str">
        <f>HYPERLINK("http://catalog.hathitrust.org/Record/006537886")</f>
        <v>http://catalog.hathitrust.org/Record/006537886</v>
      </c>
      <c r="I3928" s="1" t="s">
        <v>20799</v>
      </c>
      <c r="J3928" s="1">
        <v>1935</v>
      </c>
      <c r="K3928" t="s">
        <v>11744</v>
      </c>
      <c r="L3928" t="s">
        <v>11745</v>
      </c>
    </row>
    <row r="3929" spans="1:12">
      <c r="A3929" t="s">
        <v>11747</v>
      </c>
      <c r="B3929" s="1" t="s">
        <v>11743</v>
      </c>
      <c r="F3929">
        <v>1</v>
      </c>
      <c r="G3929" t="str">
        <f>HYPERLINK("http://babel.hathitrust.org/cgi/pt?id=uc1.b306986")</f>
        <v>http://babel.hathitrust.org/cgi/pt?id=uc1.b306986</v>
      </c>
      <c r="H3929" t="str">
        <f>HYPERLINK("http://catalog.hathitrust.org/Record/006537886")</f>
        <v>http://catalog.hathitrust.org/Record/006537886</v>
      </c>
      <c r="I3929" s="1" t="s">
        <v>20801</v>
      </c>
      <c r="J3929" s="1">
        <v>1935</v>
      </c>
      <c r="K3929" t="s">
        <v>11744</v>
      </c>
      <c r="L3929" t="s">
        <v>11745</v>
      </c>
    </row>
    <row r="3930" spans="1:12">
      <c r="A3930" t="s">
        <v>11638</v>
      </c>
      <c r="B3930" s="1" t="s">
        <v>11743</v>
      </c>
      <c r="F3930">
        <v>1</v>
      </c>
      <c r="G3930" t="str">
        <f>HYPERLINK("http://babel.hathitrust.org/cgi/pt?id=uc1.b306987")</f>
        <v>http://babel.hathitrust.org/cgi/pt?id=uc1.b306987</v>
      </c>
      <c r="H3930" t="str">
        <f>HYPERLINK("http://catalog.hathitrust.org/Record/006537886")</f>
        <v>http://catalog.hathitrust.org/Record/006537886</v>
      </c>
      <c r="I3930" s="1" t="s">
        <v>20803</v>
      </c>
      <c r="J3930" s="1">
        <v>1935</v>
      </c>
      <c r="K3930" t="s">
        <v>11744</v>
      </c>
      <c r="L3930" t="s">
        <v>11745</v>
      </c>
    </row>
    <row r="3931" spans="1:12">
      <c r="A3931" t="s">
        <v>11639</v>
      </c>
      <c r="B3931" s="1" t="s">
        <v>11640</v>
      </c>
      <c r="F3931">
        <v>1</v>
      </c>
      <c r="G3931" t="str">
        <f>HYPERLINK("http://babel.hathitrust.org/cgi/pt?id=uc1.b306988")</f>
        <v>http://babel.hathitrust.org/cgi/pt?id=uc1.b306988</v>
      </c>
      <c r="H3931" t="str">
        <f>HYPERLINK("http://catalog.hathitrust.org/Record/006537887")</f>
        <v>http://catalog.hathitrust.org/Record/006537887</v>
      </c>
      <c r="J3931" s="1">
        <v>1898</v>
      </c>
      <c r="K3931" t="s">
        <v>11641</v>
      </c>
      <c r="L3931" t="s">
        <v>11642</v>
      </c>
    </row>
    <row r="3932" spans="1:12">
      <c r="A3932" t="s">
        <v>11643</v>
      </c>
      <c r="B3932" s="1" t="s">
        <v>11644</v>
      </c>
      <c r="F3932">
        <v>1</v>
      </c>
      <c r="G3932" t="str">
        <f>HYPERLINK("http://babel.hathitrust.org/cgi/pt?id=uc1.b306991")</f>
        <v>http://babel.hathitrust.org/cgi/pt?id=uc1.b306991</v>
      </c>
      <c r="H3932" t="str">
        <f>HYPERLINK("http://catalog.hathitrust.org/Record/006537890")</f>
        <v>http://catalog.hathitrust.org/Record/006537890</v>
      </c>
      <c r="J3932" s="1">
        <v>1926</v>
      </c>
      <c r="K3932" t="s">
        <v>11645</v>
      </c>
      <c r="L3932" t="s">
        <v>11646</v>
      </c>
    </row>
    <row r="3933" spans="1:12">
      <c r="A3933" t="s">
        <v>11647</v>
      </c>
      <c r="B3933" s="1" t="s">
        <v>11648</v>
      </c>
      <c r="F3933">
        <v>1</v>
      </c>
      <c r="G3933" t="str">
        <f>HYPERLINK("http://babel.hathitrust.org/cgi/pt?id=uc1.b306992")</f>
        <v>http://babel.hathitrust.org/cgi/pt?id=uc1.b306992</v>
      </c>
      <c r="H3933" t="str">
        <f>HYPERLINK("http://catalog.hathitrust.org/Record/006537891")</f>
        <v>http://catalog.hathitrust.org/Record/006537891</v>
      </c>
      <c r="J3933" s="1">
        <v>1888</v>
      </c>
      <c r="K3933" t="s">
        <v>14888</v>
      </c>
      <c r="L3933" t="s">
        <v>17959</v>
      </c>
    </row>
    <row r="3934" spans="1:12">
      <c r="A3934" t="s">
        <v>11649</v>
      </c>
      <c r="B3934" s="1" t="s">
        <v>11648</v>
      </c>
      <c r="F3934">
        <v>1</v>
      </c>
      <c r="G3934" t="str">
        <f>HYPERLINK("http://babel.hathitrust.org/cgi/pt?id=uc2.ark:/13960/t4mk69v30")</f>
        <v>http://babel.hathitrust.org/cgi/pt?id=uc2.ark:/13960/t4mk69v30</v>
      </c>
      <c r="H3934" t="str">
        <f>HYPERLINK("http://catalog.hathitrust.org/Record/006537891")</f>
        <v>http://catalog.hathitrust.org/Record/006537891</v>
      </c>
      <c r="J3934" s="1">
        <v>1888</v>
      </c>
      <c r="K3934" t="s">
        <v>14888</v>
      </c>
      <c r="L3934" t="s">
        <v>17959</v>
      </c>
    </row>
    <row r="3935" spans="1:12">
      <c r="A3935" t="s">
        <v>11650</v>
      </c>
      <c r="B3935" s="1" t="s">
        <v>11651</v>
      </c>
      <c r="F3935">
        <v>1</v>
      </c>
      <c r="G3935" t="str">
        <f>HYPERLINK("http://babel.hathitrust.org/cgi/pt?id=uc1.b306993")</f>
        <v>http://babel.hathitrust.org/cgi/pt?id=uc1.b306993</v>
      </c>
      <c r="H3935" t="str">
        <f>HYPERLINK("http://catalog.hathitrust.org/Record/006537892")</f>
        <v>http://catalog.hathitrust.org/Record/006537892</v>
      </c>
      <c r="I3935" s="1" t="s">
        <v>20796</v>
      </c>
      <c r="J3935" s="1">
        <v>1926</v>
      </c>
      <c r="K3935" t="s">
        <v>11652</v>
      </c>
      <c r="L3935" t="s">
        <v>11653</v>
      </c>
    </row>
    <row r="3936" spans="1:12">
      <c r="A3936" t="s">
        <v>11654</v>
      </c>
      <c r="B3936" s="1" t="s">
        <v>11651</v>
      </c>
      <c r="F3936">
        <v>1</v>
      </c>
      <c r="G3936" t="str">
        <f>HYPERLINK("http://babel.hathitrust.org/cgi/pt?id=uc1.b306994")</f>
        <v>http://babel.hathitrust.org/cgi/pt?id=uc1.b306994</v>
      </c>
      <c r="H3936" t="str">
        <f>HYPERLINK("http://catalog.hathitrust.org/Record/006537892")</f>
        <v>http://catalog.hathitrust.org/Record/006537892</v>
      </c>
      <c r="I3936" s="1" t="s">
        <v>20799</v>
      </c>
      <c r="J3936" s="1">
        <v>1926</v>
      </c>
      <c r="K3936" t="s">
        <v>11652</v>
      </c>
      <c r="L3936" t="s">
        <v>11653</v>
      </c>
    </row>
    <row r="3937" spans="1:12">
      <c r="A3937" t="s">
        <v>11655</v>
      </c>
      <c r="B3937" s="1" t="s">
        <v>11651</v>
      </c>
      <c r="F3937">
        <v>1</v>
      </c>
      <c r="G3937" t="str">
        <f>HYPERLINK("http://babel.hathitrust.org/cgi/pt?id=uc1.b306995")</f>
        <v>http://babel.hathitrust.org/cgi/pt?id=uc1.b306995</v>
      </c>
      <c r="H3937" t="str">
        <f>HYPERLINK("http://catalog.hathitrust.org/Record/006537892")</f>
        <v>http://catalog.hathitrust.org/Record/006537892</v>
      </c>
      <c r="I3937" s="1" t="s">
        <v>20801</v>
      </c>
      <c r="J3937" s="1">
        <v>1926</v>
      </c>
      <c r="K3937" t="s">
        <v>11652</v>
      </c>
      <c r="L3937" t="s">
        <v>11653</v>
      </c>
    </row>
    <row r="3938" spans="1:12">
      <c r="A3938" t="s">
        <v>11656</v>
      </c>
      <c r="B3938" s="1" t="s">
        <v>11657</v>
      </c>
      <c r="F3938">
        <v>1</v>
      </c>
      <c r="G3938" t="str">
        <f>HYPERLINK("http://babel.hathitrust.org/cgi/pt?id=uc1.b306997")</f>
        <v>http://babel.hathitrust.org/cgi/pt?id=uc1.b306997</v>
      </c>
      <c r="H3938" t="str">
        <f>HYPERLINK("http://catalog.hathitrust.org/Record/006537894")</f>
        <v>http://catalog.hathitrust.org/Record/006537894</v>
      </c>
      <c r="J3938" s="1">
        <v>1906</v>
      </c>
      <c r="K3938" t="s">
        <v>11658</v>
      </c>
      <c r="L3938" t="s">
        <v>13364</v>
      </c>
    </row>
    <row r="3939" spans="1:12">
      <c r="A3939" t="s">
        <v>11659</v>
      </c>
      <c r="B3939" s="1" t="s">
        <v>11660</v>
      </c>
      <c r="E3939">
        <v>1</v>
      </c>
      <c r="F3939">
        <v>1</v>
      </c>
      <c r="G3939" t="str">
        <f>HYPERLINK("http://babel.hathitrust.org/cgi/pt?id=uc1.b306998")</f>
        <v>http://babel.hathitrust.org/cgi/pt?id=uc1.b306998</v>
      </c>
      <c r="H3939" t="str">
        <f>HYPERLINK("http://catalog.hathitrust.org/Record/006537895")</f>
        <v>http://catalog.hathitrust.org/Record/006537895</v>
      </c>
      <c r="J3939" s="1">
        <v>1896</v>
      </c>
      <c r="K3939" t="s">
        <v>11661</v>
      </c>
      <c r="L3939" t="s">
        <v>13364</v>
      </c>
    </row>
    <row r="3940" spans="1:12">
      <c r="A3940" t="s">
        <v>11662</v>
      </c>
      <c r="B3940" s="1" t="s">
        <v>11663</v>
      </c>
      <c r="F3940">
        <v>1</v>
      </c>
      <c r="G3940" t="str">
        <f>HYPERLINK("http://babel.hathitrust.org/cgi/pt?id=uc1.b306999")</f>
        <v>http://babel.hathitrust.org/cgi/pt?id=uc1.b306999</v>
      </c>
      <c r="H3940" t="str">
        <f>HYPERLINK("http://catalog.hathitrust.org/Record/006537896")</f>
        <v>http://catalog.hathitrust.org/Record/006537896</v>
      </c>
      <c r="J3940" s="1">
        <v>1891</v>
      </c>
      <c r="K3940" t="s">
        <v>11664</v>
      </c>
      <c r="L3940" t="s">
        <v>13364</v>
      </c>
    </row>
    <row r="3941" spans="1:12">
      <c r="A3941" t="s">
        <v>11665</v>
      </c>
      <c r="B3941" s="1" t="s">
        <v>11663</v>
      </c>
      <c r="F3941">
        <v>1</v>
      </c>
      <c r="G3941" t="str">
        <f>HYPERLINK("http://babel.hathitrust.org/cgi/pt?id=uc2.ark:/13960/t6736qx54")</f>
        <v>http://babel.hathitrust.org/cgi/pt?id=uc2.ark:/13960/t6736qx54</v>
      </c>
      <c r="H3941" t="str">
        <f>HYPERLINK("http://catalog.hathitrust.org/Record/006537896")</f>
        <v>http://catalog.hathitrust.org/Record/006537896</v>
      </c>
      <c r="J3941" s="1">
        <v>1891</v>
      </c>
      <c r="K3941" t="s">
        <v>11664</v>
      </c>
      <c r="L3941" t="s">
        <v>13364</v>
      </c>
    </row>
    <row r="3942" spans="1:12">
      <c r="A3942" t="s">
        <v>11666</v>
      </c>
      <c r="B3942" s="1" t="s">
        <v>11667</v>
      </c>
      <c r="F3942">
        <v>1</v>
      </c>
      <c r="G3942" t="str">
        <f>HYPERLINK("http://babel.hathitrust.org/cgi/pt?id=uc1.b307000")</f>
        <v>http://babel.hathitrust.org/cgi/pt?id=uc1.b307000</v>
      </c>
      <c r="H3942" t="str">
        <f>HYPERLINK("http://catalog.hathitrust.org/Record/006537897")</f>
        <v>http://catalog.hathitrust.org/Record/006537897</v>
      </c>
      <c r="J3942" s="1">
        <v>1898</v>
      </c>
      <c r="K3942" t="s">
        <v>11668</v>
      </c>
      <c r="L3942" t="s">
        <v>13364</v>
      </c>
    </row>
    <row r="3943" spans="1:12">
      <c r="A3943" t="s">
        <v>11669</v>
      </c>
      <c r="B3943" s="1" t="s">
        <v>11670</v>
      </c>
      <c r="F3943">
        <v>1</v>
      </c>
      <c r="G3943" t="str">
        <f>HYPERLINK("http://babel.hathitrust.org/cgi/pt?id=uc1.b307002")</f>
        <v>http://babel.hathitrust.org/cgi/pt?id=uc1.b307002</v>
      </c>
      <c r="H3943" t="str">
        <f>HYPERLINK("http://catalog.hathitrust.org/Record/006537899")</f>
        <v>http://catalog.hathitrust.org/Record/006537899</v>
      </c>
      <c r="I3943" s="1" t="s">
        <v>17050</v>
      </c>
      <c r="J3943" s="1">
        <v>1856</v>
      </c>
      <c r="K3943" t="s">
        <v>11671</v>
      </c>
      <c r="L3943" t="s">
        <v>19514</v>
      </c>
    </row>
    <row r="3944" spans="1:12">
      <c r="A3944" t="s">
        <v>11672</v>
      </c>
      <c r="B3944" s="1" t="s">
        <v>11673</v>
      </c>
      <c r="F3944">
        <v>1</v>
      </c>
      <c r="G3944" t="str">
        <f>HYPERLINK("http://babel.hathitrust.org/cgi/pt?id=uc1.b307005")</f>
        <v>http://babel.hathitrust.org/cgi/pt?id=uc1.b307005</v>
      </c>
      <c r="H3944" t="str">
        <f>HYPERLINK("http://catalog.hathitrust.org/Record/006537900")</f>
        <v>http://catalog.hathitrust.org/Record/006537900</v>
      </c>
      <c r="I3944" s="1" t="s">
        <v>20799</v>
      </c>
      <c r="J3944" s="1">
        <v>1920</v>
      </c>
      <c r="K3944" t="s">
        <v>11674</v>
      </c>
      <c r="L3944" t="s">
        <v>11675</v>
      </c>
    </row>
    <row r="3945" spans="1:12">
      <c r="A3945" t="s">
        <v>11676</v>
      </c>
      <c r="B3945" s="1" t="s">
        <v>11673</v>
      </c>
      <c r="F3945">
        <v>1</v>
      </c>
      <c r="G3945" t="str">
        <f>HYPERLINK("http://babel.hathitrust.org/cgi/pt?id=uc1.b307006")</f>
        <v>http://babel.hathitrust.org/cgi/pt?id=uc1.b307006</v>
      </c>
      <c r="H3945" t="str">
        <f>HYPERLINK("http://catalog.hathitrust.org/Record/006537900")</f>
        <v>http://catalog.hathitrust.org/Record/006537900</v>
      </c>
      <c r="I3945" s="1" t="s">
        <v>11677</v>
      </c>
      <c r="J3945" s="1">
        <v>1920</v>
      </c>
      <c r="K3945" t="s">
        <v>11674</v>
      </c>
      <c r="L3945" t="s">
        <v>11675</v>
      </c>
    </row>
    <row r="3946" spans="1:12">
      <c r="A3946" t="s">
        <v>11678</v>
      </c>
      <c r="B3946" s="1" t="s">
        <v>11679</v>
      </c>
      <c r="E3946">
        <v>1</v>
      </c>
      <c r="F3946">
        <v>1</v>
      </c>
      <c r="G3946" t="str">
        <f>HYPERLINK("http://babel.hathitrust.org/cgi/pt?id=uc1.b307007")</f>
        <v>http://babel.hathitrust.org/cgi/pt?id=uc1.b307007</v>
      </c>
      <c r="H3946" t="str">
        <f>HYPERLINK("http://catalog.hathitrust.org/Record/006537901")</f>
        <v>http://catalog.hathitrust.org/Record/006537901</v>
      </c>
      <c r="J3946" s="1">
        <v>1847</v>
      </c>
      <c r="K3946" t="s">
        <v>11680</v>
      </c>
      <c r="L3946" t="s">
        <v>11681</v>
      </c>
    </row>
    <row r="3947" spans="1:12">
      <c r="A3947" t="s">
        <v>11682</v>
      </c>
      <c r="B3947" s="1" t="s">
        <v>11683</v>
      </c>
      <c r="F3947">
        <v>1</v>
      </c>
      <c r="G3947" t="str">
        <f>HYPERLINK("http://babel.hathitrust.org/cgi/pt?id=uc1.b307010")</f>
        <v>http://babel.hathitrust.org/cgi/pt?id=uc1.b307010</v>
      </c>
      <c r="H3947" t="str">
        <f>HYPERLINK("http://catalog.hathitrust.org/Record/006537904")</f>
        <v>http://catalog.hathitrust.org/Record/006537904</v>
      </c>
      <c r="J3947" s="1">
        <v>1877</v>
      </c>
      <c r="K3947" t="s">
        <v>11684</v>
      </c>
      <c r="L3947" t="s">
        <v>12817</v>
      </c>
    </row>
    <row r="3948" spans="1:12">
      <c r="A3948" t="s">
        <v>11685</v>
      </c>
      <c r="B3948" s="1" t="s">
        <v>11686</v>
      </c>
      <c r="F3948">
        <v>1</v>
      </c>
      <c r="G3948" t="str">
        <f>HYPERLINK("http://babel.hathitrust.org/cgi/pt?id=uc1.b307011")</f>
        <v>http://babel.hathitrust.org/cgi/pt?id=uc1.b307011</v>
      </c>
      <c r="H3948" t="str">
        <f>HYPERLINK("http://catalog.hathitrust.org/Record/006537905")</f>
        <v>http://catalog.hathitrust.org/Record/006537905</v>
      </c>
      <c r="J3948" s="1">
        <v>1878</v>
      </c>
      <c r="K3948" t="s">
        <v>11687</v>
      </c>
      <c r="L3948" t="s">
        <v>12817</v>
      </c>
    </row>
    <row r="3949" spans="1:12">
      <c r="A3949" t="s">
        <v>11688</v>
      </c>
      <c r="B3949" s="1" t="s">
        <v>11689</v>
      </c>
      <c r="F3949">
        <v>1</v>
      </c>
      <c r="G3949" t="str">
        <f>HYPERLINK("http://babel.hathitrust.org/cgi/pt?id=uc1.b307018")</f>
        <v>http://babel.hathitrust.org/cgi/pt?id=uc1.b307018</v>
      </c>
      <c r="H3949" t="str">
        <f>HYPERLINK("http://catalog.hathitrust.org/Record/006537907")</f>
        <v>http://catalog.hathitrust.org/Record/006537907</v>
      </c>
      <c r="J3949" s="1">
        <v>1918</v>
      </c>
      <c r="K3949" t="s">
        <v>11690</v>
      </c>
      <c r="L3949" t="s">
        <v>11586</v>
      </c>
    </row>
    <row r="3950" spans="1:12">
      <c r="A3950" t="s">
        <v>11587</v>
      </c>
      <c r="B3950" s="1" t="s">
        <v>11689</v>
      </c>
      <c r="F3950">
        <v>1</v>
      </c>
      <c r="G3950" t="str">
        <f>HYPERLINK("http://babel.hathitrust.org/cgi/pt?id=uc2.ark:/13960/t7mp50m24")</f>
        <v>http://babel.hathitrust.org/cgi/pt?id=uc2.ark:/13960/t7mp50m24</v>
      </c>
      <c r="H3950" t="str">
        <f>HYPERLINK("http://catalog.hathitrust.org/Record/006537907")</f>
        <v>http://catalog.hathitrust.org/Record/006537907</v>
      </c>
      <c r="J3950" s="1">
        <v>1918</v>
      </c>
      <c r="K3950" t="s">
        <v>11690</v>
      </c>
      <c r="L3950" t="s">
        <v>11586</v>
      </c>
    </row>
    <row r="3951" spans="1:12">
      <c r="A3951" t="s">
        <v>11588</v>
      </c>
      <c r="B3951" s="1" t="s">
        <v>11589</v>
      </c>
      <c r="F3951">
        <v>1</v>
      </c>
      <c r="G3951" t="str">
        <f>HYPERLINK("http://babel.hathitrust.org/cgi/pt?id=nyp.33433081988366")</f>
        <v>http://babel.hathitrust.org/cgi/pt?id=nyp.33433081988366</v>
      </c>
      <c r="H3951" t="str">
        <f>HYPERLINK("http://catalog.hathitrust.org/Record/006537911")</f>
        <v>http://catalog.hathitrust.org/Record/006537911</v>
      </c>
      <c r="J3951" s="1">
        <v>1877</v>
      </c>
      <c r="K3951" t="s">
        <v>11590</v>
      </c>
      <c r="L3951" t="s">
        <v>14911</v>
      </c>
    </row>
    <row r="3952" spans="1:12">
      <c r="A3952" t="s">
        <v>11591</v>
      </c>
      <c r="B3952" s="1" t="s">
        <v>11589</v>
      </c>
      <c r="F3952">
        <v>1</v>
      </c>
      <c r="G3952" t="str">
        <f>HYPERLINK("http://babel.hathitrust.org/cgi/pt?id=uc1.b307022")</f>
        <v>http://babel.hathitrust.org/cgi/pt?id=uc1.b307022</v>
      </c>
      <c r="H3952" t="str">
        <f>HYPERLINK("http://catalog.hathitrust.org/Record/006537911")</f>
        <v>http://catalog.hathitrust.org/Record/006537911</v>
      </c>
      <c r="J3952" s="1">
        <v>1877</v>
      </c>
      <c r="K3952" t="s">
        <v>11590</v>
      </c>
      <c r="L3952" t="s">
        <v>14911</v>
      </c>
    </row>
    <row r="3953" spans="1:12">
      <c r="A3953" t="s">
        <v>11592</v>
      </c>
      <c r="B3953" s="1" t="s">
        <v>11593</v>
      </c>
      <c r="F3953">
        <v>1</v>
      </c>
      <c r="G3953" t="str">
        <f>HYPERLINK("http://babel.hathitrust.org/cgi/pt?id=uc1.b307028")</f>
        <v>http://babel.hathitrust.org/cgi/pt?id=uc1.b307028</v>
      </c>
      <c r="H3953" t="str">
        <f>HYPERLINK("http://catalog.hathitrust.org/Record/006537915")</f>
        <v>http://catalog.hathitrust.org/Record/006537915</v>
      </c>
      <c r="I3953" s="1" t="s">
        <v>11595</v>
      </c>
      <c r="J3953" s="1">
        <v>1934</v>
      </c>
      <c r="K3953" t="s">
        <v>11594</v>
      </c>
      <c r="L3953" t="s">
        <v>11596</v>
      </c>
    </row>
    <row r="3954" spans="1:12">
      <c r="A3954" t="s">
        <v>11597</v>
      </c>
      <c r="B3954" s="1" t="s">
        <v>11593</v>
      </c>
      <c r="F3954">
        <v>1</v>
      </c>
      <c r="G3954" t="str">
        <f>HYPERLINK("http://babel.hathitrust.org/cgi/pt?id=uc1.b307029")</f>
        <v>http://babel.hathitrust.org/cgi/pt?id=uc1.b307029</v>
      </c>
      <c r="H3954" t="str">
        <f>HYPERLINK("http://catalog.hathitrust.org/Record/006537915")</f>
        <v>http://catalog.hathitrust.org/Record/006537915</v>
      </c>
      <c r="I3954" s="1" t="s">
        <v>11598</v>
      </c>
      <c r="J3954" s="1">
        <v>1934</v>
      </c>
      <c r="K3954" t="s">
        <v>11594</v>
      </c>
      <c r="L3954" t="s">
        <v>11596</v>
      </c>
    </row>
    <row r="3955" spans="1:12">
      <c r="A3955" t="s">
        <v>11599</v>
      </c>
      <c r="B3955" s="1" t="s">
        <v>11593</v>
      </c>
      <c r="F3955">
        <v>1</v>
      </c>
      <c r="G3955" t="str">
        <f>HYPERLINK("http://babel.hathitrust.org/cgi/pt?id=uc1.b307030")</f>
        <v>http://babel.hathitrust.org/cgi/pt?id=uc1.b307030</v>
      </c>
      <c r="H3955" t="str">
        <f>HYPERLINK("http://catalog.hathitrust.org/Record/006537915")</f>
        <v>http://catalog.hathitrust.org/Record/006537915</v>
      </c>
      <c r="I3955" s="1" t="s">
        <v>11600</v>
      </c>
      <c r="J3955" s="1">
        <v>1934</v>
      </c>
      <c r="K3955" t="s">
        <v>11594</v>
      </c>
      <c r="L3955" t="s">
        <v>11596</v>
      </c>
    </row>
    <row r="3956" spans="1:12">
      <c r="A3956" t="s">
        <v>11601</v>
      </c>
      <c r="B3956" s="1" t="s">
        <v>11593</v>
      </c>
      <c r="F3956">
        <v>1</v>
      </c>
      <c r="G3956" t="str">
        <f>HYPERLINK("http://babel.hathitrust.org/cgi/pt?id=uc1.b307031")</f>
        <v>http://babel.hathitrust.org/cgi/pt?id=uc1.b307031</v>
      </c>
      <c r="H3956" t="str">
        <f>HYPERLINK("http://catalog.hathitrust.org/Record/006537915")</f>
        <v>http://catalog.hathitrust.org/Record/006537915</v>
      </c>
      <c r="I3956" s="1" t="s">
        <v>11602</v>
      </c>
      <c r="J3956" s="1">
        <v>1934</v>
      </c>
      <c r="K3956" t="s">
        <v>11594</v>
      </c>
      <c r="L3956" t="s">
        <v>11596</v>
      </c>
    </row>
    <row r="3957" spans="1:12">
      <c r="A3957" t="s">
        <v>11603</v>
      </c>
      <c r="B3957" s="1" t="s">
        <v>11604</v>
      </c>
      <c r="F3957">
        <v>1</v>
      </c>
      <c r="G3957" t="str">
        <f>HYPERLINK("http://babel.hathitrust.org/cgi/pt?id=uc1.b307040")</f>
        <v>http://babel.hathitrust.org/cgi/pt?id=uc1.b307040</v>
      </c>
      <c r="H3957" t="str">
        <f>HYPERLINK("http://catalog.hathitrust.org/Record/006537920")</f>
        <v>http://catalog.hathitrust.org/Record/006537920</v>
      </c>
      <c r="J3957" s="1">
        <v>1906</v>
      </c>
      <c r="K3957" t="s">
        <v>11605</v>
      </c>
      <c r="L3957" t="s">
        <v>11606</v>
      </c>
    </row>
    <row r="3958" spans="1:12">
      <c r="A3958" t="s">
        <v>11607</v>
      </c>
      <c r="B3958" s="1" t="s">
        <v>11608</v>
      </c>
      <c r="F3958">
        <v>1</v>
      </c>
      <c r="G3958" t="str">
        <f>HYPERLINK("http://babel.hathitrust.org/cgi/pt?id=uc1.b307046")</f>
        <v>http://babel.hathitrust.org/cgi/pt?id=uc1.b307046</v>
      </c>
      <c r="H3958" t="str">
        <f>HYPERLINK("http://catalog.hathitrust.org/Record/006537924")</f>
        <v>http://catalog.hathitrust.org/Record/006537924</v>
      </c>
      <c r="J3958" s="1">
        <v>1926</v>
      </c>
      <c r="K3958" t="s">
        <v>11609</v>
      </c>
      <c r="L3958" t="s">
        <v>11610</v>
      </c>
    </row>
    <row r="3959" spans="1:12">
      <c r="A3959" t="s">
        <v>11611</v>
      </c>
      <c r="B3959" s="1" t="s">
        <v>11612</v>
      </c>
      <c r="F3959">
        <v>1</v>
      </c>
      <c r="G3959" t="str">
        <f>HYPERLINK("http://babel.hathitrust.org/cgi/pt?id=hvd.hwskir")</f>
        <v>http://babel.hathitrust.org/cgi/pt?id=hvd.hwskir</v>
      </c>
      <c r="H3959" t="str">
        <f>HYPERLINK("http://catalog.hathitrust.org/Record/006537926")</f>
        <v>http://catalog.hathitrust.org/Record/006537926</v>
      </c>
      <c r="J3959" s="1">
        <v>1852</v>
      </c>
      <c r="K3959" t="s">
        <v>11613</v>
      </c>
    </row>
    <row r="3960" spans="1:12">
      <c r="A3960" t="s">
        <v>11614</v>
      </c>
      <c r="B3960" s="1" t="s">
        <v>11612</v>
      </c>
      <c r="F3960">
        <v>1</v>
      </c>
      <c r="G3960" t="str">
        <f>HYPERLINK("http://babel.hathitrust.org/cgi/pt?id=nyp.33433069251498")</f>
        <v>http://babel.hathitrust.org/cgi/pt?id=nyp.33433069251498</v>
      </c>
      <c r="H3960" t="str">
        <f>HYPERLINK("http://catalog.hathitrust.org/Record/006537926")</f>
        <v>http://catalog.hathitrust.org/Record/006537926</v>
      </c>
      <c r="J3960" s="1">
        <v>1852</v>
      </c>
      <c r="K3960" t="s">
        <v>11613</v>
      </c>
    </row>
    <row r="3961" spans="1:12">
      <c r="A3961" t="s">
        <v>11615</v>
      </c>
      <c r="B3961" s="1" t="s">
        <v>11612</v>
      </c>
      <c r="F3961">
        <v>1</v>
      </c>
      <c r="G3961" t="str">
        <f>HYPERLINK("http://babel.hathitrust.org/cgi/pt?id=nyp.33433069253452")</f>
        <v>http://babel.hathitrust.org/cgi/pt?id=nyp.33433069253452</v>
      </c>
      <c r="H3961" t="str">
        <f>HYPERLINK("http://catalog.hathitrust.org/Record/006537926")</f>
        <v>http://catalog.hathitrust.org/Record/006537926</v>
      </c>
      <c r="J3961" s="1">
        <v>1852</v>
      </c>
      <c r="K3961" t="s">
        <v>11613</v>
      </c>
    </row>
    <row r="3962" spans="1:12">
      <c r="A3962" t="s">
        <v>11616</v>
      </c>
      <c r="B3962" s="1" t="s">
        <v>11612</v>
      </c>
      <c r="F3962">
        <v>1</v>
      </c>
      <c r="G3962" t="str">
        <f>HYPERLINK("http://babel.hathitrust.org/cgi/pt?id=uc1.b307049")</f>
        <v>http://babel.hathitrust.org/cgi/pt?id=uc1.b307049</v>
      </c>
      <c r="H3962" t="str">
        <f>HYPERLINK("http://catalog.hathitrust.org/Record/006537926")</f>
        <v>http://catalog.hathitrust.org/Record/006537926</v>
      </c>
      <c r="J3962" s="1">
        <v>1852</v>
      </c>
      <c r="K3962" t="s">
        <v>11613</v>
      </c>
    </row>
    <row r="3963" spans="1:12">
      <c r="A3963" t="s">
        <v>11617</v>
      </c>
      <c r="B3963" s="1" t="s">
        <v>11618</v>
      </c>
      <c r="F3963">
        <v>1</v>
      </c>
      <c r="G3963" t="str">
        <f>HYPERLINK("http://babel.hathitrust.org/cgi/pt?id=uc1.b307059")</f>
        <v>http://babel.hathitrust.org/cgi/pt?id=uc1.b307059</v>
      </c>
      <c r="H3963" t="str">
        <f>HYPERLINK("http://catalog.hathitrust.org/Record/006537932")</f>
        <v>http://catalog.hathitrust.org/Record/006537932</v>
      </c>
      <c r="J3963" s="1">
        <v>1919</v>
      </c>
      <c r="K3963" t="s">
        <v>11619</v>
      </c>
      <c r="L3963" t="s">
        <v>11620</v>
      </c>
    </row>
    <row r="3964" spans="1:12">
      <c r="A3964" t="s">
        <v>11621</v>
      </c>
      <c r="B3964" s="1" t="s">
        <v>11622</v>
      </c>
      <c r="F3964">
        <v>1</v>
      </c>
      <c r="G3964" t="str">
        <f>HYPERLINK("http://babel.hathitrust.org/cgi/pt?id=uc1.b307081")</f>
        <v>http://babel.hathitrust.org/cgi/pt?id=uc1.b307081</v>
      </c>
      <c r="H3964" t="str">
        <f>HYPERLINK("http://catalog.hathitrust.org/Record/006537945")</f>
        <v>http://catalog.hathitrust.org/Record/006537945</v>
      </c>
      <c r="J3964" s="1">
        <v>1853</v>
      </c>
      <c r="K3964" t="s">
        <v>11623</v>
      </c>
      <c r="L3964" t="s">
        <v>12718</v>
      </c>
    </row>
    <row r="3965" spans="1:12">
      <c r="A3965" t="s">
        <v>11624</v>
      </c>
      <c r="B3965" s="1" t="s">
        <v>11622</v>
      </c>
      <c r="F3965">
        <v>1</v>
      </c>
      <c r="G3965" t="str">
        <f>HYPERLINK("http://babel.hathitrust.org/cgi/pt?id=uc2.ark:/13960/t5r789f00")</f>
        <v>http://babel.hathitrust.org/cgi/pt?id=uc2.ark:/13960/t5r789f00</v>
      </c>
      <c r="H3965" t="str">
        <f>HYPERLINK("http://catalog.hathitrust.org/Record/006537945")</f>
        <v>http://catalog.hathitrust.org/Record/006537945</v>
      </c>
      <c r="J3965" s="1">
        <v>1853</v>
      </c>
      <c r="K3965" t="s">
        <v>11623</v>
      </c>
      <c r="L3965" t="s">
        <v>12718</v>
      </c>
    </row>
    <row r="3966" spans="1:12">
      <c r="A3966" t="s">
        <v>11625</v>
      </c>
      <c r="B3966" s="1" t="s">
        <v>11626</v>
      </c>
      <c r="F3966">
        <v>1</v>
      </c>
      <c r="G3966" t="str">
        <f>HYPERLINK("http://babel.hathitrust.org/cgi/pt?id=uc1.b307088")</f>
        <v>http://babel.hathitrust.org/cgi/pt?id=uc1.b307088</v>
      </c>
      <c r="H3966" t="str">
        <f>HYPERLINK("http://catalog.hathitrust.org/Record/006537948")</f>
        <v>http://catalog.hathitrust.org/Record/006537948</v>
      </c>
      <c r="J3966" s="1">
        <v>1881</v>
      </c>
      <c r="K3966" t="s">
        <v>11627</v>
      </c>
      <c r="L3966" t="s">
        <v>12623</v>
      </c>
    </row>
    <row r="3967" spans="1:12">
      <c r="A3967" t="s">
        <v>11628</v>
      </c>
      <c r="B3967" s="1" t="s">
        <v>11626</v>
      </c>
      <c r="F3967">
        <v>1</v>
      </c>
      <c r="G3967" t="str">
        <f>HYPERLINK("http://babel.hathitrust.org/cgi/pt?id=uc2.ark:/13960/t6639q178")</f>
        <v>http://babel.hathitrust.org/cgi/pt?id=uc2.ark:/13960/t6639q178</v>
      </c>
      <c r="H3967" t="str">
        <f>HYPERLINK("http://catalog.hathitrust.org/Record/006537948")</f>
        <v>http://catalog.hathitrust.org/Record/006537948</v>
      </c>
      <c r="J3967" s="1">
        <v>1881</v>
      </c>
      <c r="K3967" t="s">
        <v>11627</v>
      </c>
      <c r="L3967" t="s">
        <v>12623</v>
      </c>
    </row>
    <row r="3968" spans="1:12">
      <c r="A3968" t="s">
        <v>11629</v>
      </c>
      <c r="B3968" s="1" t="s">
        <v>11630</v>
      </c>
      <c r="F3968">
        <v>1</v>
      </c>
      <c r="G3968" t="str">
        <f>HYPERLINK("http://babel.hathitrust.org/cgi/pt?id=uc1.b307097")</f>
        <v>http://babel.hathitrust.org/cgi/pt?id=uc1.b307097</v>
      </c>
      <c r="H3968" t="str">
        <f>HYPERLINK("http://catalog.hathitrust.org/Record/006537955")</f>
        <v>http://catalog.hathitrust.org/Record/006537955</v>
      </c>
      <c r="J3968" s="1">
        <v>1902</v>
      </c>
      <c r="K3968" t="s">
        <v>11631</v>
      </c>
    </row>
    <row r="3969" spans="1:12">
      <c r="A3969" t="s">
        <v>11632</v>
      </c>
      <c r="B3969" s="1" t="s">
        <v>11633</v>
      </c>
      <c r="F3969">
        <v>1</v>
      </c>
      <c r="G3969" t="str">
        <f>HYPERLINK("http://babel.hathitrust.org/cgi/pt?id=uc1.b307101")</f>
        <v>http://babel.hathitrust.org/cgi/pt?id=uc1.b307101</v>
      </c>
      <c r="H3969" t="str">
        <f>HYPERLINK("http://catalog.hathitrust.org/Record/006537957")</f>
        <v>http://catalog.hathitrust.org/Record/006537957</v>
      </c>
      <c r="J3969" s="1">
        <v>1883</v>
      </c>
      <c r="K3969" t="s">
        <v>11634</v>
      </c>
      <c r="L3969" t="s">
        <v>11635</v>
      </c>
    </row>
    <row r="3970" spans="1:12">
      <c r="A3970" t="s">
        <v>11636</v>
      </c>
      <c r="B3970" s="1" t="s">
        <v>11637</v>
      </c>
      <c r="F3970">
        <v>1</v>
      </c>
      <c r="G3970" t="str">
        <f>HYPERLINK("http://babel.hathitrust.org/cgi/pt?id=uc1.b307108")</f>
        <v>http://babel.hathitrust.org/cgi/pt?id=uc1.b307108</v>
      </c>
      <c r="H3970" t="str">
        <f>HYPERLINK("http://catalog.hathitrust.org/Record/006537961")</f>
        <v>http://catalog.hathitrust.org/Record/006537961</v>
      </c>
      <c r="J3970" s="1">
        <v>1879</v>
      </c>
      <c r="K3970" t="s">
        <v>11535</v>
      </c>
      <c r="L3970" t="s">
        <v>11536</v>
      </c>
    </row>
    <row r="3971" spans="1:12">
      <c r="A3971" t="s">
        <v>11537</v>
      </c>
      <c r="B3971" s="1" t="s">
        <v>11637</v>
      </c>
      <c r="F3971">
        <v>1</v>
      </c>
      <c r="G3971" t="str">
        <f>HYPERLINK("http://babel.hathitrust.org/cgi/pt?id=uc2.ark:/13960/t4hm5686m")</f>
        <v>http://babel.hathitrust.org/cgi/pt?id=uc2.ark:/13960/t4hm5686m</v>
      </c>
      <c r="H3971" t="str">
        <f>HYPERLINK("http://catalog.hathitrust.org/Record/006537961")</f>
        <v>http://catalog.hathitrust.org/Record/006537961</v>
      </c>
      <c r="J3971" s="1">
        <v>1879</v>
      </c>
      <c r="K3971" t="s">
        <v>11535</v>
      </c>
      <c r="L3971" t="s">
        <v>11536</v>
      </c>
    </row>
    <row r="3972" spans="1:12">
      <c r="A3972" t="s">
        <v>11538</v>
      </c>
      <c r="B3972" s="1" t="s">
        <v>11539</v>
      </c>
      <c r="F3972">
        <v>1</v>
      </c>
      <c r="G3972" t="str">
        <f>HYPERLINK("http://babel.hathitrust.org/cgi/pt?id=uc1.b307121")</f>
        <v>http://babel.hathitrust.org/cgi/pt?id=uc1.b307121</v>
      </c>
      <c r="H3972" t="str">
        <f>HYPERLINK("http://catalog.hathitrust.org/Record/006537970")</f>
        <v>http://catalog.hathitrust.org/Record/006537970</v>
      </c>
      <c r="J3972" s="1">
        <v>1920</v>
      </c>
      <c r="K3972" t="s">
        <v>11540</v>
      </c>
      <c r="L3972" t="s">
        <v>11541</v>
      </c>
    </row>
    <row r="3973" spans="1:12">
      <c r="A3973" t="s">
        <v>11542</v>
      </c>
      <c r="B3973" s="1" t="s">
        <v>11543</v>
      </c>
      <c r="F3973">
        <v>1</v>
      </c>
      <c r="G3973" t="str">
        <f>HYPERLINK("http://babel.hathitrust.org/cgi/pt?id=uc1.b307127")</f>
        <v>http://babel.hathitrust.org/cgi/pt?id=uc1.b307127</v>
      </c>
      <c r="H3973" t="str">
        <f>HYPERLINK("http://catalog.hathitrust.org/Record/006537974")</f>
        <v>http://catalog.hathitrust.org/Record/006537974</v>
      </c>
      <c r="J3973" s="1">
        <v>1879</v>
      </c>
      <c r="K3973" t="s">
        <v>11544</v>
      </c>
      <c r="L3973" t="s">
        <v>12817</v>
      </c>
    </row>
    <row r="3974" spans="1:12">
      <c r="A3974" t="s">
        <v>11545</v>
      </c>
      <c r="B3974" s="1" t="s">
        <v>11543</v>
      </c>
      <c r="F3974">
        <v>1</v>
      </c>
      <c r="G3974" t="str">
        <f>HYPERLINK("http://babel.hathitrust.org/cgi/pt?id=uc2.ark:/13960/t7xk8hp05")</f>
        <v>http://babel.hathitrust.org/cgi/pt?id=uc2.ark:/13960/t7xk8hp05</v>
      </c>
      <c r="H3974" t="str">
        <f>HYPERLINK("http://catalog.hathitrust.org/Record/006537974")</f>
        <v>http://catalog.hathitrust.org/Record/006537974</v>
      </c>
      <c r="J3974" s="1">
        <v>1879</v>
      </c>
      <c r="K3974" t="s">
        <v>11544</v>
      </c>
      <c r="L3974" t="s">
        <v>12817</v>
      </c>
    </row>
    <row r="3975" spans="1:12">
      <c r="A3975" t="s">
        <v>11546</v>
      </c>
      <c r="B3975" s="1" t="s">
        <v>11547</v>
      </c>
      <c r="F3975">
        <v>1</v>
      </c>
      <c r="G3975" t="str">
        <f>HYPERLINK("http://babel.hathitrust.org/cgi/pt?id=uc1.b307132")</f>
        <v>http://babel.hathitrust.org/cgi/pt?id=uc1.b307132</v>
      </c>
      <c r="H3975" t="str">
        <f>HYPERLINK("http://catalog.hathitrust.org/Record/006537976")</f>
        <v>http://catalog.hathitrust.org/Record/006537976</v>
      </c>
      <c r="J3975" s="1">
        <v>1848</v>
      </c>
      <c r="K3975" t="s">
        <v>11548</v>
      </c>
      <c r="L3975" t="s">
        <v>12659</v>
      </c>
    </row>
    <row r="3976" spans="1:12">
      <c r="A3976" t="s">
        <v>11549</v>
      </c>
      <c r="B3976" s="1" t="s">
        <v>11547</v>
      </c>
      <c r="F3976">
        <v>1</v>
      </c>
      <c r="G3976" t="str">
        <f>HYPERLINK("http://babel.hathitrust.org/cgi/pt?id=uc2.ark:/13960/t8cf9p65p")</f>
        <v>http://babel.hathitrust.org/cgi/pt?id=uc2.ark:/13960/t8cf9p65p</v>
      </c>
      <c r="H3976" t="str">
        <f>HYPERLINK("http://catalog.hathitrust.org/Record/006537976")</f>
        <v>http://catalog.hathitrust.org/Record/006537976</v>
      </c>
      <c r="J3976" s="1">
        <v>1848</v>
      </c>
      <c r="K3976" t="s">
        <v>11548</v>
      </c>
      <c r="L3976" t="s">
        <v>12659</v>
      </c>
    </row>
    <row r="3977" spans="1:12">
      <c r="A3977" t="s">
        <v>11550</v>
      </c>
      <c r="B3977" s="1" t="s">
        <v>11551</v>
      </c>
      <c r="F3977">
        <v>1</v>
      </c>
      <c r="G3977" t="str">
        <f>HYPERLINK("http://babel.hathitrust.org/cgi/pt?id=nyp.33433069240764")</f>
        <v>http://babel.hathitrust.org/cgi/pt?id=nyp.33433069240764</v>
      </c>
      <c r="H3977" t="str">
        <f>HYPERLINK("http://catalog.hathitrust.org/Record/006537977")</f>
        <v>http://catalog.hathitrust.org/Record/006537977</v>
      </c>
      <c r="J3977" s="1">
        <v>1852</v>
      </c>
      <c r="K3977" t="s">
        <v>20883</v>
      </c>
      <c r="L3977" t="s">
        <v>20884</v>
      </c>
    </row>
    <row r="3978" spans="1:12">
      <c r="A3978" t="s">
        <v>11552</v>
      </c>
      <c r="B3978" s="1" t="s">
        <v>11553</v>
      </c>
      <c r="F3978">
        <v>1</v>
      </c>
      <c r="G3978" t="str">
        <f>HYPERLINK("http://babel.hathitrust.org/cgi/pt?id=uc1.b307134")</f>
        <v>http://babel.hathitrust.org/cgi/pt?id=uc1.b307134</v>
      </c>
      <c r="H3978" t="str">
        <f>HYPERLINK("http://catalog.hathitrust.org/Record/006537978")</f>
        <v>http://catalog.hathitrust.org/Record/006537978</v>
      </c>
      <c r="J3978" s="1">
        <v>1869</v>
      </c>
      <c r="K3978" t="s">
        <v>11554</v>
      </c>
      <c r="L3978" t="s">
        <v>11555</v>
      </c>
    </row>
    <row r="3979" spans="1:12">
      <c r="A3979" t="s">
        <v>11556</v>
      </c>
      <c r="B3979" s="1" t="s">
        <v>11557</v>
      </c>
      <c r="F3979">
        <v>1</v>
      </c>
      <c r="G3979" t="str">
        <f>HYPERLINK("http://babel.hathitrust.org/cgi/pt?id=uc1.b307136")</f>
        <v>http://babel.hathitrust.org/cgi/pt?id=uc1.b307136</v>
      </c>
      <c r="H3979" t="str">
        <f>HYPERLINK("http://catalog.hathitrust.org/Record/006537979")</f>
        <v>http://catalog.hathitrust.org/Record/006537979</v>
      </c>
      <c r="J3979" s="1">
        <v>1860</v>
      </c>
      <c r="K3979" t="s">
        <v>11558</v>
      </c>
      <c r="L3979" t="s">
        <v>12718</v>
      </c>
    </row>
    <row r="3980" spans="1:12">
      <c r="A3980" t="s">
        <v>11559</v>
      </c>
      <c r="B3980" s="1" t="s">
        <v>11557</v>
      </c>
      <c r="F3980">
        <v>1</v>
      </c>
      <c r="G3980" t="str">
        <f>HYPERLINK("http://babel.hathitrust.org/cgi/pt?id=uc2.ark:/13960/t80k2bc34")</f>
        <v>http://babel.hathitrust.org/cgi/pt?id=uc2.ark:/13960/t80k2bc34</v>
      </c>
      <c r="H3980" t="str">
        <f>HYPERLINK("http://catalog.hathitrust.org/Record/006537979")</f>
        <v>http://catalog.hathitrust.org/Record/006537979</v>
      </c>
      <c r="J3980" s="1">
        <v>1860</v>
      </c>
      <c r="K3980" t="s">
        <v>11558</v>
      </c>
      <c r="L3980" t="s">
        <v>12718</v>
      </c>
    </row>
    <row r="3981" spans="1:12">
      <c r="A3981" t="s">
        <v>11560</v>
      </c>
      <c r="B3981" s="1" t="s">
        <v>11561</v>
      </c>
      <c r="F3981">
        <v>1</v>
      </c>
      <c r="G3981" t="str">
        <f>HYPERLINK("http://babel.hathitrust.org/cgi/pt?id=uc1.b307771")</f>
        <v>http://babel.hathitrust.org/cgi/pt?id=uc1.b307771</v>
      </c>
      <c r="H3981" t="str">
        <f>HYPERLINK("http://catalog.hathitrust.org/Record/006538422")</f>
        <v>http://catalog.hathitrust.org/Record/006538422</v>
      </c>
      <c r="J3981" s="1">
        <v>1912</v>
      </c>
      <c r="K3981" t="s">
        <v>11562</v>
      </c>
      <c r="L3981" t="s">
        <v>11563</v>
      </c>
    </row>
    <row r="3982" spans="1:12">
      <c r="A3982" t="s">
        <v>11564</v>
      </c>
      <c r="B3982" s="1" t="s">
        <v>11561</v>
      </c>
      <c r="F3982">
        <v>1</v>
      </c>
      <c r="G3982" t="str">
        <f>HYPERLINK("http://babel.hathitrust.org/cgi/pt?id=uc2.ark:/13960/t0gt5k72f")</f>
        <v>http://babel.hathitrust.org/cgi/pt?id=uc2.ark:/13960/t0gt5k72f</v>
      </c>
      <c r="H3982" t="str">
        <f>HYPERLINK("http://catalog.hathitrust.org/Record/006538422")</f>
        <v>http://catalog.hathitrust.org/Record/006538422</v>
      </c>
      <c r="J3982" s="1">
        <v>1912</v>
      </c>
      <c r="K3982" t="s">
        <v>11562</v>
      </c>
      <c r="L3982" t="s">
        <v>11563</v>
      </c>
    </row>
    <row r="3983" spans="1:12">
      <c r="A3983" t="s">
        <v>11565</v>
      </c>
      <c r="B3983" s="1" t="s">
        <v>11566</v>
      </c>
      <c r="F3983">
        <v>1</v>
      </c>
      <c r="G3983" t="str">
        <f>HYPERLINK("http://babel.hathitrust.org/cgi/pt?id=uc1.b307780")</f>
        <v>http://babel.hathitrust.org/cgi/pt?id=uc1.b307780</v>
      </c>
      <c r="H3983" t="str">
        <f>HYPERLINK("http://catalog.hathitrust.org/Record/006538430")</f>
        <v>http://catalog.hathitrust.org/Record/006538430</v>
      </c>
      <c r="J3983" s="1">
        <v>1863</v>
      </c>
      <c r="K3983" t="s">
        <v>11567</v>
      </c>
      <c r="L3983" t="s">
        <v>11568</v>
      </c>
    </row>
    <row r="3984" spans="1:12">
      <c r="A3984" t="s">
        <v>11569</v>
      </c>
      <c r="B3984" s="1" t="s">
        <v>11566</v>
      </c>
      <c r="F3984">
        <v>1</v>
      </c>
      <c r="G3984" t="str">
        <f>HYPERLINK("http://babel.hathitrust.org/cgi/pt?id=uc2.ark:/13960/t6ww7bw8s")</f>
        <v>http://babel.hathitrust.org/cgi/pt?id=uc2.ark:/13960/t6ww7bw8s</v>
      </c>
      <c r="H3984" t="str">
        <f>HYPERLINK("http://catalog.hathitrust.org/Record/006538430")</f>
        <v>http://catalog.hathitrust.org/Record/006538430</v>
      </c>
      <c r="J3984" s="1">
        <v>1863</v>
      </c>
      <c r="K3984" t="s">
        <v>11567</v>
      </c>
      <c r="L3984" t="s">
        <v>11568</v>
      </c>
    </row>
    <row r="3985" spans="1:12">
      <c r="A3985" t="s">
        <v>11570</v>
      </c>
      <c r="B3985" s="1" t="s">
        <v>11571</v>
      </c>
      <c r="F3985">
        <v>1</v>
      </c>
      <c r="G3985" t="str">
        <f>HYPERLINK("http://babel.hathitrust.org/cgi/pt?id=uc1.b307789")</f>
        <v>http://babel.hathitrust.org/cgi/pt?id=uc1.b307789</v>
      </c>
      <c r="H3985" t="str">
        <f>HYPERLINK("http://catalog.hathitrust.org/Record/006538436")</f>
        <v>http://catalog.hathitrust.org/Record/006538436</v>
      </c>
      <c r="J3985" s="1">
        <v>1883</v>
      </c>
      <c r="K3985" t="s">
        <v>11572</v>
      </c>
      <c r="L3985" t="s">
        <v>11573</v>
      </c>
    </row>
    <row r="3986" spans="1:12">
      <c r="A3986" t="s">
        <v>11574</v>
      </c>
      <c r="B3986" s="1" t="s">
        <v>11571</v>
      </c>
      <c r="F3986">
        <v>1</v>
      </c>
      <c r="G3986" t="str">
        <f>HYPERLINK("http://babel.hathitrust.org/cgi/pt?id=uc2.ark:/13960/t3vt1mv34")</f>
        <v>http://babel.hathitrust.org/cgi/pt?id=uc2.ark:/13960/t3vt1mv34</v>
      </c>
      <c r="H3986" t="str">
        <f>HYPERLINK("http://catalog.hathitrust.org/Record/006538436")</f>
        <v>http://catalog.hathitrust.org/Record/006538436</v>
      </c>
      <c r="J3986" s="1">
        <v>1883</v>
      </c>
      <c r="K3986" t="s">
        <v>11572</v>
      </c>
      <c r="L3986" t="s">
        <v>11573</v>
      </c>
    </row>
    <row r="3987" spans="1:12">
      <c r="A3987" t="s">
        <v>11575</v>
      </c>
      <c r="B3987" s="1" t="s">
        <v>11576</v>
      </c>
      <c r="E3987">
        <v>1</v>
      </c>
      <c r="G3987" t="str">
        <f>HYPERLINK("http://babel.hathitrust.org/cgi/pt?id=uc1.b307792")</f>
        <v>http://babel.hathitrust.org/cgi/pt?id=uc1.b307792</v>
      </c>
      <c r="H3987" t="str">
        <f>HYPERLINK("http://catalog.hathitrust.org/Record/006538439")</f>
        <v>http://catalog.hathitrust.org/Record/006538439</v>
      </c>
      <c r="J3987" s="1">
        <v>1904</v>
      </c>
      <c r="K3987" t="s">
        <v>11577</v>
      </c>
      <c r="L3987" t="s">
        <v>11578</v>
      </c>
    </row>
    <row r="3988" spans="1:12">
      <c r="A3988" t="s">
        <v>11579</v>
      </c>
      <c r="B3988" s="1" t="s">
        <v>11580</v>
      </c>
      <c r="F3988">
        <v>1</v>
      </c>
      <c r="G3988" t="str">
        <f>HYPERLINK("http://babel.hathitrust.org/cgi/pt?id=uc1.b307815")</f>
        <v>http://babel.hathitrust.org/cgi/pt?id=uc1.b307815</v>
      </c>
      <c r="H3988" t="str">
        <f>HYPERLINK("http://catalog.hathitrust.org/Record/006538447")</f>
        <v>http://catalog.hathitrust.org/Record/006538447</v>
      </c>
      <c r="J3988" s="1">
        <v>1914</v>
      </c>
      <c r="K3988" t="s">
        <v>11581</v>
      </c>
      <c r="L3988" t="s">
        <v>11582</v>
      </c>
    </row>
    <row r="3989" spans="1:12">
      <c r="A3989" t="s">
        <v>11583</v>
      </c>
      <c r="B3989" s="1" t="s">
        <v>11580</v>
      </c>
      <c r="F3989">
        <v>1</v>
      </c>
      <c r="G3989" t="str">
        <f>HYPERLINK("http://babel.hathitrust.org/cgi/pt?id=uc2.ark:/13960/t6pz55j7t")</f>
        <v>http://babel.hathitrust.org/cgi/pt?id=uc2.ark:/13960/t6pz55j7t</v>
      </c>
      <c r="H3989" t="str">
        <f>HYPERLINK("http://catalog.hathitrust.org/Record/006538447")</f>
        <v>http://catalog.hathitrust.org/Record/006538447</v>
      </c>
      <c r="J3989" s="1">
        <v>1914</v>
      </c>
      <c r="K3989" t="s">
        <v>11581</v>
      </c>
      <c r="L3989" t="s">
        <v>11582</v>
      </c>
    </row>
    <row r="3990" spans="1:12">
      <c r="A3990" t="s">
        <v>11584</v>
      </c>
      <c r="B3990" s="1" t="s">
        <v>11585</v>
      </c>
      <c r="F3990">
        <v>1</v>
      </c>
      <c r="G3990" t="str">
        <f>HYPERLINK("http://babel.hathitrust.org/cgi/pt?id=uc1.b307824")</f>
        <v>http://babel.hathitrust.org/cgi/pt?id=uc1.b307824</v>
      </c>
      <c r="H3990" t="str">
        <f>HYPERLINK("http://catalog.hathitrust.org/Record/006538454")</f>
        <v>http://catalog.hathitrust.org/Record/006538454</v>
      </c>
      <c r="J3990" s="1">
        <v>1865</v>
      </c>
      <c r="K3990" t="s">
        <v>11487</v>
      </c>
      <c r="L3990" t="s">
        <v>11488</v>
      </c>
    </row>
    <row r="3991" spans="1:12">
      <c r="A3991" t="s">
        <v>11489</v>
      </c>
      <c r="B3991" s="1" t="s">
        <v>11585</v>
      </c>
      <c r="F3991">
        <v>1</v>
      </c>
      <c r="G3991" t="str">
        <f>HYPERLINK("http://babel.hathitrust.org/cgi/pt?id=uc2.ark:/13960/t1pg1n86t")</f>
        <v>http://babel.hathitrust.org/cgi/pt?id=uc2.ark:/13960/t1pg1n86t</v>
      </c>
      <c r="H3991" t="str">
        <f>HYPERLINK("http://catalog.hathitrust.org/Record/006538454")</f>
        <v>http://catalog.hathitrust.org/Record/006538454</v>
      </c>
      <c r="J3991" s="1">
        <v>1865</v>
      </c>
      <c r="K3991" t="s">
        <v>11487</v>
      </c>
      <c r="L3991" t="s">
        <v>11488</v>
      </c>
    </row>
    <row r="3992" spans="1:12">
      <c r="A3992" t="s">
        <v>11490</v>
      </c>
      <c r="B3992" s="1" t="s">
        <v>11491</v>
      </c>
      <c r="F3992">
        <v>1</v>
      </c>
      <c r="G3992" t="str">
        <f>HYPERLINK("http://babel.hathitrust.org/cgi/pt?id=uc1.b307849")</f>
        <v>http://babel.hathitrust.org/cgi/pt?id=uc1.b307849</v>
      </c>
      <c r="H3992" t="str">
        <f>HYPERLINK("http://catalog.hathitrust.org/Record/006538469")</f>
        <v>http://catalog.hathitrust.org/Record/006538469</v>
      </c>
      <c r="J3992" s="1">
        <v>1922</v>
      </c>
      <c r="K3992" t="s">
        <v>11492</v>
      </c>
      <c r="L3992" t="s">
        <v>11586</v>
      </c>
    </row>
    <row r="3993" spans="1:12">
      <c r="A3993" t="s">
        <v>11493</v>
      </c>
      <c r="B3993" s="1" t="s">
        <v>11491</v>
      </c>
      <c r="F3993">
        <v>1</v>
      </c>
      <c r="G3993" t="str">
        <f>HYPERLINK("http://babel.hathitrust.org/cgi/pt?id=uc2.ark:/13960/t45q4wt8k")</f>
        <v>http://babel.hathitrust.org/cgi/pt?id=uc2.ark:/13960/t45q4wt8k</v>
      </c>
      <c r="H3993" t="str">
        <f>HYPERLINK("http://catalog.hathitrust.org/Record/006538469")</f>
        <v>http://catalog.hathitrust.org/Record/006538469</v>
      </c>
      <c r="J3993" s="1">
        <v>1922</v>
      </c>
      <c r="K3993" t="s">
        <v>11492</v>
      </c>
      <c r="L3993" t="s">
        <v>11586</v>
      </c>
    </row>
    <row r="3994" spans="1:12">
      <c r="A3994" t="s">
        <v>11494</v>
      </c>
      <c r="B3994" s="1" t="s">
        <v>11495</v>
      </c>
      <c r="F3994">
        <v>1</v>
      </c>
      <c r="G3994" t="str">
        <f>HYPERLINK("http://babel.hathitrust.org/cgi/pt?id=uc1.b307866")</f>
        <v>http://babel.hathitrust.org/cgi/pt?id=uc1.b307866</v>
      </c>
      <c r="H3994" t="str">
        <f>HYPERLINK("http://catalog.hathitrust.org/Record/006538482")</f>
        <v>http://catalog.hathitrust.org/Record/006538482</v>
      </c>
      <c r="J3994" s="1">
        <v>1889</v>
      </c>
      <c r="K3994" t="s">
        <v>11496</v>
      </c>
      <c r="L3994" t="s">
        <v>11497</v>
      </c>
    </row>
    <row r="3995" spans="1:12">
      <c r="A3995" t="s">
        <v>11498</v>
      </c>
      <c r="B3995" s="1" t="s">
        <v>11495</v>
      </c>
      <c r="F3995">
        <v>1</v>
      </c>
      <c r="G3995" t="str">
        <f>HYPERLINK("http://babel.hathitrust.org/cgi/pt?id=uc2.ark:/13960/t9p26v85s")</f>
        <v>http://babel.hathitrust.org/cgi/pt?id=uc2.ark:/13960/t9p26v85s</v>
      </c>
      <c r="H3995" t="str">
        <f>HYPERLINK("http://catalog.hathitrust.org/Record/006538482")</f>
        <v>http://catalog.hathitrust.org/Record/006538482</v>
      </c>
      <c r="J3995" s="1">
        <v>1889</v>
      </c>
      <c r="K3995" t="s">
        <v>11496</v>
      </c>
      <c r="L3995" t="s">
        <v>11497</v>
      </c>
    </row>
    <row r="3996" spans="1:12">
      <c r="A3996" t="s">
        <v>11499</v>
      </c>
      <c r="B3996" s="1" t="s">
        <v>11500</v>
      </c>
      <c r="F3996">
        <v>1</v>
      </c>
      <c r="G3996" t="str">
        <f>HYPERLINK("http://babel.hathitrust.org/cgi/pt?id=uc1.b307870")</f>
        <v>http://babel.hathitrust.org/cgi/pt?id=uc1.b307870</v>
      </c>
      <c r="H3996" t="str">
        <f>HYPERLINK("http://catalog.hathitrust.org/Record/006538485")</f>
        <v>http://catalog.hathitrust.org/Record/006538485</v>
      </c>
      <c r="J3996" s="1">
        <v>1867</v>
      </c>
      <c r="K3996" t="s">
        <v>11501</v>
      </c>
      <c r="L3996" t="s">
        <v>15169</v>
      </c>
    </row>
    <row r="3997" spans="1:12">
      <c r="A3997" t="s">
        <v>11502</v>
      </c>
      <c r="B3997" s="1" t="s">
        <v>11500</v>
      </c>
      <c r="F3997">
        <v>1</v>
      </c>
      <c r="G3997" t="str">
        <f>HYPERLINK("http://babel.hathitrust.org/cgi/pt?id=uc2.ark:/13960/t3319ww0q")</f>
        <v>http://babel.hathitrust.org/cgi/pt?id=uc2.ark:/13960/t3319ww0q</v>
      </c>
      <c r="H3997" t="str">
        <f>HYPERLINK("http://catalog.hathitrust.org/Record/006538485")</f>
        <v>http://catalog.hathitrust.org/Record/006538485</v>
      </c>
      <c r="J3997" s="1">
        <v>1867</v>
      </c>
      <c r="K3997" t="s">
        <v>11501</v>
      </c>
      <c r="L3997" t="s">
        <v>15169</v>
      </c>
    </row>
    <row r="3998" spans="1:12">
      <c r="A3998" t="s">
        <v>11503</v>
      </c>
      <c r="B3998" s="1" t="s">
        <v>11504</v>
      </c>
      <c r="F3998">
        <v>1</v>
      </c>
      <c r="G3998" t="str">
        <f>HYPERLINK("http://babel.hathitrust.org/cgi/pt?id=uc1.b307872")</f>
        <v>http://babel.hathitrust.org/cgi/pt?id=uc1.b307872</v>
      </c>
      <c r="H3998" t="str">
        <f>HYPERLINK("http://catalog.hathitrust.org/Record/006538486")</f>
        <v>http://catalog.hathitrust.org/Record/006538486</v>
      </c>
      <c r="J3998" s="1">
        <v>1881</v>
      </c>
      <c r="K3998" t="s">
        <v>11505</v>
      </c>
      <c r="L3998" t="s">
        <v>12738</v>
      </c>
    </row>
    <row r="3999" spans="1:12">
      <c r="A3999" t="s">
        <v>11506</v>
      </c>
      <c r="B3999" s="1" t="s">
        <v>11504</v>
      </c>
      <c r="F3999">
        <v>1</v>
      </c>
      <c r="G3999" t="str">
        <f>HYPERLINK("http://babel.hathitrust.org/cgi/pt?id=uc2.ark:/13960/t07w6bq93")</f>
        <v>http://babel.hathitrust.org/cgi/pt?id=uc2.ark:/13960/t07w6bq93</v>
      </c>
      <c r="H3999" t="str">
        <f>HYPERLINK("http://catalog.hathitrust.org/Record/006538486")</f>
        <v>http://catalog.hathitrust.org/Record/006538486</v>
      </c>
      <c r="J3999" s="1">
        <v>1881</v>
      </c>
      <c r="K3999" t="s">
        <v>11505</v>
      </c>
      <c r="L3999" t="s">
        <v>12738</v>
      </c>
    </row>
    <row r="4000" spans="1:12">
      <c r="A4000" t="s">
        <v>11507</v>
      </c>
      <c r="B4000" s="1" t="s">
        <v>11508</v>
      </c>
      <c r="F4000">
        <v>1</v>
      </c>
      <c r="G4000" t="str">
        <f>HYPERLINK("http://babel.hathitrust.org/cgi/pt?id=uc1.b307873")</f>
        <v>http://babel.hathitrust.org/cgi/pt?id=uc1.b307873</v>
      </c>
      <c r="H4000" t="str">
        <f>HYPERLINK("http://catalog.hathitrust.org/Record/006538487")</f>
        <v>http://catalog.hathitrust.org/Record/006538487</v>
      </c>
      <c r="J4000" s="1">
        <v>1857</v>
      </c>
      <c r="K4000" t="s">
        <v>11509</v>
      </c>
      <c r="L4000" t="s">
        <v>19505</v>
      </c>
    </row>
    <row r="4001" spans="1:12">
      <c r="A4001" t="s">
        <v>11510</v>
      </c>
      <c r="B4001" s="1" t="s">
        <v>11508</v>
      </c>
      <c r="F4001">
        <v>1</v>
      </c>
      <c r="G4001" t="str">
        <f>HYPERLINK("http://babel.hathitrust.org/cgi/pt?id=uc2.ark:/13960/t8tb12x06")</f>
        <v>http://babel.hathitrust.org/cgi/pt?id=uc2.ark:/13960/t8tb12x06</v>
      </c>
      <c r="H4001" t="str">
        <f>HYPERLINK("http://catalog.hathitrust.org/Record/006538487")</f>
        <v>http://catalog.hathitrust.org/Record/006538487</v>
      </c>
      <c r="J4001" s="1">
        <v>1857</v>
      </c>
      <c r="K4001" t="s">
        <v>11509</v>
      </c>
      <c r="L4001" t="s">
        <v>19505</v>
      </c>
    </row>
    <row r="4002" spans="1:12">
      <c r="A4002" t="s">
        <v>11511</v>
      </c>
      <c r="B4002" s="1" t="s">
        <v>11512</v>
      </c>
      <c r="F4002">
        <v>1</v>
      </c>
      <c r="G4002" t="str">
        <f>HYPERLINK("http://babel.hathitrust.org/cgi/pt?id=hvd.hn3kj7")</f>
        <v>http://babel.hathitrust.org/cgi/pt?id=hvd.hn3kj7</v>
      </c>
      <c r="H4002" t="str">
        <f>HYPERLINK("http://catalog.hathitrust.org/Record/006538489")</f>
        <v>http://catalog.hathitrust.org/Record/006538489</v>
      </c>
      <c r="J4002" s="1">
        <v>1869</v>
      </c>
      <c r="K4002" t="s">
        <v>11513</v>
      </c>
      <c r="L4002" t="s">
        <v>11514</v>
      </c>
    </row>
    <row r="4003" spans="1:12">
      <c r="A4003" t="s">
        <v>11515</v>
      </c>
      <c r="B4003" s="1" t="s">
        <v>11512</v>
      </c>
      <c r="F4003">
        <v>1</v>
      </c>
      <c r="G4003" t="str">
        <f>HYPERLINK("http://babel.hathitrust.org/cgi/pt?id=uc1.b307875")</f>
        <v>http://babel.hathitrust.org/cgi/pt?id=uc1.b307875</v>
      </c>
      <c r="H4003" t="str">
        <f>HYPERLINK("http://catalog.hathitrust.org/Record/006538489")</f>
        <v>http://catalog.hathitrust.org/Record/006538489</v>
      </c>
      <c r="J4003" s="1">
        <v>1869</v>
      </c>
      <c r="K4003" t="s">
        <v>11513</v>
      </c>
      <c r="L4003" t="s">
        <v>11514</v>
      </c>
    </row>
    <row r="4004" spans="1:12">
      <c r="A4004" t="s">
        <v>11516</v>
      </c>
      <c r="B4004" s="1" t="s">
        <v>11512</v>
      </c>
      <c r="F4004">
        <v>1</v>
      </c>
      <c r="G4004" t="str">
        <f>HYPERLINK("http://babel.hathitrust.org/cgi/pt?id=uc2.ark:/13960/t4bp0039k")</f>
        <v>http://babel.hathitrust.org/cgi/pt?id=uc2.ark:/13960/t4bp0039k</v>
      </c>
      <c r="H4004" t="str">
        <f>HYPERLINK("http://catalog.hathitrust.org/Record/006538489")</f>
        <v>http://catalog.hathitrust.org/Record/006538489</v>
      </c>
      <c r="J4004" s="1">
        <v>1869</v>
      </c>
      <c r="K4004" t="s">
        <v>11513</v>
      </c>
      <c r="L4004" t="s">
        <v>11514</v>
      </c>
    </row>
    <row r="4005" spans="1:12">
      <c r="A4005" t="s">
        <v>11517</v>
      </c>
      <c r="B4005" s="1" t="s">
        <v>11518</v>
      </c>
      <c r="F4005">
        <v>1</v>
      </c>
      <c r="G4005" t="str">
        <f>HYPERLINK("http://babel.hathitrust.org/cgi/pt?id=hvd.32044019360908")</f>
        <v>http://babel.hathitrust.org/cgi/pt?id=hvd.32044019360908</v>
      </c>
      <c r="H4005" t="str">
        <f>HYPERLINK("http://catalog.hathitrust.org/Record/006538490")</f>
        <v>http://catalog.hathitrust.org/Record/006538490</v>
      </c>
      <c r="J4005" s="1">
        <v>1833</v>
      </c>
      <c r="K4005" t="s">
        <v>11519</v>
      </c>
      <c r="L4005" t="s">
        <v>12679</v>
      </c>
    </row>
    <row r="4006" spans="1:12">
      <c r="A4006" t="s">
        <v>11520</v>
      </c>
      <c r="B4006" s="1" t="s">
        <v>11518</v>
      </c>
      <c r="F4006">
        <v>1</v>
      </c>
      <c r="G4006" t="str">
        <f>HYPERLINK("http://babel.hathitrust.org/cgi/pt?id=uc1.b307876")</f>
        <v>http://babel.hathitrust.org/cgi/pt?id=uc1.b307876</v>
      </c>
      <c r="H4006" t="str">
        <f>HYPERLINK("http://catalog.hathitrust.org/Record/006538490")</f>
        <v>http://catalog.hathitrust.org/Record/006538490</v>
      </c>
      <c r="J4006" s="1">
        <v>1833</v>
      </c>
      <c r="K4006" t="s">
        <v>11519</v>
      </c>
      <c r="L4006" t="s">
        <v>12679</v>
      </c>
    </row>
    <row r="4007" spans="1:12">
      <c r="A4007" t="s">
        <v>11521</v>
      </c>
      <c r="B4007" s="1" t="s">
        <v>11518</v>
      </c>
      <c r="F4007">
        <v>1</v>
      </c>
      <c r="G4007" t="str">
        <f>HYPERLINK("http://babel.hathitrust.org/cgi/pt?id=uc2.ark:/13960/t3nv9f276")</f>
        <v>http://babel.hathitrust.org/cgi/pt?id=uc2.ark:/13960/t3nv9f276</v>
      </c>
      <c r="H4007" t="str">
        <f>HYPERLINK("http://catalog.hathitrust.org/Record/006538490")</f>
        <v>http://catalog.hathitrust.org/Record/006538490</v>
      </c>
      <c r="J4007" s="1">
        <v>1833</v>
      </c>
      <c r="K4007" t="s">
        <v>11519</v>
      </c>
      <c r="L4007" t="s">
        <v>12679</v>
      </c>
    </row>
    <row r="4008" spans="1:12">
      <c r="A4008" t="s">
        <v>11522</v>
      </c>
      <c r="B4008" s="1" t="s">
        <v>11523</v>
      </c>
      <c r="E4008">
        <v>1</v>
      </c>
      <c r="G4008" t="str">
        <f>HYPERLINK("http://babel.hathitrust.org/cgi/pt?id=uc1.b307877")</f>
        <v>http://babel.hathitrust.org/cgi/pt?id=uc1.b307877</v>
      </c>
      <c r="H4008" t="str">
        <f>HYPERLINK("http://catalog.hathitrust.org/Record/006538491")</f>
        <v>http://catalog.hathitrust.org/Record/006538491</v>
      </c>
      <c r="J4008" s="1">
        <v>1878</v>
      </c>
      <c r="K4008" t="s">
        <v>11524</v>
      </c>
      <c r="L4008" t="s">
        <v>11525</v>
      </c>
    </row>
    <row r="4009" spans="1:12">
      <c r="A4009" t="s">
        <v>11526</v>
      </c>
      <c r="B4009" s="1" t="s">
        <v>11527</v>
      </c>
      <c r="E4009">
        <v>1</v>
      </c>
      <c r="F4009">
        <v>1</v>
      </c>
      <c r="G4009" t="str">
        <f>HYPERLINK("http://babel.hathitrust.org/cgi/pt?id=uc1.b307878")</f>
        <v>http://babel.hathitrust.org/cgi/pt?id=uc1.b307878</v>
      </c>
      <c r="H4009" t="str">
        <f>HYPERLINK("http://catalog.hathitrust.org/Record/006538492")</f>
        <v>http://catalog.hathitrust.org/Record/006538492</v>
      </c>
      <c r="J4009" s="1">
        <v>1871</v>
      </c>
      <c r="K4009" t="s">
        <v>11528</v>
      </c>
      <c r="L4009" t="s">
        <v>19514</v>
      </c>
    </row>
    <row r="4010" spans="1:12">
      <c r="A4010" t="s">
        <v>11529</v>
      </c>
      <c r="B4010" s="1" t="s">
        <v>11527</v>
      </c>
      <c r="F4010">
        <v>1</v>
      </c>
      <c r="G4010" t="str">
        <f>HYPERLINK("http://babel.hathitrust.org/cgi/pt?id=uc2.ark:/13960/t6d21wh73")</f>
        <v>http://babel.hathitrust.org/cgi/pt?id=uc2.ark:/13960/t6d21wh73</v>
      </c>
      <c r="H4010" t="str">
        <f>HYPERLINK("http://catalog.hathitrust.org/Record/006538492")</f>
        <v>http://catalog.hathitrust.org/Record/006538492</v>
      </c>
      <c r="J4010" s="1">
        <v>1871</v>
      </c>
      <c r="K4010" t="s">
        <v>11528</v>
      </c>
      <c r="L4010" t="s">
        <v>19514</v>
      </c>
    </row>
    <row r="4011" spans="1:12">
      <c r="A4011" t="s">
        <v>11530</v>
      </c>
      <c r="B4011" s="1" t="s">
        <v>11531</v>
      </c>
      <c r="F4011">
        <v>1</v>
      </c>
      <c r="G4011" t="str">
        <f>HYPERLINK("http://babel.hathitrust.org/cgi/pt?id=uc1.b307881")</f>
        <v>http://babel.hathitrust.org/cgi/pt?id=uc1.b307881</v>
      </c>
      <c r="H4011" t="str">
        <f>HYPERLINK("http://catalog.hathitrust.org/Record/006538495")</f>
        <v>http://catalog.hathitrust.org/Record/006538495</v>
      </c>
      <c r="J4011" s="1">
        <v>1886</v>
      </c>
      <c r="K4011" t="s">
        <v>12064</v>
      </c>
      <c r="L4011" t="s">
        <v>12065</v>
      </c>
    </row>
    <row r="4012" spans="1:12">
      <c r="A4012" t="s">
        <v>11532</v>
      </c>
      <c r="B4012" s="1" t="s">
        <v>11531</v>
      </c>
      <c r="F4012">
        <v>1</v>
      </c>
      <c r="G4012" t="str">
        <f>HYPERLINK("http://babel.hathitrust.org/cgi/pt?id=uc2.ark:/13960/t9862gh9f")</f>
        <v>http://babel.hathitrust.org/cgi/pt?id=uc2.ark:/13960/t9862gh9f</v>
      </c>
      <c r="H4012" t="str">
        <f>HYPERLINK("http://catalog.hathitrust.org/Record/006538495")</f>
        <v>http://catalog.hathitrust.org/Record/006538495</v>
      </c>
      <c r="J4012" s="1">
        <v>1886</v>
      </c>
      <c r="K4012" t="s">
        <v>12064</v>
      </c>
      <c r="L4012" t="s">
        <v>12065</v>
      </c>
    </row>
    <row r="4013" spans="1:12">
      <c r="A4013" t="s">
        <v>11533</v>
      </c>
      <c r="B4013" s="1" t="s">
        <v>11534</v>
      </c>
      <c r="F4013">
        <v>1</v>
      </c>
      <c r="G4013" t="str">
        <f>HYPERLINK("http://babel.hathitrust.org/cgi/pt?id=uc1.b307882")</f>
        <v>http://babel.hathitrust.org/cgi/pt?id=uc1.b307882</v>
      </c>
      <c r="H4013" t="str">
        <f>HYPERLINK("http://catalog.hathitrust.org/Record/006538496")</f>
        <v>http://catalog.hathitrust.org/Record/006538496</v>
      </c>
      <c r="J4013" s="1">
        <v>1884</v>
      </c>
      <c r="K4013" t="s">
        <v>11422</v>
      </c>
      <c r="L4013" t="s">
        <v>12065</v>
      </c>
    </row>
    <row r="4014" spans="1:12">
      <c r="A4014" t="s">
        <v>11423</v>
      </c>
      <c r="B4014" s="1" t="s">
        <v>11534</v>
      </c>
      <c r="F4014">
        <v>1</v>
      </c>
      <c r="G4014" t="str">
        <f>HYPERLINK("http://babel.hathitrust.org/cgi/pt?id=uc2.ark:/13960/t9959hd56")</f>
        <v>http://babel.hathitrust.org/cgi/pt?id=uc2.ark:/13960/t9959hd56</v>
      </c>
      <c r="H4014" t="str">
        <f>HYPERLINK("http://catalog.hathitrust.org/Record/006538496")</f>
        <v>http://catalog.hathitrust.org/Record/006538496</v>
      </c>
      <c r="J4014" s="1">
        <v>1884</v>
      </c>
      <c r="K4014" t="s">
        <v>11422</v>
      </c>
      <c r="L4014" t="s">
        <v>12065</v>
      </c>
    </row>
    <row r="4015" spans="1:12">
      <c r="A4015" t="s">
        <v>11424</v>
      </c>
      <c r="B4015" s="1" t="s">
        <v>11425</v>
      </c>
      <c r="F4015">
        <v>1</v>
      </c>
      <c r="G4015" t="str">
        <f>HYPERLINK("http://babel.hathitrust.org/cgi/pt?id=uc1.b307889")</f>
        <v>http://babel.hathitrust.org/cgi/pt?id=uc1.b307889</v>
      </c>
      <c r="H4015" t="str">
        <f>HYPERLINK("http://catalog.hathitrust.org/Record/006538499")</f>
        <v>http://catalog.hathitrust.org/Record/006538499</v>
      </c>
      <c r="J4015" s="1">
        <v>1874</v>
      </c>
      <c r="K4015" t="s">
        <v>11426</v>
      </c>
      <c r="L4015" t="s">
        <v>13888</v>
      </c>
    </row>
    <row r="4016" spans="1:12">
      <c r="A4016" t="s">
        <v>11427</v>
      </c>
      <c r="B4016" s="1" t="s">
        <v>11425</v>
      </c>
      <c r="F4016">
        <v>1</v>
      </c>
      <c r="G4016" t="str">
        <f>HYPERLINK("http://babel.hathitrust.org/cgi/pt?id=uc2.ark:/13960/t2f769w9s")</f>
        <v>http://babel.hathitrust.org/cgi/pt?id=uc2.ark:/13960/t2f769w9s</v>
      </c>
      <c r="H4016" t="str">
        <f>HYPERLINK("http://catalog.hathitrust.org/Record/006538499")</f>
        <v>http://catalog.hathitrust.org/Record/006538499</v>
      </c>
      <c r="J4016" s="1">
        <v>1874</v>
      </c>
      <c r="K4016" t="s">
        <v>11426</v>
      </c>
      <c r="L4016" t="s">
        <v>13888</v>
      </c>
    </row>
    <row r="4017" spans="1:12">
      <c r="A4017" t="s">
        <v>11428</v>
      </c>
      <c r="B4017" s="1" t="s">
        <v>11429</v>
      </c>
      <c r="F4017">
        <v>1</v>
      </c>
      <c r="G4017" t="str">
        <f>HYPERLINK("http://babel.hathitrust.org/cgi/pt?id=uc1.b307898")</f>
        <v>http://babel.hathitrust.org/cgi/pt?id=uc1.b307898</v>
      </c>
      <c r="H4017" t="str">
        <f>HYPERLINK("http://catalog.hathitrust.org/Record/006538507")</f>
        <v>http://catalog.hathitrust.org/Record/006538507</v>
      </c>
      <c r="J4017" s="1">
        <v>1850</v>
      </c>
      <c r="K4017" t="s">
        <v>11430</v>
      </c>
      <c r="L4017" t="s">
        <v>15292</v>
      </c>
    </row>
    <row r="4018" spans="1:12">
      <c r="A4018" t="s">
        <v>11431</v>
      </c>
      <c r="B4018" s="1" t="s">
        <v>11429</v>
      </c>
      <c r="F4018">
        <v>1</v>
      </c>
      <c r="G4018" t="str">
        <f>HYPERLINK("http://babel.hathitrust.org/cgi/pt?id=uc2.ark:/13960/t6154jp0k")</f>
        <v>http://babel.hathitrust.org/cgi/pt?id=uc2.ark:/13960/t6154jp0k</v>
      </c>
      <c r="H4018" t="str">
        <f>HYPERLINK("http://catalog.hathitrust.org/Record/006538507")</f>
        <v>http://catalog.hathitrust.org/Record/006538507</v>
      </c>
      <c r="J4018" s="1">
        <v>1850</v>
      </c>
      <c r="K4018" t="s">
        <v>11430</v>
      </c>
      <c r="L4018" t="s">
        <v>15292</v>
      </c>
    </row>
    <row r="4019" spans="1:12">
      <c r="A4019" t="s">
        <v>11432</v>
      </c>
      <c r="B4019" s="1" t="s">
        <v>11433</v>
      </c>
      <c r="F4019">
        <v>1</v>
      </c>
      <c r="G4019" t="str">
        <f>HYPERLINK("http://babel.hathitrust.org/cgi/pt?id=uc1.b307910")</f>
        <v>http://babel.hathitrust.org/cgi/pt?id=uc1.b307910</v>
      </c>
      <c r="H4019" t="str">
        <f>HYPERLINK("http://catalog.hathitrust.org/Record/006538514")</f>
        <v>http://catalog.hathitrust.org/Record/006538514</v>
      </c>
      <c r="J4019" s="1">
        <v>1917</v>
      </c>
      <c r="K4019" t="s">
        <v>11434</v>
      </c>
      <c r="L4019" t="s">
        <v>12188</v>
      </c>
    </row>
    <row r="4020" spans="1:12">
      <c r="A4020" t="s">
        <v>11435</v>
      </c>
      <c r="B4020" s="1" t="s">
        <v>11433</v>
      </c>
      <c r="F4020">
        <v>1</v>
      </c>
      <c r="G4020" t="str">
        <f>HYPERLINK("http://babel.hathitrust.org/cgi/pt?id=uc2.ark:/13960/t1rf5q20v")</f>
        <v>http://babel.hathitrust.org/cgi/pt?id=uc2.ark:/13960/t1rf5q20v</v>
      </c>
      <c r="H4020" t="str">
        <f>HYPERLINK("http://catalog.hathitrust.org/Record/006538514")</f>
        <v>http://catalog.hathitrust.org/Record/006538514</v>
      </c>
      <c r="J4020" s="1">
        <v>1917</v>
      </c>
      <c r="K4020" t="s">
        <v>11434</v>
      </c>
      <c r="L4020" t="s">
        <v>12188</v>
      </c>
    </row>
    <row r="4021" spans="1:12">
      <c r="A4021" t="s">
        <v>11436</v>
      </c>
      <c r="B4021" s="1" t="s">
        <v>11437</v>
      </c>
      <c r="F4021">
        <v>1</v>
      </c>
      <c r="G4021" t="str">
        <f>HYPERLINK("http://babel.hathitrust.org/cgi/pt?id=uc1.b307911")</f>
        <v>http://babel.hathitrust.org/cgi/pt?id=uc1.b307911</v>
      </c>
      <c r="H4021" t="str">
        <f>HYPERLINK("http://catalog.hathitrust.org/Record/006538515")</f>
        <v>http://catalog.hathitrust.org/Record/006538515</v>
      </c>
      <c r="J4021" s="1">
        <v>1860</v>
      </c>
      <c r="K4021" t="s">
        <v>11438</v>
      </c>
      <c r="L4021" t="s">
        <v>11439</v>
      </c>
    </row>
    <row r="4022" spans="1:12">
      <c r="A4022" t="s">
        <v>11440</v>
      </c>
      <c r="B4022" s="1" t="s">
        <v>11437</v>
      </c>
      <c r="F4022">
        <v>1</v>
      </c>
      <c r="G4022" t="str">
        <f>HYPERLINK("http://babel.hathitrust.org/cgi/pt?id=uc2.ark:/13960/t83j3f525")</f>
        <v>http://babel.hathitrust.org/cgi/pt?id=uc2.ark:/13960/t83j3f525</v>
      </c>
      <c r="H4022" t="str">
        <f>HYPERLINK("http://catalog.hathitrust.org/Record/006538515")</f>
        <v>http://catalog.hathitrust.org/Record/006538515</v>
      </c>
      <c r="J4022" s="1">
        <v>1860</v>
      </c>
      <c r="K4022" t="s">
        <v>11438</v>
      </c>
      <c r="L4022" t="s">
        <v>11439</v>
      </c>
    </row>
    <row r="4023" spans="1:12">
      <c r="A4023" t="s">
        <v>11441</v>
      </c>
      <c r="B4023" s="1" t="s">
        <v>11442</v>
      </c>
      <c r="E4023">
        <v>1</v>
      </c>
      <c r="F4023">
        <v>1</v>
      </c>
      <c r="G4023" t="str">
        <f>HYPERLINK("http://babel.hathitrust.org/cgi/pt?id=uc1.$b617054")</f>
        <v>http://babel.hathitrust.org/cgi/pt?id=uc1.$b617054</v>
      </c>
      <c r="H4023" t="str">
        <f>HYPERLINK("http://catalog.hathitrust.org/Record/006538516")</f>
        <v>http://catalog.hathitrust.org/Record/006538516</v>
      </c>
      <c r="J4023" s="1">
        <v>1896</v>
      </c>
      <c r="K4023" t="s">
        <v>11443</v>
      </c>
      <c r="L4023" t="s">
        <v>11444</v>
      </c>
    </row>
    <row r="4024" spans="1:12">
      <c r="A4024" t="s">
        <v>11445</v>
      </c>
      <c r="B4024" s="1" t="s">
        <v>11442</v>
      </c>
      <c r="F4024">
        <v>1</v>
      </c>
      <c r="G4024" t="str">
        <f>HYPERLINK("http://babel.hathitrust.org/cgi/pt?id=uc1.b307912")</f>
        <v>http://babel.hathitrust.org/cgi/pt?id=uc1.b307912</v>
      </c>
      <c r="H4024" t="str">
        <f>HYPERLINK("http://catalog.hathitrust.org/Record/006538516")</f>
        <v>http://catalog.hathitrust.org/Record/006538516</v>
      </c>
      <c r="J4024" s="1">
        <v>1896</v>
      </c>
      <c r="K4024" t="s">
        <v>11443</v>
      </c>
      <c r="L4024" t="s">
        <v>11444</v>
      </c>
    </row>
    <row r="4025" spans="1:12">
      <c r="A4025" t="s">
        <v>11446</v>
      </c>
      <c r="B4025" s="1" t="s">
        <v>11442</v>
      </c>
      <c r="F4025">
        <v>1</v>
      </c>
      <c r="G4025" t="str">
        <f>HYPERLINK("http://babel.hathitrust.org/cgi/pt?id=uc2.ark:/13960/t90868p12")</f>
        <v>http://babel.hathitrust.org/cgi/pt?id=uc2.ark:/13960/t90868p12</v>
      </c>
      <c r="H4025" t="str">
        <f>HYPERLINK("http://catalog.hathitrust.org/Record/006538516")</f>
        <v>http://catalog.hathitrust.org/Record/006538516</v>
      </c>
      <c r="J4025" s="1">
        <v>1896</v>
      </c>
      <c r="K4025" t="s">
        <v>11443</v>
      </c>
      <c r="L4025" t="s">
        <v>11444</v>
      </c>
    </row>
    <row r="4026" spans="1:12">
      <c r="A4026" t="s">
        <v>11447</v>
      </c>
      <c r="B4026" s="1" t="s">
        <v>11448</v>
      </c>
      <c r="F4026">
        <v>1</v>
      </c>
      <c r="G4026" t="str">
        <f>HYPERLINK("http://babel.hathitrust.org/cgi/pt?id=uc1.b307914")</f>
        <v>http://babel.hathitrust.org/cgi/pt?id=uc1.b307914</v>
      </c>
      <c r="H4026" t="str">
        <f>HYPERLINK("http://catalog.hathitrust.org/Record/006538518")</f>
        <v>http://catalog.hathitrust.org/Record/006538518</v>
      </c>
      <c r="J4026" s="1">
        <v>1913</v>
      </c>
      <c r="K4026" t="s">
        <v>11449</v>
      </c>
      <c r="L4026" t="s">
        <v>11450</v>
      </c>
    </row>
    <row r="4027" spans="1:12">
      <c r="A4027" t="s">
        <v>11451</v>
      </c>
      <c r="B4027" s="1" t="s">
        <v>11448</v>
      </c>
      <c r="F4027">
        <v>1</v>
      </c>
      <c r="G4027" t="str">
        <f>HYPERLINK("http://babel.hathitrust.org/cgi/pt?id=uc2.ark:/13960/t3028tm3s")</f>
        <v>http://babel.hathitrust.org/cgi/pt?id=uc2.ark:/13960/t3028tm3s</v>
      </c>
      <c r="H4027" t="str">
        <f>HYPERLINK("http://catalog.hathitrust.org/Record/006538518")</f>
        <v>http://catalog.hathitrust.org/Record/006538518</v>
      </c>
      <c r="J4027" s="1">
        <v>1913</v>
      </c>
      <c r="K4027" t="s">
        <v>11449</v>
      </c>
      <c r="L4027" t="s">
        <v>11450</v>
      </c>
    </row>
    <row r="4028" spans="1:12">
      <c r="A4028" t="s">
        <v>11452</v>
      </c>
      <c r="B4028" s="1" t="s">
        <v>11453</v>
      </c>
      <c r="F4028">
        <v>1</v>
      </c>
      <c r="G4028" t="str">
        <f>HYPERLINK("http://babel.hathitrust.org/cgi/pt?id=uc1.b307915")</f>
        <v>http://babel.hathitrust.org/cgi/pt?id=uc1.b307915</v>
      </c>
      <c r="H4028" t="str">
        <f>HYPERLINK("http://catalog.hathitrust.org/Record/006538519")</f>
        <v>http://catalog.hathitrust.org/Record/006538519</v>
      </c>
      <c r="I4028" s="1" t="s">
        <v>20796</v>
      </c>
      <c r="J4028" s="1">
        <v>1921</v>
      </c>
      <c r="K4028" t="s">
        <v>11454</v>
      </c>
      <c r="L4028" t="s">
        <v>11450</v>
      </c>
    </row>
    <row r="4029" spans="1:12">
      <c r="A4029" t="s">
        <v>11455</v>
      </c>
      <c r="B4029" s="1" t="s">
        <v>11453</v>
      </c>
      <c r="F4029">
        <v>1</v>
      </c>
      <c r="G4029" t="str">
        <f>HYPERLINK("http://babel.hathitrust.org/cgi/pt?id=uc1.b307916")</f>
        <v>http://babel.hathitrust.org/cgi/pt?id=uc1.b307916</v>
      </c>
      <c r="H4029" t="str">
        <f>HYPERLINK("http://catalog.hathitrust.org/Record/006538519")</f>
        <v>http://catalog.hathitrust.org/Record/006538519</v>
      </c>
      <c r="I4029" s="1" t="s">
        <v>20799</v>
      </c>
      <c r="J4029" s="1">
        <v>1921</v>
      </c>
      <c r="K4029" t="s">
        <v>11454</v>
      </c>
      <c r="L4029" t="s">
        <v>11450</v>
      </c>
    </row>
    <row r="4030" spans="1:12">
      <c r="A4030" t="s">
        <v>11456</v>
      </c>
      <c r="B4030" s="1" t="s">
        <v>11457</v>
      </c>
      <c r="F4030">
        <v>1</v>
      </c>
      <c r="G4030" t="str">
        <f>HYPERLINK("http://babel.hathitrust.org/cgi/pt?id=uc1.b307917")</f>
        <v>http://babel.hathitrust.org/cgi/pt?id=uc1.b307917</v>
      </c>
      <c r="H4030" t="str">
        <f>HYPERLINK("http://catalog.hathitrust.org/Record/006538520")</f>
        <v>http://catalog.hathitrust.org/Record/006538520</v>
      </c>
      <c r="J4030" s="1">
        <v>1919</v>
      </c>
      <c r="K4030" t="s">
        <v>11458</v>
      </c>
      <c r="L4030" t="s">
        <v>11450</v>
      </c>
    </row>
    <row r="4031" spans="1:12">
      <c r="A4031" t="s">
        <v>11459</v>
      </c>
      <c r="B4031" s="1" t="s">
        <v>11457</v>
      </c>
      <c r="F4031">
        <v>1</v>
      </c>
      <c r="G4031" t="str">
        <f>HYPERLINK("http://babel.hathitrust.org/cgi/pt?id=uc2.ark:/13960/t5s75bd80")</f>
        <v>http://babel.hathitrust.org/cgi/pt?id=uc2.ark:/13960/t5s75bd80</v>
      </c>
      <c r="H4031" t="str">
        <f>HYPERLINK("http://catalog.hathitrust.org/Record/006538520")</f>
        <v>http://catalog.hathitrust.org/Record/006538520</v>
      </c>
      <c r="J4031" s="1">
        <v>1919</v>
      </c>
      <c r="K4031" t="s">
        <v>11458</v>
      </c>
      <c r="L4031" t="s">
        <v>11450</v>
      </c>
    </row>
    <row r="4032" spans="1:12">
      <c r="A4032" t="s">
        <v>11460</v>
      </c>
      <c r="B4032" s="1" t="s">
        <v>11461</v>
      </c>
      <c r="F4032">
        <v>1</v>
      </c>
      <c r="G4032" t="str">
        <f>HYPERLINK("http://babel.hathitrust.org/cgi/pt?id=uc1.b307920")</f>
        <v>http://babel.hathitrust.org/cgi/pt?id=uc1.b307920</v>
      </c>
      <c r="H4032" t="str">
        <f>HYPERLINK("http://catalog.hathitrust.org/Record/006538521")</f>
        <v>http://catalog.hathitrust.org/Record/006538521</v>
      </c>
      <c r="I4032" s="1" t="s">
        <v>20916</v>
      </c>
      <c r="J4032" s="1">
        <v>1912</v>
      </c>
      <c r="K4032" t="s">
        <v>11462</v>
      </c>
      <c r="L4032" t="s">
        <v>14154</v>
      </c>
    </row>
    <row r="4033" spans="1:12">
      <c r="A4033" t="s">
        <v>11463</v>
      </c>
      <c r="B4033" s="1" t="s">
        <v>11464</v>
      </c>
      <c r="F4033">
        <v>1</v>
      </c>
      <c r="G4033" t="str">
        <f>HYPERLINK("http://babel.hathitrust.org/cgi/pt?id=uc1.b307921")</f>
        <v>http://babel.hathitrust.org/cgi/pt?id=uc1.b307921</v>
      </c>
      <c r="H4033" t="str">
        <f>HYPERLINK("http://catalog.hathitrust.org/Record/006538522")</f>
        <v>http://catalog.hathitrust.org/Record/006538522</v>
      </c>
      <c r="J4033" s="1">
        <v>1924</v>
      </c>
      <c r="K4033" t="s">
        <v>11465</v>
      </c>
      <c r="L4033" t="s">
        <v>11466</v>
      </c>
    </row>
    <row r="4034" spans="1:12">
      <c r="A4034" t="s">
        <v>11467</v>
      </c>
      <c r="B4034" s="1" t="s">
        <v>11468</v>
      </c>
      <c r="F4034">
        <v>1</v>
      </c>
      <c r="G4034" t="str">
        <f>HYPERLINK("http://babel.hathitrust.org/cgi/pt?id=uc1.b307923")</f>
        <v>http://babel.hathitrust.org/cgi/pt?id=uc1.b307923</v>
      </c>
      <c r="H4034" t="str">
        <f>HYPERLINK("http://catalog.hathitrust.org/Record/006538523")</f>
        <v>http://catalog.hathitrust.org/Record/006538523</v>
      </c>
      <c r="I4034" s="1" t="s">
        <v>11470</v>
      </c>
      <c r="J4034" s="1">
        <v>1906</v>
      </c>
      <c r="K4034" t="s">
        <v>11469</v>
      </c>
      <c r="L4034" t="s">
        <v>11471</v>
      </c>
    </row>
    <row r="4035" spans="1:12">
      <c r="A4035" t="s">
        <v>11472</v>
      </c>
      <c r="B4035" s="1" t="s">
        <v>11468</v>
      </c>
      <c r="F4035">
        <v>1</v>
      </c>
      <c r="G4035" t="str">
        <f>HYPERLINK("http://babel.hathitrust.org/cgi/pt?id=uc1.b307924")</f>
        <v>http://babel.hathitrust.org/cgi/pt?id=uc1.b307924</v>
      </c>
      <c r="H4035" t="str">
        <f>HYPERLINK("http://catalog.hathitrust.org/Record/006538523")</f>
        <v>http://catalog.hathitrust.org/Record/006538523</v>
      </c>
      <c r="I4035" s="1" t="s">
        <v>11595</v>
      </c>
      <c r="J4035" s="1">
        <v>1906</v>
      </c>
      <c r="K4035" t="s">
        <v>11469</v>
      </c>
      <c r="L4035" t="s">
        <v>11471</v>
      </c>
    </row>
    <row r="4036" spans="1:12">
      <c r="A4036" t="s">
        <v>11473</v>
      </c>
      <c r="B4036" s="1" t="s">
        <v>11474</v>
      </c>
      <c r="F4036">
        <v>1</v>
      </c>
      <c r="G4036" t="str">
        <f>HYPERLINK("http://babel.hathitrust.org/cgi/pt?id=uc1.b307928")</f>
        <v>http://babel.hathitrust.org/cgi/pt?id=uc1.b307928</v>
      </c>
      <c r="H4036" t="str">
        <f>HYPERLINK("http://catalog.hathitrust.org/Record/006538524")</f>
        <v>http://catalog.hathitrust.org/Record/006538524</v>
      </c>
      <c r="J4036" s="1">
        <v>1918</v>
      </c>
      <c r="K4036" t="s">
        <v>11475</v>
      </c>
      <c r="L4036" t="s">
        <v>11476</v>
      </c>
    </row>
    <row r="4037" spans="1:12">
      <c r="A4037" t="s">
        <v>11477</v>
      </c>
      <c r="B4037" s="1" t="s">
        <v>11474</v>
      </c>
      <c r="F4037">
        <v>1</v>
      </c>
      <c r="G4037" t="str">
        <f>HYPERLINK("http://babel.hathitrust.org/cgi/pt?id=uc2.ark:/13960/t8rb71423")</f>
        <v>http://babel.hathitrust.org/cgi/pt?id=uc2.ark:/13960/t8rb71423</v>
      </c>
      <c r="H4037" t="str">
        <f>HYPERLINK("http://catalog.hathitrust.org/Record/006538524")</f>
        <v>http://catalog.hathitrust.org/Record/006538524</v>
      </c>
      <c r="J4037" s="1">
        <v>1918</v>
      </c>
      <c r="K4037" t="s">
        <v>11475</v>
      </c>
      <c r="L4037" t="s">
        <v>11476</v>
      </c>
    </row>
    <row r="4038" spans="1:12">
      <c r="A4038" t="s">
        <v>11478</v>
      </c>
      <c r="B4038" s="1" t="s">
        <v>11479</v>
      </c>
      <c r="F4038">
        <v>1</v>
      </c>
      <c r="G4038" t="str">
        <f>HYPERLINK("http://babel.hathitrust.org/cgi/pt?id=uc1.b307929")</f>
        <v>http://babel.hathitrust.org/cgi/pt?id=uc1.b307929</v>
      </c>
      <c r="H4038" t="str">
        <f>HYPERLINK("http://catalog.hathitrust.org/Record/006538525")</f>
        <v>http://catalog.hathitrust.org/Record/006538525</v>
      </c>
      <c r="J4038" s="1">
        <v>1920</v>
      </c>
      <c r="K4038" t="s">
        <v>11480</v>
      </c>
      <c r="L4038" t="s">
        <v>11481</v>
      </c>
    </row>
    <row r="4039" spans="1:12">
      <c r="A4039" t="s">
        <v>11482</v>
      </c>
      <c r="B4039" s="1" t="s">
        <v>11479</v>
      </c>
      <c r="F4039">
        <v>1</v>
      </c>
      <c r="G4039" t="str">
        <f>HYPERLINK("http://babel.hathitrust.org/cgi/pt?id=uc2.ark:/13960/t0xp6zm2z")</f>
        <v>http://babel.hathitrust.org/cgi/pt?id=uc2.ark:/13960/t0xp6zm2z</v>
      </c>
      <c r="H4039" t="str">
        <f>HYPERLINK("http://catalog.hathitrust.org/Record/006538525")</f>
        <v>http://catalog.hathitrust.org/Record/006538525</v>
      </c>
      <c r="J4039" s="1">
        <v>1920</v>
      </c>
      <c r="K4039" t="s">
        <v>11480</v>
      </c>
      <c r="L4039" t="s">
        <v>11481</v>
      </c>
    </row>
    <row r="4040" spans="1:12">
      <c r="A4040" t="s">
        <v>11483</v>
      </c>
      <c r="B4040" s="1" t="s">
        <v>11484</v>
      </c>
      <c r="F4040">
        <v>1</v>
      </c>
      <c r="G4040" t="str">
        <f>HYPERLINK("http://babel.hathitrust.org/cgi/pt?id=uc1.b307930")</f>
        <v>http://babel.hathitrust.org/cgi/pt?id=uc1.b307930</v>
      </c>
      <c r="H4040" t="str">
        <f>HYPERLINK("http://catalog.hathitrust.org/Record/006538526")</f>
        <v>http://catalog.hathitrust.org/Record/006538526</v>
      </c>
      <c r="I4040" s="1" t="s">
        <v>20916</v>
      </c>
      <c r="J4040" s="1">
        <v>1925</v>
      </c>
      <c r="K4040" t="s">
        <v>11485</v>
      </c>
      <c r="L4040" t="s">
        <v>11476</v>
      </c>
    </row>
    <row r="4041" spans="1:12">
      <c r="A4041" t="s">
        <v>11486</v>
      </c>
      <c r="B4041" s="1" t="s">
        <v>11353</v>
      </c>
      <c r="F4041">
        <v>1</v>
      </c>
      <c r="G4041" t="str">
        <f>HYPERLINK("http://babel.hathitrust.org/cgi/pt?id=uc1.b307934")</f>
        <v>http://babel.hathitrust.org/cgi/pt?id=uc1.b307934</v>
      </c>
      <c r="H4041" t="str">
        <f>HYPERLINK("http://catalog.hathitrust.org/Record/006538528")</f>
        <v>http://catalog.hathitrust.org/Record/006538528</v>
      </c>
      <c r="J4041" s="1">
        <v>1927</v>
      </c>
      <c r="K4041" t="s">
        <v>11354</v>
      </c>
      <c r="L4041" t="s">
        <v>11355</v>
      </c>
    </row>
    <row r="4042" spans="1:12">
      <c r="A4042" t="s">
        <v>11356</v>
      </c>
      <c r="B4042" s="1" t="s">
        <v>11357</v>
      </c>
      <c r="F4042">
        <v>1</v>
      </c>
      <c r="G4042" t="str">
        <f>HYPERLINK("http://babel.hathitrust.org/cgi/pt?id=uc1.b307935")</f>
        <v>http://babel.hathitrust.org/cgi/pt?id=uc1.b307935</v>
      </c>
      <c r="H4042" t="str">
        <f>HYPERLINK("http://catalog.hathitrust.org/Record/006538529")</f>
        <v>http://catalog.hathitrust.org/Record/006538529</v>
      </c>
      <c r="J4042" s="1">
        <v>1917</v>
      </c>
      <c r="K4042" t="s">
        <v>11358</v>
      </c>
      <c r="L4042" t="s">
        <v>11359</v>
      </c>
    </row>
    <row r="4043" spans="1:12">
      <c r="A4043" t="s">
        <v>11360</v>
      </c>
      <c r="B4043" s="1" t="s">
        <v>11357</v>
      </c>
      <c r="F4043">
        <v>1</v>
      </c>
      <c r="G4043" t="str">
        <f>HYPERLINK("http://babel.hathitrust.org/cgi/pt?id=uc2.ark:/13960/t45q4wf56")</f>
        <v>http://babel.hathitrust.org/cgi/pt?id=uc2.ark:/13960/t45q4wf56</v>
      </c>
      <c r="H4043" t="str">
        <f>HYPERLINK("http://catalog.hathitrust.org/Record/006538529")</f>
        <v>http://catalog.hathitrust.org/Record/006538529</v>
      </c>
      <c r="J4043" s="1">
        <v>1917</v>
      </c>
      <c r="K4043" t="s">
        <v>11358</v>
      </c>
      <c r="L4043" t="s">
        <v>11359</v>
      </c>
    </row>
    <row r="4044" spans="1:12">
      <c r="A4044" t="s">
        <v>11361</v>
      </c>
      <c r="B4044" s="1" t="s">
        <v>11362</v>
      </c>
      <c r="F4044">
        <v>1</v>
      </c>
      <c r="G4044" t="str">
        <f>HYPERLINK("http://babel.hathitrust.org/cgi/pt?id=uc1.b307938")</f>
        <v>http://babel.hathitrust.org/cgi/pt?id=uc1.b307938</v>
      </c>
      <c r="H4044" t="str">
        <f>HYPERLINK("http://catalog.hathitrust.org/Record/006538532")</f>
        <v>http://catalog.hathitrust.org/Record/006538532</v>
      </c>
      <c r="I4044" s="1" t="s">
        <v>11364</v>
      </c>
      <c r="J4044" s="1">
        <v>1903</v>
      </c>
      <c r="K4044" t="s">
        <v>11363</v>
      </c>
      <c r="L4044" t="s">
        <v>11365</v>
      </c>
    </row>
    <row r="4045" spans="1:12">
      <c r="A4045" t="s">
        <v>11366</v>
      </c>
      <c r="B4045" s="1" t="s">
        <v>11362</v>
      </c>
      <c r="F4045">
        <v>1</v>
      </c>
      <c r="G4045" t="str">
        <f>HYPERLINK("http://babel.hathitrust.org/cgi/pt?id=wu.89099893505")</f>
        <v>http://babel.hathitrust.org/cgi/pt?id=wu.89099893505</v>
      </c>
      <c r="H4045" t="str">
        <f>HYPERLINK("http://catalog.hathitrust.org/Record/006538532")</f>
        <v>http://catalog.hathitrust.org/Record/006538532</v>
      </c>
      <c r="I4045" s="1" t="s">
        <v>20916</v>
      </c>
      <c r="J4045" s="1">
        <v>1903</v>
      </c>
      <c r="K4045" t="s">
        <v>11363</v>
      </c>
      <c r="L4045" t="s">
        <v>11365</v>
      </c>
    </row>
    <row r="4046" spans="1:12">
      <c r="A4046" t="s">
        <v>11367</v>
      </c>
      <c r="B4046" s="1" t="s">
        <v>11362</v>
      </c>
      <c r="F4046">
        <v>1</v>
      </c>
      <c r="G4046" t="str">
        <f>HYPERLINK("http://babel.hathitrust.org/cgi/pt?id=wu.89099893513")</f>
        <v>http://babel.hathitrust.org/cgi/pt?id=wu.89099893513</v>
      </c>
      <c r="H4046" t="str">
        <f>HYPERLINK("http://catalog.hathitrust.org/Record/006538532")</f>
        <v>http://catalog.hathitrust.org/Record/006538532</v>
      </c>
      <c r="I4046" s="1" t="s">
        <v>20755</v>
      </c>
      <c r="J4046" s="1">
        <v>1903</v>
      </c>
      <c r="K4046" t="s">
        <v>11363</v>
      </c>
      <c r="L4046" t="s">
        <v>11365</v>
      </c>
    </row>
    <row r="4047" spans="1:12">
      <c r="A4047" t="s">
        <v>11368</v>
      </c>
      <c r="B4047" s="1" t="s">
        <v>11369</v>
      </c>
      <c r="F4047">
        <v>1</v>
      </c>
      <c r="G4047" t="str">
        <f>HYPERLINK("http://babel.hathitrust.org/cgi/pt?id=nyp.33433082512116")</f>
        <v>http://babel.hathitrust.org/cgi/pt?id=nyp.33433082512116</v>
      </c>
      <c r="H4047" t="str">
        <f>HYPERLINK("http://catalog.hathitrust.org/Record/006538533")</f>
        <v>http://catalog.hathitrust.org/Record/006538533</v>
      </c>
      <c r="I4047" s="1" t="s">
        <v>20796</v>
      </c>
      <c r="J4047" s="1">
        <v>1909</v>
      </c>
      <c r="K4047" t="s">
        <v>11370</v>
      </c>
      <c r="L4047" t="s">
        <v>11365</v>
      </c>
    </row>
    <row r="4048" spans="1:12">
      <c r="A4048" t="s">
        <v>11371</v>
      </c>
      <c r="B4048" s="1" t="s">
        <v>11369</v>
      </c>
      <c r="F4048">
        <v>1</v>
      </c>
      <c r="G4048" t="str">
        <f>HYPERLINK("http://babel.hathitrust.org/cgi/pt?id=nyp.33433082512124")</f>
        <v>http://babel.hathitrust.org/cgi/pt?id=nyp.33433082512124</v>
      </c>
      <c r="H4048" t="str">
        <f>HYPERLINK("http://catalog.hathitrust.org/Record/006538533")</f>
        <v>http://catalog.hathitrust.org/Record/006538533</v>
      </c>
      <c r="I4048" s="1" t="s">
        <v>20799</v>
      </c>
      <c r="J4048" s="1">
        <v>1909</v>
      </c>
      <c r="K4048" t="s">
        <v>11370</v>
      </c>
      <c r="L4048" t="s">
        <v>11365</v>
      </c>
    </row>
    <row r="4049" spans="1:12">
      <c r="A4049" t="s">
        <v>11372</v>
      </c>
      <c r="B4049" s="1" t="s">
        <v>11369</v>
      </c>
      <c r="F4049">
        <v>1</v>
      </c>
      <c r="G4049" t="str">
        <f>HYPERLINK("http://babel.hathitrust.org/cgi/pt?id=uc1.b307939")</f>
        <v>http://babel.hathitrust.org/cgi/pt?id=uc1.b307939</v>
      </c>
      <c r="H4049" t="str">
        <f>HYPERLINK("http://catalog.hathitrust.org/Record/006538533")</f>
        <v>http://catalog.hathitrust.org/Record/006538533</v>
      </c>
      <c r="I4049" s="1" t="s">
        <v>20916</v>
      </c>
      <c r="J4049" s="1">
        <v>1909</v>
      </c>
      <c r="K4049" t="s">
        <v>11370</v>
      </c>
      <c r="L4049" t="s">
        <v>11365</v>
      </c>
    </row>
    <row r="4050" spans="1:12">
      <c r="A4050" t="s">
        <v>11373</v>
      </c>
      <c r="B4050" s="1" t="s">
        <v>11369</v>
      </c>
      <c r="F4050">
        <v>1</v>
      </c>
      <c r="G4050" t="str">
        <f>HYPERLINK("http://babel.hathitrust.org/cgi/pt?id=uc1.b307940")</f>
        <v>http://babel.hathitrust.org/cgi/pt?id=uc1.b307940</v>
      </c>
      <c r="H4050" t="str">
        <f>HYPERLINK("http://catalog.hathitrust.org/Record/006538533")</f>
        <v>http://catalog.hathitrust.org/Record/006538533</v>
      </c>
      <c r="I4050" s="1" t="s">
        <v>20755</v>
      </c>
      <c r="J4050" s="1">
        <v>1909</v>
      </c>
      <c r="K4050" t="s">
        <v>11370</v>
      </c>
      <c r="L4050" t="s">
        <v>11365</v>
      </c>
    </row>
    <row r="4051" spans="1:12">
      <c r="A4051" t="s">
        <v>11374</v>
      </c>
      <c r="B4051" s="1" t="s">
        <v>11375</v>
      </c>
      <c r="E4051">
        <v>1</v>
      </c>
      <c r="G4051" t="str">
        <f>HYPERLINK("http://babel.hathitrust.org/cgi/pt?id=uc1.b307941")</f>
        <v>http://babel.hathitrust.org/cgi/pt?id=uc1.b307941</v>
      </c>
      <c r="H4051" t="str">
        <f>HYPERLINK("http://catalog.hathitrust.org/Record/006538534")</f>
        <v>http://catalog.hathitrust.org/Record/006538534</v>
      </c>
      <c r="J4051" s="1">
        <v>1872</v>
      </c>
      <c r="K4051" t="s">
        <v>11376</v>
      </c>
      <c r="L4051" t="s">
        <v>11377</v>
      </c>
    </row>
    <row r="4052" spans="1:12">
      <c r="A4052" t="s">
        <v>11378</v>
      </c>
      <c r="B4052" s="1" t="s">
        <v>11379</v>
      </c>
      <c r="E4052">
        <v>1</v>
      </c>
      <c r="F4052">
        <v>1</v>
      </c>
      <c r="G4052" t="str">
        <f>HYPERLINK("http://babel.hathitrust.org/cgi/pt?id=uc1.b307942")</f>
        <v>http://babel.hathitrust.org/cgi/pt?id=uc1.b307942</v>
      </c>
      <c r="H4052" t="str">
        <f>HYPERLINK("http://catalog.hathitrust.org/Record/006538535")</f>
        <v>http://catalog.hathitrust.org/Record/006538535</v>
      </c>
      <c r="J4052" s="1">
        <v>1908</v>
      </c>
      <c r="K4052" t="s">
        <v>11380</v>
      </c>
      <c r="L4052" t="s">
        <v>11381</v>
      </c>
    </row>
    <row r="4053" spans="1:12">
      <c r="A4053" t="s">
        <v>11382</v>
      </c>
      <c r="B4053" s="1" t="s">
        <v>11379</v>
      </c>
      <c r="F4053">
        <v>1</v>
      </c>
      <c r="G4053" t="str">
        <f>HYPERLINK("http://babel.hathitrust.org/cgi/pt?id=uc2.ark:/13960/t4cn72t1k")</f>
        <v>http://babel.hathitrust.org/cgi/pt?id=uc2.ark:/13960/t4cn72t1k</v>
      </c>
      <c r="H4053" t="str">
        <f>HYPERLINK("http://catalog.hathitrust.org/Record/006538535")</f>
        <v>http://catalog.hathitrust.org/Record/006538535</v>
      </c>
      <c r="J4053" s="1">
        <v>1908</v>
      </c>
      <c r="K4053" t="s">
        <v>11380</v>
      </c>
      <c r="L4053" t="s">
        <v>11381</v>
      </c>
    </row>
    <row r="4054" spans="1:12">
      <c r="A4054" t="s">
        <v>11383</v>
      </c>
      <c r="B4054" s="1" t="s">
        <v>11384</v>
      </c>
      <c r="F4054">
        <v>1</v>
      </c>
      <c r="G4054" t="str">
        <f>HYPERLINK("http://babel.hathitrust.org/cgi/pt?id=uc1.$b617063")</f>
        <v>http://babel.hathitrust.org/cgi/pt?id=uc1.$b617063</v>
      </c>
      <c r="H4054" t="str">
        <f>HYPERLINK("http://catalog.hathitrust.org/Record/006538536")</f>
        <v>http://catalog.hathitrust.org/Record/006538536</v>
      </c>
      <c r="J4054" s="1">
        <v>1915</v>
      </c>
      <c r="K4054" t="s">
        <v>11385</v>
      </c>
    </row>
    <row r="4055" spans="1:12">
      <c r="A4055" t="s">
        <v>11386</v>
      </c>
      <c r="B4055" s="1" t="s">
        <v>11384</v>
      </c>
      <c r="F4055">
        <v>1</v>
      </c>
      <c r="G4055" t="str">
        <f>HYPERLINK("http://babel.hathitrust.org/cgi/pt?id=uc1.b307943")</f>
        <v>http://babel.hathitrust.org/cgi/pt?id=uc1.b307943</v>
      </c>
      <c r="H4055" t="str">
        <f>HYPERLINK("http://catalog.hathitrust.org/Record/006538536")</f>
        <v>http://catalog.hathitrust.org/Record/006538536</v>
      </c>
      <c r="J4055" s="1">
        <v>1915</v>
      </c>
      <c r="K4055" t="s">
        <v>11385</v>
      </c>
    </row>
    <row r="4056" spans="1:12">
      <c r="A4056" t="s">
        <v>11387</v>
      </c>
      <c r="B4056" s="1" t="s">
        <v>11388</v>
      </c>
      <c r="F4056">
        <v>1</v>
      </c>
      <c r="G4056" t="str">
        <f>HYPERLINK("http://babel.hathitrust.org/cgi/pt?id=uc1.b307944")</f>
        <v>http://babel.hathitrust.org/cgi/pt?id=uc1.b307944</v>
      </c>
      <c r="H4056" t="str">
        <f>HYPERLINK("http://catalog.hathitrust.org/Record/006538537")</f>
        <v>http://catalog.hathitrust.org/Record/006538537</v>
      </c>
      <c r="J4056" s="1">
        <v>1904</v>
      </c>
      <c r="K4056" t="s">
        <v>11389</v>
      </c>
      <c r="L4056" t="s">
        <v>11390</v>
      </c>
    </row>
    <row r="4057" spans="1:12">
      <c r="A4057" t="s">
        <v>11391</v>
      </c>
      <c r="B4057" s="1" t="s">
        <v>11388</v>
      </c>
      <c r="F4057">
        <v>1</v>
      </c>
      <c r="G4057" t="str">
        <f>HYPERLINK("http://babel.hathitrust.org/cgi/pt?id=uc2.ark:/13960/t6qz26f15")</f>
        <v>http://babel.hathitrust.org/cgi/pt?id=uc2.ark:/13960/t6qz26f15</v>
      </c>
      <c r="H4057" t="str">
        <f>HYPERLINK("http://catalog.hathitrust.org/Record/006538537")</f>
        <v>http://catalog.hathitrust.org/Record/006538537</v>
      </c>
      <c r="J4057" s="1">
        <v>1904</v>
      </c>
      <c r="K4057" t="s">
        <v>11389</v>
      </c>
      <c r="L4057" t="s">
        <v>11390</v>
      </c>
    </row>
    <row r="4058" spans="1:12">
      <c r="A4058" t="s">
        <v>11392</v>
      </c>
      <c r="B4058" s="1" t="s">
        <v>11393</v>
      </c>
      <c r="F4058">
        <v>1</v>
      </c>
      <c r="G4058" t="str">
        <f>HYPERLINK("http://babel.hathitrust.org/cgi/pt?id=uc1.b307948")</f>
        <v>http://babel.hathitrust.org/cgi/pt?id=uc1.b307948</v>
      </c>
      <c r="H4058" t="str">
        <f>HYPERLINK("http://catalog.hathitrust.org/Record/006538540")</f>
        <v>http://catalog.hathitrust.org/Record/006538540</v>
      </c>
      <c r="J4058" s="1">
        <v>1894</v>
      </c>
      <c r="K4058" t="s">
        <v>11394</v>
      </c>
      <c r="L4058" t="s">
        <v>11395</v>
      </c>
    </row>
    <row r="4059" spans="1:12">
      <c r="A4059" t="s">
        <v>11396</v>
      </c>
      <c r="B4059" s="1" t="s">
        <v>11393</v>
      </c>
      <c r="F4059">
        <v>1</v>
      </c>
      <c r="G4059" t="str">
        <f>HYPERLINK("http://babel.hathitrust.org/cgi/pt?id=uc2.ark:/13960/t6b27tq7m")</f>
        <v>http://babel.hathitrust.org/cgi/pt?id=uc2.ark:/13960/t6b27tq7m</v>
      </c>
      <c r="H4059" t="str">
        <f>HYPERLINK("http://catalog.hathitrust.org/Record/006538540")</f>
        <v>http://catalog.hathitrust.org/Record/006538540</v>
      </c>
      <c r="J4059" s="1">
        <v>1894</v>
      </c>
      <c r="K4059" t="s">
        <v>11394</v>
      </c>
      <c r="L4059" t="s">
        <v>11395</v>
      </c>
    </row>
    <row r="4060" spans="1:12">
      <c r="A4060" t="s">
        <v>11397</v>
      </c>
      <c r="B4060" s="1" t="s">
        <v>11398</v>
      </c>
      <c r="E4060">
        <v>1</v>
      </c>
      <c r="F4060">
        <v>1</v>
      </c>
      <c r="G4060" t="str">
        <f>HYPERLINK("http://babel.hathitrust.org/cgi/pt?id=uc1.b307952")</f>
        <v>http://babel.hathitrust.org/cgi/pt?id=uc1.b307952</v>
      </c>
      <c r="H4060" t="str">
        <f>HYPERLINK("http://catalog.hathitrust.org/Record/006538542")</f>
        <v>http://catalog.hathitrust.org/Record/006538542</v>
      </c>
      <c r="J4060" s="1">
        <v>1912</v>
      </c>
      <c r="K4060" t="s">
        <v>11399</v>
      </c>
      <c r="L4060" t="s">
        <v>11400</v>
      </c>
    </row>
    <row r="4061" spans="1:12">
      <c r="A4061" t="s">
        <v>11401</v>
      </c>
      <c r="B4061" s="1" t="s">
        <v>11398</v>
      </c>
      <c r="F4061">
        <v>1</v>
      </c>
      <c r="G4061" t="str">
        <f>HYPERLINK("http://babel.hathitrust.org/cgi/pt?id=uc2.ark:/13960/t3028t62x")</f>
        <v>http://babel.hathitrust.org/cgi/pt?id=uc2.ark:/13960/t3028t62x</v>
      </c>
      <c r="H4061" t="str">
        <f>HYPERLINK("http://catalog.hathitrust.org/Record/006538542")</f>
        <v>http://catalog.hathitrust.org/Record/006538542</v>
      </c>
      <c r="J4061" s="1">
        <v>1912</v>
      </c>
      <c r="K4061" t="s">
        <v>11399</v>
      </c>
      <c r="L4061" t="s">
        <v>11400</v>
      </c>
    </row>
    <row r="4062" spans="1:12">
      <c r="A4062" t="s">
        <v>11402</v>
      </c>
      <c r="B4062" s="1" t="s">
        <v>11403</v>
      </c>
      <c r="F4062">
        <v>1</v>
      </c>
      <c r="G4062" t="str">
        <f>HYPERLINK("http://babel.hathitrust.org/cgi/pt?id=uc1.b307953")</f>
        <v>http://babel.hathitrust.org/cgi/pt?id=uc1.b307953</v>
      </c>
      <c r="H4062" t="str">
        <f>HYPERLINK("http://catalog.hathitrust.org/Record/006538543")</f>
        <v>http://catalog.hathitrust.org/Record/006538543</v>
      </c>
      <c r="I4062" s="1" t="s">
        <v>20796</v>
      </c>
      <c r="J4062" s="1">
        <v>1908</v>
      </c>
      <c r="K4062" t="s">
        <v>11404</v>
      </c>
      <c r="L4062" t="s">
        <v>11563</v>
      </c>
    </row>
    <row r="4063" spans="1:12">
      <c r="A4063" t="s">
        <v>11405</v>
      </c>
      <c r="B4063" s="1" t="s">
        <v>11403</v>
      </c>
      <c r="F4063">
        <v>1</v>
      </c>
      <c r="G4063" t="str">
        <f>HYPERLINK("http://babel.hathitrust.org/cgi/pt?id=uc1.b307954")</f>
        <v>http://babel.hathitrust.org/cgi/pt?id=uc1.b307954</v>
      </c>
      <c r="H4063" t="str">
        <f>HYPERLINK("http://catalog.hathitrust.org/Record/006538543")</f>
        <v>http://catalog.hathitrust.org/Record/006538543</v>
      </c>
      <c r="I4063" s="1" t="s">
        <v>20799</v>
      </c>
      <c r="J4063" s="1">
        <v>1908</v>
      </c>
      <c r="K4063" t="s">
        <v>11404</v>
      </c>
      <c r="L4063" t="s">
        <v>11563</v>
      </c>
    </row>
    <row r="4064" spans="1:12">
      <c r="A4064" t="s">
        <v>11406</v>
      </c>
      <c r="B4064" s="1" t="s">
        <v>11407</v>
      </c>
      <c r="F4064">
        <v>1</v>
      </c>
      <c r="G4064" t="str">
        <f>HYPERLINK("http://babel.hathitrust.org/cgi/pt?id=uc1.b307955")</f>
        <v>http://babel.hathitrust.org/cgi/pt?id=uc1.b307955</v>
      </c>
      <c r="H4064" t="str">
        <f>HYPERLINK("http://catalog.hathitrust.org/Record/006538544")</f>
        <v>http://catalog.hathitrust.org/Record/006538544</v>
      </c>
      <c r="J4064" s="1">
        <v>1873</v>
      </c>
      <c r="K4064" t="s">
        <v>11408</v>
      </c>
      <c r="L4064" t="s">
        <v>11794</v>
      </c>
    </row>
    <row r="4065" spans="1:12">
      <c r="A4065" t="s">
        <v>11409</v>
      </c>
      <c r="B4065" s="1" t="s">
        <v>11407</v>
      </c>
      <c r="F4065">
        <v>1</v>
      </c>
      <c r="G4065" t="str">
        <f>HYPERLINK("http://babel.hathitrust.org/cgi/pt?id=uc2.ark:/13960/t3kw5c859")</f>
        <v>http://babel.hathitrust.org/cgi/pt?id=uc2.ark:/13960/t3kw5c859</v>
      </c>
      <c r="H4065" t="str">
        <f>HYPERLINK("http://catalog.hathitrust.org/Record/006538544")</f>
        <v>http://catalog.hathitrust.org/Record/006538544</v>
      </c>
      <c r="J4065" s="1">
        <v>1873</v>
      </c>
      <c r="K4065" t="s">
        <v>11408</v>
      </c>
      <c r="L4065" t="s">
        <v>11794</v>
      </c>
    </row>
    <row r="4066" spans="1:12">
      <c r="A4066" t="s">
        <v>11410</v>
      </c>
      <c r="B4066" s="1" t="s">
        <v>11411</v>
      </c>
      <c r="F4066">
        <v>1</v>
      </c>
      <c r="G4066" t="str">
        <f>HYPERLINK("http://babel.hathitrust.org/cgi/pt?id=uc1.b307956")</f>
        <v>http://babel.hathitrust.org/cgi/pt?id=uc1.b307956</v>
      </c>
      <c r="H4066" t="str">
        <f>HYPERLINK("http://catalog.hathitrust.org/Record/006538545")</f>
        <v>http://catalog.hathitrust.org/Record/006538545</v>
      </c>
      <c r="J4066" s="1">
        <v>1882</v>
      </c>
      <c r="K4066" t="s">
        <v>11408</v>
      </c>
      <c r="L4066" t="s">
        <v>11794</v>
      </c>
    </row>
    <row r="4067" spans="1:12">
      <c r="A4067" t="s">
        <v>11412</v>
      </c>
      <c r="B4067" s="1" t="s">
        <v>11411</v>
      </c>
      <c r="F4067">
        <v>1</v>
      </c>
      <c r="G4067" t="str">
        <f>HYPERLINK("http://babel.hathitrust.org/cgi/pt?id=uc2.ark:/13960/t3513zn4p")</f>
        <v>http://babel.hathitrust.org/cgi/pt?id=uc2.ark:/13960/t3513zn4p</v>
      </c>
      <c r="H4067" t="str">
        <f>HYPERLINK("http://catalog.hathitrust.org/Record/006538545")</f>
        <v>http://catalog.hathitrust.org/Record/006538545</v>
      </c>
      <c r="J4067" s="1">
        <v>1882</v>
      </c>
      <c r="K4067" t="s">
        <v>11408</v>
      </c>
      <c r="L4067" t="s">
        <v>11794</v>
      </c>
    </row>
    <row r="4068" spans="1:12">
      <c r="A4068" t="s">
        <v>11413</v>
      </c>
      <c r="B4068" s="1" t="s">
        <v>11414</v>
      </c>
      <c r="F4068">
        <v>1</v>
      </c>
      <c r="G4068" t="str">
        <f>HYPERLINK("http://babel.hathitrust.org/cgi/pt?id=uc1.b307960")</f>
        <v>http://babel.hathitrust.org/cgi/pt?id=uc1.b307960</v>
      </c>
      <c r="H4068" t="str">
        <f>HYPERLINK("http://catalog.hathitrust.org/Record/006538546")</f>
        <v>http://catalog.hathitrust.org/Record/006538546</v>
      </c>
      <c r="J4068" s="1">
        <v>1884</v>
      </c>
      <c r="K4068" t="s">
        <v>11415</v>
      </c>
      <c r="L4068" t="s">
        <v>15365</v>
      </c>
    </row>
    <row r="4069" spans="1:12">
      <c r="A4069" t="s">
        <v>11416</v>
      </c>
      <c r="B4069" s="1" t="s">
        <v>11414</v>
      </c>
      <c r="F4069">
        <v>1</v>
      </c>
      <c r="G4069" t="str">
        <f>HYPERLINK("http://babel.hathitrust.org/cgi/pt?id=uc2.ark:/13960/t5q818n2m")</f>
        <v>http://babel.hathitrust.org/cgi/pt?id=uc2.ark:/13960/t5q818n2m</v>
      </c>
      <c r="H4069" t="str">
        <f>HYPERLINK("http://catalog.hathitrust.org/Record/006538546")</f>
        <v>http://catalog.hathitrust.org/Record/006538546</v>
      </c>
      <c r="J4069" s="1">
        <v>1884</v>
      </c>
      <c r="K4069" t="s">
        <v>11415</v>
      </c>
      <c r="L4069" t="s">
        <v>15365</v>
      </c>
    </row>
    <row r="4070" spans="1:12">
      <c r="A4070" t="s">
        <v>11417</v>
      </c>
      <c r="B4070" s="1" t="s">
        <v>11418</v>
      </c>
      <c r="F4070">
        <v>1</v>
      </c>
      <c r="G4070" t="str">
        <f>HYPERLINK("http://babel.hathitrust.org/cgi/pt?id=nyp.33433082511274")</f>
        <v>http://babel.hathitrust.org/cgi/pt?id=nyp.33433082511274</v>
      </c>
      <c r="H4070" t="str">
        <f>HYPERLINK("http://catalog.hathitrust.org/Record/006538548")</f>
        <v>http://catalog.hathitrust.org/Record/006538548</v>
      </c>
      <c r="J4070" s="1">
        <v>1913</v>
      </c>
      <c r="K4070" t="s">
        <v>11419</v>
      </c>
      <c r="L4070" t="s">
        <v>13294</v>
      </c>
    </row>
    <row r="4071" spans="1:12">
      <c r="A4071" t="s">
        <v>11420</v>
      </c>
      <c r="B4071" s="1" t="s">
        <v>11418</v>
      </c>
      <c r="F4071">
        <v>1</v>
      </c>
      <c r="G4071" t="str">
        <f>HYPERLINK("http://babel.hathitrust.org/cgi/pt?id=uc1.b307962")</f>
        <v>http://babel.hathitrust.org/cgi/pt?id=uc1.b307962</v>
      </c>
      <c r="H4071" t="str">
        <f>HYPERLINK("http://catalog.hathitrust.org/Record/006538548")</f>
        <v>http://catalog.hathitrust.org/Record/006538548</v>
      </c>
      <c r="J4071" s="1">
        <v>1913</v>
      </c>
      <c r="K4071" t="s">
        <v>11419</v>
      </c>
      <c r="L4071" t="s">
        <v>13294</v>
      </c>
    </row>
    <row r="4072" spans="1:12">
      <c r="A4072" t="s">
        <v>11421</v>
      </c>
      <c r="B4072" s="1" t="s">
        <v>11418</v>
      </c>
      <c r="F4072">
        <v>1</v>
      </c>
      <c r="G4072" t="str">
        <f>HYPERLINK("http://babel.hathitrust.org/cgi/pt?id=uc2.ark:/13960/t24b31v94")</f>
        <v>http://babel.hathitrust.org/cgi/pt?id=uc2.ark:/13960/t24b31v94</v>
      </c>
      <c r="H4072" t="str">
        <f>HYPERLINK("http://catalog.hathitrust.org/Record/006538548")</f>
        <v>http://catalog.hathitrust.org/Record/006538548</v>
      </c>
      <c r="J4072" s="1">
        <v>1913</v>
      </c>
      <c r="K4072" t="s">
        <v>11419</v>
      </c>
      <c r="L4072" t="s">
        <v>13294</v>
      </c>
    </row>
    <row r="4073" spans="1:12">
      <c r="A4073" t="s">
        <v>11299</v>
      </c>
      <c r="B4073" s="1" t="s">
        <v>11300</v>
      </c>
      <c r="F4073">
        <v>1</v>
      </c>
      <c r="G4073" t="str">
        <f>HYPERLINK("http://babel.hathitrust.org/cgi/pt?id=uc1.b307963")</f>
        <v>http://babel.hathitrust.org/cgi/pt?id=uc1.b307963</v>
      </c>
      <c r="H4073" t="str">
        <f>HYPERLINK("http://catalog.hathitrust.org/Record/006538549")</f>
        <v>http://catalog.hathitrust.org/Record/006538549</v>
      </c>
      <c r="J4073" s="1">
        <v>1920</v>
      </c>
      <c r="K4073" t="s">
        <v>11301</v>
      </c>
      <c r="L4073" t="s">
        <v>13294</v>
      </c>
    </row>
    <row r="4074" spans="1:12">
      <c r="A4074" t="s">
        <v>11302</v>
      </c>
      <c r="B4074" s="1" t="s">
        <v>11300</v>
      </c>
      <c r="F4074">
        <v>1</v>
      </c>
      <c r="G4074" t="str">
        <f>HYPERLINK("http://babel.hathitrust.org/cgi/pt?id=uc2.ark:/13960/t2q52k176")</f>
        <v>http://babel.hathitrust.org/cgi/pt?id=uc2.ark:/13960/t2q52k176</v>
      </c>
      <c r="H4074" t="str">
        <f>HYPERLINK("http://catalog.hathitrust.org/Record/006538549")</f>
        <v>http://catalog.hathitrust.org/Record/006538549</v>
      </c>
      <c r="J4074" s="1">
        <v>1920</v>
      </c>
      <c r="K4074" t="s">
        <v>11301</v>
      </c>
      <c r="L4074" t="s">
        <v>13294</v>
      </c>
    </row>
    <row r="4075" spans="1:12">
      <c r="A4075" t="s">
        <v>11303</v>
      </c>
      <c r="B4075" s="1" t="s">
        <v>11304</v>
      </c>
      <c r="F4075">
        <v>1</v>
      </c>
      <c r="G4075" t="str">
        <f>HYPERLINK("http://babel.hathitrust.org/cgi/pt?id=uc1.b307966")</f>
        <v>http://babel.hathitrust.org/cgi/pt?id=uc1.b307966</v>
      </c>
      <c r="H4075" t="str">
        <f>HYPERLINK("http://catalog.hathitrust.org/Record/006538551")</f>
        <v>http://catalog.hathitrust.org/Record/006538551</v>
      </c>
      <c r="J4075" s="1">
        <v>1881</v>
      </c>
      <c r="K4075" t="s">
        <v>11305</v>
      </c>
      <c r="L4075" t="s">
        <v>13209</v>
      </c>
    </row>
    <row r="4076" spans="1:12">
      <c r="A4076" t="s">
        <v>11306</v>
      </c>
      <c r="B4076" s="1" t="s">
        <v>11304</v>
      </c>
      <c r="F4076">
        <v>1</v>
      </c>
      <c r="G4076" t="str">
        <f>HYPERLINK("http://babel.hathitrust.org/cgi/pt?id=uc2.ark:/13960/t15m65v87")</f>
        <v>http://babel.hathitrust.org/cgi/pt?id=uc2.ark:/13960/t15m65v87</v>
      </c>
      <c r="H4076" t="str">
        <f>HYPERLINK("http://catalog.hathitrust.org/Record/006538551")</f>
        <v>http://catalog.hathitrust.org/Record/006538551</v>
      </c>
      <c r="J4076" s="1">
        <v>1881</v>
      </c>
      <c r="K4076" t="s">
        <v>11305</v>
      </c>
      <c r="L4076" t="s">
        <v>13209</v>
      </c>
    </row>
    <row r="4077" spans="1:12">
      <c r="A4077" t="s">
        <v>11307</v>
      </c>
      <c r="B4077" s="1" t="s">
        <v>11308</v>
      </c>
      <c r="F4077">
        <v>1</v>
      </c>
      <c r="G4077" t="str">
        <f>HYPERLINK("http://babel.hathitrust.org/cgi/pt?id=uc1.b307967")</f>
        <v>http://babel.hathitrust.org/cgi/pt?id=uc1.b307967</v>
      </c>
      <c r="H4077" t="str">
        <f>HYPERLINK("http://catalog.hathitrust.org/Record/006538552")</f>
        <v>http://catalog.hathitrust.org/Record/006538552</v>
      </c>
      <c r="J4077" s="1">
        <v>1915</v>
      </c>
      <c r="K4077" t="s">
        <v>12046</v>
      </c>
      <c r="L4077" t="s">
        <v>12047</v>
      </c>
    </row>
    <row r="4078" spans="1:12">
      <c r="A4078" t="s">
        <v>11309</v>
      </c>
      <c r="B4078" s="1" t="s">
        <v>11308</v>
      </c>
      <c r="F4078">
        <v>1</v>
      </c>
      <c r="G4078" t="str">
        <f>HYPERLINK("http://babel.hathitrust.org/cgi/pt?id=uc2.ark:/13960/t8pc2zb38")</f>
        <v>http://babel.hathitrust.org/cgi/pt?id=uc2.ark:/13960/t8pc2zb38</v>
      </c>
      <c r="H4078" t="str">
        <f>HYPERLINK("http://catalog.hathitrust.org/Record/006538552")</f>
        <v>http://catalog.hathitrust.org/Record/006538552</v>
      </c>
      <c r="J4078" s="1">
        <v>1915</v>
      </c>
      <c r="K4078" t="s">
        <v>12046</v>
      </c>
      <c r="L4078" t="s">
        <v>12047</v>
      </c>
    </row>
    <row r="4079" spans="1:12">
      <c r="A4079" t="s">
        <v>11310</v>
      </c>
      <c r="B4079" s="1" t="s">
        <v>11311</v>
      </c>
      <c r="E4079">
        <v>1</v>
      </c>
      <c r="F4079">
        <v>1</v>
      </c>
      <c r="G4079" t="str">
        <f>HYPERLINK("http://babel.hathitrust.org/cgi/pt?id=uc1.b307970")</f>
        <v>http://babel.hathitrust.org/cgi/pt?id=uc1.b307970</v>
      </c>
      <c r="H4079" t="str">
        <f>HYPERLINK("http://catalog.hathitrust.org/Record/006538554")</f>
        <v>http://catalog.hathitrust.org/Record/006538554</v>
      </c>
      <c r="J4079" s="1">
        <v>1899</v>
      </c>
      <c r="K4079" t="s">
        <v>11312</v>
      </c>
      <c r="L4079" t="s">
        <v>16950</v>
      </c>
    </row>
    <row r="4080" spans="1:12">
      <c r="A4080" t="s">
        <v>11313</v>
      </c>
      <c r="B4080" s="1" t="s">
        <v>11311</v>
      </c>
      <c r="F4080">
        <v>1</v>
      </c>
      <c r="G4080" t="str">
        <f>HYPERLINK("http://babel.hathitrust.org/cgi/pt?id=uc2.ark:/13960/t3dz0766g")</f>
        <v>http://babel.hathitrust.org/cgi/pt?id=uc2.ark:/13960/t3dz0766g</v>
      </c>
      <c r="H4080" t="str">
        <f>HYPERLINK("http://catalog.hathitrust.org/Record/006538554")</f>
        <v>http://catalog.hathitrust.org/Record/006538554</v>
      </c>
      <c r="J4080" s="1">
        <v>1899</v>
      </c>
      <c r="K4080" t="s">
        <v>11312</v>
      </c>
      <c r="L4080" t="s">
        <v>16950</v>
      </c>
    </row>
    <row r="4081" spans="1:12">
      <c r="A4081" t="s">
        <v>11314</v>
      </c>
      <c r="B4081" s="1" t="s">
        <v>11315</v>
      </c>
      <c r="F4081">
        <v>1</v>
      </c>
      <c r="G4081" t="str">
        <f>HYPERLINK("http://babel.hathitrust.org/cgi/pt?id=uc1.b307971")</f>
        <v>http://babel.hathitrust.org/cgi/pt?id=uc1.b307971</v>
      </c>
      <c r="H4081" t="str">
        <f>HYPERLINK("http://catalog.hathitrust.org/Record/006538555")</f>
        <v>http://catalog.hathitrust.org/Record/006538555</v>
      </c>
      <c r="J4081" s="1">
        <v>1900</v>
      </c>
      <c r="K4081" t="s">
        <v>11316</v>
      </c>
      <c r="L4081" t="s">
        <v>16950</v>
      </c>
    </row>
    <row r="4082" spans="1:12">
      <c r="A4082" t="s">
        <v>11317</v>
      </c>
      <c r="B4082" s="1" t="s">
        <v>11315</v>
      </c>
      <c r="F4082">
        <v>1</v>
      </c>
      <c r="G4082" t="str">
        <f>HYPERLINK("http://babel.hathitrust.org/cgi/pt?id=uc2.ark:/13960/t5w66f35q")</f>
        <v>http://babel.hathitrust.org/cgi/pt?id=uc2.ark:/13960/t5w66f35q</v>
      </c>
      <c r="H4082" t="str">
        <f>HYPERLINK("http://catalog.hathitrust.org/Record/006538555")</f>
        <v>http://catalog.hathitrust.org/Record/006538555</v>
      </c>
      <c r="J4082" s="1">
        <v>1900</v>
      </c>
      <c r="K4082" t="s">
        <v>11316</v>
      </c>
      <c r="L4082" t="s">
        <v>16950</v>
      </c>
    </row>
    <row r="4083" spans="1:12">
      <c r="A4083" t="s">
        <v>11318</v>
      </c>
      <c r="B4083" s="1" t="s">
        <v>11319</v>
      </c>
      <c r="F4083">
        <v>1</v>
      </c>
      <c r="G4083" t="str">
        <f>HYPERLINK("http://babel.hathitrust.org/cgi/pt?id=nyp.33433082513536")</f>
        <v>http://babel.hathitrust.org/cgi/pt?id=nyp.33433082513536</v>
      </c>
      <c r="H4083" t="str">
        <f>HYPERLINK("http://catalog.hathitrust.org/Record/006538556")</f>
        <v>http://catalog.hathitrust.org/Record/006538556</v>
      </c>
      <c r="J4083" s="1">
        <v>1916</v>
      </c>
      <c r="K4083" t="s">
        <v>11320</v>
      </c>
      <c r="L4083" t="s">
        <v>11717</v>
      </c>
    </row>
    <row r="4084" spans="1:12">
      <c r="A4084" t="s">
        <v>11321</v>
      </c>
      <c r="B4084" s="1" t="s">
        <v>11319</v>
      </c>
      <c r="F4084">
        <v>1</v>
      </c>
      <c r="G4084" t="str">
        <f>HYPERLINK("http://babel.hathitrust.org/cgi/pt?id=uc1.b307972")</f>
        <v>http://babel.hathitrust.org/cgi/pt?id=uc1.b307972</v>
      </c>
      <c r="H4084" t="str">
        <f>HYPERLINK("http://catalog.hathitrust.org/Record/006538556")</f>
        <v>http://catalog.hathitrust.org/Record/006538556</v>
      </c>
      <c r="J4084" s="1">
        <v>1916</v>
      </c>
      <c r="K4084" t="s">
        <v>11320</v>
      </c>
      <c r="L4084" t="s">
        <v>11717</v>
      </c>
    </row>
    <row r="4085" spans="1:12">
      <c r="A4085" t="s">
        <v>11322</v>
      </c>
      <c r="B4085" s="1" t="s">
        <v>11319</v>
      </c>
      <c r="F4085">
        <v>1</v>
      </c>
      <c r="G4085" t="str">
        <f>HYPERLINK("http://babel.hathitrust.org/cgi/pt?id=uc2.ark:/13960/t1ng4tc62")</f>
        <v>http://babel.hathitrust.org/cgi/pt?id=uc2.ark:/13960/t1ng4tc62</v>
      </c>
      <c r="H4085" t="str">
        <f>HYPERLINK("http://catalog.hathitrust.org/Record/006538556")</f>
        <v>http://catalog.hathitrust.org/Record/006538556</v>
      </c>
      <c r="J4085" s="1">
        <v>1916</v>
      </c>
      <c r="K4085" t="s">
        <v>11320</v>
      </c>
      <c r="L4085" t="s">
        <v>11717</v>
      </c>
    </row>
    <row r="4086" spans="1:12">
      <c r="A4086" t="s">
        <v>11323</v>
      </c>
      <c r="B4086" s="1" t="s">
        <v>11324</v>
      </c>
      <c r="F4086">
        <v>1</v>
      </c>
      <c r="G4086" t="str">
        <f>HYPERLINK("http://babel.hathitrust.org/cgi/pt?id=uc1.b307974")</f>
        <v>http://babel.hathitrust.org/cgi/pt?id=uc1.b307974</v>
      </c>
      <c r="H4086" t="str">
        <f>HYPERLINK("http://catalog.hathitrust.org/Record/006538557")</f>
        <v>http://catalog.hathitrust.org/Record/006538557</v>
      </c>
      <c r="J4086" s="1">
        <v>1834</v>
      </c>
      <c r="K4086" t="s">
        <v>11325</v>
      </c>
      <c r="L4086" t="s">
        <v>20043</v>
      </c>
    </row>
    <row r="4087" spans="1:12">
      <c r="A4087" t="s">
        <v>11326</v>
      </c>
      <c r="B4087" s="1" t="s">
        <v>11324</v>
      </c>
      <c r="F4087">
        <v>1</v>
      </c>
      <c r="G4087" t="str">
        <f>HYPERLINK("http://babel.hathitrust.org/cgi/pt?id=uc2.ark:/13960/t3125v35m")</f>
        <v>http://babel.hathitrust.org/cgi/pt?id=uc2.ark:/13960/t3125v35m</v>
      </c>
      <c r="H4087" t="str">
        <f>HYPERLINK("http://catalog.hathitrust.org/Record/006538557")</f>
        <v>http://catalog.hathitrust.org/Record/006538557</v>
      </c>
      <c r="J4087" s="1">
        <v>1834</v>
      </c>
      <c r="K4087" t="s">
        <v>11325</v>
      </c>
      <c r="L4087" t="s">
        <v>20043</v>
      </c>
    </row>
    <row r="4088" spans="1:12">
      <c r="A4088" t="s">
        <v>11327</v>
      </c>
      <c r="B4088" s="1" t="s">
        <v>11328</v>
      </c>
      <c r="F4088">
        <v>1</v>
      </c>
      <c r="G4088" t="str">
        <f>HYPERLINK("http://babel.hathitrust.org/cgi/pt?id=nyp.33433082511399")</f>
        <v>http://babel.hathitrust.org/cgi/pt?id=nyp.33433082511399</v>
      </c>
      <c r="H4088" t="str">
        <f>HYPERLINK("http://catalog.hathitrust.org/Record/006538558")</f>
        <v>http://catalog.hathitrust.org/Record/006538558</v>
      </c>
      <c r="J4088" s="1">
        <v>1893</v>
      </c>
      <c r="K4088" t="s">
        <v>11329</v>
      </c>
      <c r="L4088" t="s">
        <v>11330</v>
      </c>
    </row>
    <row r="4089" spans="1:12">
      <c r="A4089" t="s">
        <v>11331</v>
      </c>
      <c r="B4089" s="1" t="s">
        <v>11328</v>
      </c>
      <c r="F4089">
        <v>1</v>
      </c>
      <c r="G4089" t="str">
        <f>HYPERLINK("http://babel.hathitrust.org/cgi/pt?id=uc1.b307975")</f>
        <v>http://babel.hathitrust.org/cgi/pt?id=uc1.b307975</v>
      </c>
      <c r="H4089" t="str">
        <f>HYPERLINK("http://catalog.hathitrust.org/Record/006538558")</f>
        <v>http://catalog.hathitrust.org/Record/006538558</v>
      </c>
      <c r="J4089" s="1">
        <v>1893</v>
      </c>
      <c r="K4089" t="s">
        <v>11329</v>
      </c>
      <c r="L4089" t="s">
        <v>11330</v>
      </c>
    </row>
    <row r="4090" spans="1:12">
      <c r="A4090" t="s">
        <v>11332</v>
      </c>
      <c r="B4090" s="1" t="s">
        <v>11328</v>
      </c>
      <c r="F4090">
        <v>1</v>
      </c>
      <c r="G4090" t="str">
        <f>HYPERLINK("http://babel.hathitrust.org/cgi/pt?id=uc2.ark:/13960/t9z033s4k")</f>
        <v>http://babel.hathitrust.org/cgi/pt?id=uc2.ark:/13960/t9z033s4k</v>
      </c>
      <c r="H4090" t="str">
        <f>HYPERLINK("http://catalog.hathitrust.org/Record/006538558")</f>
        <v>http://catalog.hathitrust.org/Record/006538558</v>
      </c>
      <c r="J4090" s="1">
        <v>1893</v>
      </c>
      <c r="K4090" t="s">
        <v>11329</v>
      </c>
      <c r="L4090" t="s">
        <v>11330</v>
      </c>
    </row>
    <row r="4091" spans="1:12">
      <c r="A4091" t="s">
        <v>11333</v>
      </c>
      <c r="B4091" s="1" t="s">
        <v>11334</v>
      </c>
      <c r="F4091">
        <v>1</v>
      </c>
      <c r="G4091" t="str">
        <f>HYPERLINK("http://babel.hathitrust.org/cgi/pt?id=uc1.b307979")</f>
        <v>http://babel.hathitrust.org/cgi/pt?id=uc1.b307979</v>
      </c>
      <c r="H4091" t="str">
        <f>HYPERLINK("http://catalog.hathitrust.org/Record/006538560")</f>
        <v>http://catalog.hathitrust.org/Record/006538560</v>
      </c>
      <c r="J4091" s="1">
        <v>1837</v>
      </c>
      <c r="K4091" t="s">
        <v>11335</v>
      </c>
      <c r="L4091" t="s">
        <v>15292</v>
      </c>
    </row>
    <row r="4092" spans="1:12">
      <c r="A4092" t="s">
        <v>11336</v>
      </c>
      <c r="B4092" s="1" t="s">
        <v>11334</v>
      </c>
      <c r="F4092">
        <v>1</v>
      </c>
      <c r="G4092" t="str">
        <f>HYPERLINK("http://babel.hathitrust.org/cgi/pt?id=uc2.ark:/13960/t3st7jp1r")</f>
        <v>http://babel.hathitrust.org/cgi/pt?id=uc2.ark:/13960/t3st7jp1r</v>
      </c>
      <c r="H4092" t="str">
        <f>HYPERLINK("http://catalog.hathitrust.org/Record/006538560")</f>
        <v>http://catalog.hathitrust.org/Record/006538560</v>
      </c>
      <c r="J4092" s="1">
        <v>1837</v>
      </c>
      <c r="K4092" t="s">
        <v>11335</v>
      </c>
      <c r="L4092" t="s">
        <v>15292</v>
      </c>
    </row>
    <row r="4093" spans="1:12">
      <c r="A4093" t="s">
        <v>11337</v>
      </c>
      <c r="B4093" s="1" t="s">
        <v>11338</v>
      </c>
      <c r="F4093">
        <v>1</v>
      </c>
      <c r="G4093" t="str">
        <f>HYPERLINK("http://babel.hathitrust.org/cgi/pt?id=uc1.b307980")</f>
        <v>http://babel.hathitrust.org/cgi/pt?id=uc1.b307980</v>
      </c>
      <c r="H4093" t="str">
        <f>HYPERLINK("http://catalog.hathitrust.org/Record/006538561")</f>
        <v>http://catalog.hathitrust.org/Record/006538561</v>
      </c>
      <c r="J4093" s="1">
        <v>1875</v>
      </c>
      <c r="K4093" t="s">
        <v>11339</v>
      </c>
      <c r="L4093" t="s">
        <v>17959</v>
      </c>
    </row>
    <row r="4094" spans="1:12">
      <c r="A4094" t="s">
        <v>11340</v>
      </c>
      <c r="B4094" s="1" t="s">
        <v>11338</v>
      </c>
      <c r="F4094">
        <v>1</v>
      </c>
      <c r="G4094" t="str">
        <f>HYPERLINK("http://babel.hathitrust.org/cgi/pt?id=uc2.ark:/13960/t9f47n082")</f>
        <v>http://babel.hathitrust.org/cgi/pt?id=uc2.ark:/13960/t9f47n082</v>
      </c>
      <c r="H4094" t="str">
        <f>HYPERLINK("http://catalog.hathitrust.org/Record/006538561")</f>
        <v>http://catalog.hathitrust.org/Record/006538561</v>
      </c>
      <c r="J4094" s="1">
        <v>1875</v>
      </c>
      <c r="K4094" t="s">
        <v>11339</v>
      </c>
      <c r="L4094" t="s">
        <v>17959</v>
      </c>
    </row>
    <row r="4095" spans="1:12">
      <c r="A4095" t="s">
        <v>11341</v>
      </c>
      <c r="B4095" s="1" t="s">
        <v>11342</v>
      </c>
      <c r="F4095">
        <v>1</v>
      </c>
      <c r="G4095" t="str">
        <f>HYPERLINK("http://babel.hathitrust.org/cgi/pt?id=uc1.b307981")</f>
        <v>http://babel.hathitrust.org/cgi/pt?id=uc1.b307981</v>
      </c>
      <c r="H4095" t="str">
        <f>HYPERLINK("http://catalog.hathitrust.org/Record/006538562")</f>
        <v>http://catalog.hathitrust.org/Record/006538562</v>
      </c>
      <c r="J4095" s="1">
        <v>1921</v>
      </c>
      <c r="K4095" t="s">
        <v>11343</v>
      </c>
      <c r="L4095" t="s">
        <v>11344</v>
      </c>
    </row>
    <row r="4096" spans="1:12">
      <c r="A4096" t="s">
        <v>11345</v>
      </c>
      <c r="B4096" s="1" t="s">
        <v>11342</v>
      </c>
      <c r="F4096">
        <v>1</v>
      </c>
      <c r="G4096" t="str">
        <f>HYPERLINK("http://babel.hathitrust.org/cgi/pt?id=uc2.ark:/13960/t2t43nr20")</f>
        <v>http://babel.hathitrust.org/cgi/pt?id=uc2.ark:/13960/t2t43nr20</v>
      </c>
      <c r="H4096" t="str">
        <f>HYPERLINK("http://catalog.hathitrust.org/Record/006538562")</f>
        <v>http://catalog.hathitrust.org/Record/006538562</v>
      </c>
      <c r="J4096" s="1">
        <v>1921</v>
      </c>
      <c r="K4096" t="s">
        <v>11343</v>
      </c>
      <c r="L4096" t="s">
        <v>11344</v>
      </c>
    </row>
    <row r="4097" spans="1:12">
      <c r="A4097" t="s">
        <v>11346</v>
      </c>
      <c r="B4097" s="1" t="s">
        <v>11347</v>
      </c>
      <c r="F4097">
        <v>1</v>
      </c>
      <c r="G4097" t="str">
        <f>HYPERLINK("http://babel.hathitrust.org/cgi/pt?id=uc1.b307983")</f>
        <v>http://babel.hathitrust.org/cgi/pt?id=uc1.b307983</v>
      </c>
      <c r="H4097" t="str">
        <f>HYPERLINK("http://catalog.hathitrust.org/Record/006538563")</f>
        <v>http://catalog.hathitrust.org/Record/006538563</v>
      </c>
      <c r="J4097" s="1">
        <v>1926</v>
      </c>
      <c r="K4097" t="s">
        <v>11348</v>
      </c>
      <c r="L4097" t="s">
        <v>11886</v>
      </c>
    </row>
    <row r="4098" spans="1:12">
      <c r="A4098" t="s">
        <v>11349</v>
      </c>
      <c r="B4098" s="1" t="s">
        <v>11350</v>
      </c>
      <c r="F4098">
        <v>1</v>
      </c>
      <c r="G4098" t="str">
        <f>HYPERLINK("http://babel.hathitrust.org/cgi/pt?id=uc1.b307985")</f>
        <v>http://babel.hathitrust.org/cgi/pt?id=uc1.b307985</v>
      </c>
      <c r="H4098" t="str">
        <f>HYPERLINK("http://catalog.hathitrust.org/Record/006538564")</f>
        <v>http://catalog.hathitrust.org/Record/006538564</v>
      </c>
      <c r="J4098" s="1">
        <v>1922</v>
      </c>
      <c r="K4098" t="s">
        <v>11351</v>
      </c>
      <c r="L4098" t="s">
        <v>11352</v>
      </c>
    </row>
    <row r="4099" spans="1:12">
      <c r="A4099" t="s">
        <v>11247</v>
      </c>
      <c r="B4099" s="1" t="s">
        <v>11350</v>
      </c>
      <c r="F4099">
        <v>1</v>
      </c>
      <c r="G4099" t="str">
        <f>HYPERLINK("http://babel.hathitrust.org/cgi/pt?id=uc2.ark:/13960/t2x34rt04")</f>
        <v>http://babel.hathitrust.org/cgi/pt?id=uc2.ark:/13960/t2x34rt04</v>
      </c>
      <c r="H4099" t="str">
        <f>HYPERLINK("http://catalog.hathitrust.org/Record/006538564")</f>
        <v>http://catalog.hathitrust.org/Record/006538564</v>
      </c>
      <c r="J4099" s="1">
        <v>1922</v>
      </c>
      <c r="K4099" t="s">
        <v>11351</v>
      </c>
      <c r="L4099" t="s">
        <v>11352</v>
      </c>
    </row>
    <row r="4100" spans="1:12">
      <c r="A4100" t="s">
        <v>11248</v>
      </c>
      <c r="B4100" s="1" t="s">
        <v>11249</v>
      </c>
      <c r="F4100">
        <v>1</v>
      </c>
      <c r="G4100" t="str">
        <f>HYPERLINK("http://babel.hathitrust.org/cgi/pt?id=nyp.33433082511928")</f>
        <v>http://babel.hathitrust.org/cgi/pt?id=nyp.33433082511928</v>
      </c>
      <c r="H4100" t="str">
        <f>HYPERLINK("http://catalog.hathitrust.org/Record/006538565")</f>
        <v>http://catalog.hathitrust.org/Record/006538565</v>
      </c>
      <c r="J4100" s="1">
        <v>1903</v>
      </c>
      <c r="K4100" t="s">
        <v>11250</v>
      </c>
      <c r="L4100" t="s">
        <v>12390</v>
      </c>
    </row>
    <row r="4101" spans="1:12">
      <c r="A4101" t="s">
        <v>11251</v>
      </c>
      <c r="B4101" s="1" t="s">
        <v>11249</v>
      </c>
      <c r="F4101">
        <v>1</v>
      </c>
      <c r="G4101" t="str">
        <f>HYPERLINK("http://babel.hathitrust.org/cgi/pt?id=uc1.b307986")</f>
        <v>http://babel.hathitrust.org/cgi/pt?id=uc1.b307986</v>
      </c>
      <c r="H4101" t="str">
        <f>HYPERLINK("http://catalog.hathitrust.org/Record/006538565")</f>
        <v>http://catalog.hathitrust.org/Record/006538565</v>
      </c>
      <c r="J4101" s="1">
        <v>1903</v>
      </c>
      <c r="K4101" t="s">
        <v>11250</v>
      </c>
      <c r="L4101" t="s">
        <v>12390</v>
      </c>
    </row>
    <row r="4102" spans="1:12">
      <c r="A4102" t="s">
        <v>11252</v>
      </c>
      <c r="B4102" s="1" t="s">
        <v>11249</v>
      </c>
      <c r="F4102">
        <v>1</v>
      </c>
      <c r="G4102" t="str">
        <f>HYPERLINK("http://babel.hathitrust.org/cgi/pt?id=uc2.ark:/13960/t3gx48m5k")</f>
        <v>http://babel.hathitrust.org/cgi/pt?id=uc2.ark:/13960/t3gx48m5k</v>
      </c>
      <c r="H4102" t="str">
        <f>HYPERLINK("http://catalog.hathitrust.org/Record/006538565")</f>
        <v>http://catalog.hathitrust.org/Record/006538565</v>
      </c>
      <c r="J4102" s="1">
        <v>1903</v>
      </c>
      <c r="K4102" t="s">
        <v>11250</v>
      </c>
      <c r="L4102" t="s">
        <v>12390</v>
      </c>
    </row>
    <row r="4103" spans="1:12">
      <c r="A4103" t="s">
        <v>11253</v>
      </c>
      <c r="B4103" s="1" t="s">
        <v>11254</v>
      </c>
      <c r="F4103">
        <v>1</v>
      </c>
      <c r="G4103" t="str">
        <f>HYPERLINK("http://babel.hathitrust.org/cgi/pt?id=nyp.33433082511951")</f>
        <v>http://babel.hathitrust.org/cgi/pt?id=nyp.33433082511951</v>
      </c>
      <c r="H4103" t="str">
        <f t="shared" ref="H4103:H4108" si="48">HYPERLINK("http://catalog.hathitrust.org/Record/006538732")</f>
        <v>http://catalog.hathitrust.org/Record/006538732</v>
      </c>
      <c r="J4103" s="1">
        <v>1907</v>
      </c>
      <c r="K4103" t="s">
        <v>11255</v>
      </c>
      <c r="L4103" t="s">
        <v>14821</v>
      </c>
    </row>
    <row r="4104" spans="1:12">
      <c r="A4104" t="s">
        <v>11256</v>
      </c>
      <c r="B4104" s="1" t="s">
        <v>11254</v>
      </c>
      <c r="F4104">
        <v>1</v>
      </c>
      <c r="G4104" t="str">
        <f>HYPERLINK("http://babel.hathitrust.org/cgi/pt?id=nyp.33433082511969")</f>
        <v>http://babel.hathitrust.org/cgi/pt?id=nyp.33433082511969</v>
      </c>
      <c r="H4104" t="str">
        <f t="shared" si="48"/>
        <v>http://catalog.hathitrust.org/Record/006538732</v>
      </c>
      <c r="J4104" s="1">
        <v>1907</v>
      </c>
      <c r="K4104" t="s">
        <v>11255</v>
      </c>
      <c r="L4104" t="s">
        <v>14821</v>
      </c>
    </row>
    <row r="4105" spans="1:12">
      <c r="A4105" t="s">
        <v>11257</v>
      </c>
      <c r="B4105" s="1" t="s">
        <v>11254</v>
      </c>
      <c r="F4105">
        <v>1</v>
      </c>
      <c r="G4105" t="str">
        <f>HYPERLINK("http://babel.hathitrust.org/cgi/pt?id=uc1.$b663333")</f>
        <v>http://babel.hathitrust.org/cgi/pt?id=uc1.$b663333</v>
      </c>
      <c r="H4105" t="str">
        <f t="shared" si="48"/>
        <v>http://catalog.hathitrust.org/Record/006538732</v>
      </c>
      <c r="J4105" s="1">
        <v>1907</v>
      </c>
      <c r="K4105" t="s">
        <v>11255</v>
      </c>
      <c r="L4105" t="s">
        <v>14821</v>
      </c>
    </row>
    <row r="4106" spans="1:12">
      <c r="A4106" t="s">
        <v>11258</v>
      </c>
      <c r="B4106" s="1" t="s">
        <v>11254</v>
      </c>
      <c r="F4106">
        <v>1</v>
      </c>
      <c r="G4106" t="str">
        <f>HYPERLINK("http://babel.hathitrust.org/cgi/pt?id=uc1.b308210")</f>
        <v>http://babel.hathitrust.org/cgi/pt?id=uc1.b308210</v>
      </c>
      <c r="H4106" t="str">
        <f t="shared" si="48"/>
        <v>http://catalog.hathitrust.org/Record/006538732</v>
      </c>
      <c r="J4106" s="1">
        <v>1907</v>
      </c>
      <c r="K4106" t="s">
        <v>11255</v>
      </c>
      <c r="L4106" t="s">
        <v>14821</v>
      </c>
    </row>
    <row r="4107" spans="1:12">
      <c r="A4107" t="s">
        <v>11259</v>
      </c>
      <c r="B4107" s="1" t="s">
        <v>11254</v>
      </c>
      <c r="F4107">
        <v>1</v>
      </c>
      <c r="G4107" t="str">
        <f>HYPERLINK("http://babel.hathitrust.org/cgi/pt?id=uc2.ark:/13960/t14m92x39")</f>
        <v>http://babel.hathitrust.org/cgi/pt?id=uc2.ark:/13960/t14m92x39</v>
      </c>
      <c r="H4107" t="str">
        <f t="shared" si="48"/>
        <v>http://catalog.hathitrust.org/Record/006538732</v>
      </c>
      <c r="J4107" s="1">
        <v>1907</v>
      </c>
      <c r="K4107" t="s">
        <v>11255</v>
      </c>
      <c r="L4107" t="s">
        <v>14821</v>
      </c>
    </row>
    <row r="4108" spans="1:12">
      <c r="A4108" t="s">
        <v>11260</v>
      </c>
      <c r="B4108" s="1" t="s">
        <v>11254</v>
      </c>
      <c r="F4108">
        <v>1</v>
      </c>
      <c r="G4108" t="str">
        <f>HYPERLINK("http://babel.hathitrust.org/cgi/pt?id=uc2.ark:/13960/t2s46n704")</f>
        <v>http://babel.hathitrust.org/cgi/pt?id=uc2.ark:/13960/t2s46n704</v>
      </c>
      <c r="H4108" t="str">
        <f t="shared" si="48"/>
        <v>http://catalog.hathitrust.org/Record/006538732</v>
      </c>
      <c r="J4108" s="1">
        <v>1907</v>
      </c>
      <c r="K4108" t="s">
        <v>11255</v>
      </c>
      <c r="L4108" t="s">
        <v>14821</v>
      </c>
    </row>
    <row r="4109" spans="1:12">
      <c r="A4109" t="s">
        <v>11261</v>
      </c>
      <c r="B4109" s="1" t="s">
        <v>11262</v>
      </c>
      <c r="D4109">
        <v>1</v>
      </c>
      <c r="G4109" t="str">
        <f>HYPERLINK("http://babel.hathitrust.org/cgi/pt?id=uc1.b308212")</f>
        <v>http://babel.hathitrust.org/cgi/pt?id=uc1.b308212</v>
      </c>
      <c r="H4109" t="str">
        <f>HYPERLINK("http://catalog.hathitrust.org/Record/006538734")</f>
        <v>http://catalog.hathitrust.org/Record/006538734</v>
      </c>
      <c r="J4109" s="1">
        <v>1919</v>
      </c>
      <c r="K4109" t="s">
        <v>11263</v>
      </c>
      <c r="L4109" t="s">
        <v>19253</v>
      </c>
    </row>
    <row r="4110" spans="1:12">
      <c r="A4110" t="s">
        <v>11264</v>
      </c>
      <c r="B4110" s="1" t="s">
        <v>11265</v>
      </c>
      <c r="E4110">
        <v>1</v>
      </c>
      <c r="G4110" t="str">
        <f>HYPERLINK("http://babel.hathitrust.org/cgi/pt?id=uc1.b308220")</f>
        <v>http://babel.hathitrust.org/cgi/pt?id=uc1.b308220</v>
      </c>
      <c r="H4110" t="str">
        <f>HYPERLINK("http://catalog.hathitrust.org/Record/006538737")</f>
        <v>http://catalog.hathitrust.org/Record/006538737</v>
      </c>
      <c r="J4110" s="1">
        <v>1872</v>
      </c>
      <c r="K4110" t="s">
        <v>11266</v>
      </c>
      <c r="L4110" t="s">
        <v>17330</v>
      </c>
    </row>
    <row r="4111" spans="1:12">
      <c r="A4111" t="s">
        <v>11267</v>
      </c>
      <c r="B4111" s="1" t="s">
        <v>11268</v>
      </c>
      <c r="F4111">
        <v>1</v>
      </c>
      <c r="G4111" t="str">
        <f>HYPERLINK("http://babel.hathitrust.org/cgi/pt?id=uc1.b308902")</f>
        <v>http://babel.hathitrust.org/cgi/pt?id=uc1.b308902</v>
      </c>
      <c r="H4111" t="str">
        <f>HYPERLINK("http://catalog.hathitrust.org/Record/006539096")</f>
        <v>http://catalog.hathitrust.org/Record/006539096</v>
      </c>
      <c r="J4111" s="1">
        <v>1918</v>
      </c>
      <c r="K4111" t="s">
        <v>11269</v>
      </c>
      <c r="L4111" t="s">
        <v>11270</v>
      </c>
    </row>
    <row r="4112" spans="1:12">
      <c r="A4112" t="s">
        <v>11271</v>
      </c>
      <c r="B4112" s="1" t="s">
        <v>11268</v>
      </c>
      <c r="F4112">
        <v>1</v>
      </c>
      <c r="G4112" t="str">
        <f>HYPERLINK("http://babel.hathitrust.org/cgi/pt?id=uc2.ark:/13960/t4mk6964z")</f>
        <v>http://babel.hathitrust.org/cgi/pt?id=uc2.ark:/13960/t4mk6964z</v>
      </c>
      <c r="H4112" t="str">
        <f>HYPERLINK("http://catalog.hathitrust.org/Record/006539096")</f>
        <v>http://catalog.hathitrust.org/Record/006539096</v>
      </c>
      <c r="J4112" s="1">
        <v>1918</v>
      </c>
      <c r="K4112" t="s">
        <v>11269</v>
      </c>
      <c r="L4112" t="s">
        <v>11270</v>
      </c>
    </row>
    <row r="4113" spans="1:12">
      <c r="A4113" t="s">
        <v>11272</v>
      </c>
      <c r="B4113" s="1" t="s">
        <v>11273</v>
      </c>
      <c r="F4113">
        <v>1</v>
      </c>
      <c r="G4113" t="str">
        <f>HYPERLINK("http://babel.hathitrust.org/cgi/pt?id=loc.ark:/13960/t5db8vn26")</f>
        <v>http://babel.hathitrust.org/cgi/pt?id=loc.ark:/13960/t5db8vn26</v>
      </c>
      <c r="H4113" t="str">
        <f>HYPERLINK("http://catalog.hathitrust.org/Record/006539102")</f>
        <v>http://catalog.hathitrust.org/Record/006539102</v>
      </c>
      <c r="J4113" s="1">
        <v>1919</v>
      </c>
      <c r="K4113" t="s">
        <v>11274</v>
      </c>
      <c r="L4113" t="s">
        <v>12267</v>
      </c>
    </row>
    <row r="4114" spans="1:12">
      <c r="A4114" t="s">
        <v>11275</v>
      </c>
      <c r="B4114" s="1" t="s">
        <v>11273</v>
      </c>
      <c r="F4114">
        <v>1</v>
      </c>
      <c r="G4114" t="str">
        <f>HYPERLINK("http://babel.hathitrust.org/cgi/pt?id=nyp.33433069254195")</f>
        <v>http://babel.hathitrust.org/cgi/pt?id=nyp.33433069254195</v>
      </c>
      <c r="H4114" t="str">
        <f>HYPERLINK("http://catalog.hathitrust.org/Record/006539102")</f>
        <v>http://catalog.hathitrust.org/Record/006539102</v>
      </c>
      <c r="J4114" s="1">
        <v>1919</v>
      </c>
      <c r="K4114" t="s">
        <v>11274</v>
      </c>
      <c r="L4114" t="s">
        <v>12267</v>
      </c>
    </row>
    <row r="4115" spans="1:12">
      <c r="A4115" t="s">
        <v>11276</v>
      </c>
      <c r="B4115" s="1" t="s">
        <v>11273</v>
      </c>
      <c r="F4115">
        <v>1</v>
      </c>
      <c r="G4115" t="str">
        <f>HYPERLINK("http://babel.hathitrust.org/cgi/pt?id=uc1.b308919")</f>
        <v>http://babel.hathitrust.org/cgi/pt?id=uc1.b308919</v>
      </c>
      <c r="H4115" t="str">
        <f>HYPERLINK("http://catalog.hathitrust.org/Record/006539102")</f>
        <v>http://catalog.hathitrust.org/Record/006539102</v>
      </c>
      <c r="J4115" s="1">
        <v>1919</v>
      </c>
      <c r="K4115" t="s">
        <v>11274</v>
      </c>
      <c r="L4115" t="s">
        <v>12267</v>
      </c>
    </row>
    <row r="4116" spans="1:12">
      <c r="A4116" t="s">
        <v>11277</v>
      </c>
      <c r="B4116" s="1" t="s">
        <v>11278</v>
      </c>
      <c r="E4116">
        <v>1</v>
      </c>
      <c r="F4116">
        <v>1</v>
      </c>
      <c r="G4116" t="str">
        <f>HYPERLINK("http://babel.hathitrust.org/cgi/pt?id=uc1.b308920")</f>
        <v>http://babel.hathitrust.org/cgi/pt?id=uc1.b308920</v>
      </c>
      <c r="H4116" t="str">
        <f>HYPERLINK("http://catalog.hathitrust.org/Record/006539103")</f>
        <v>http://catalog.hathitrust.org/Record/006539103</v>
      </c>
      <c r="J4116" s="1">
        <v>1924</v>
      </c>
      <c r="K4116" t="s">
        <v>11279</v>
      </c>
      <c r="L4116" t="s">
        <v>11280</v>
      </c>
    </row>
    <row r="4117" spans="1:12">
      <c r="A4117" t="s">
        <v>11281</v>
      </c>
      <c r="B4117" s="1" t="s">
        <v>11282</v>
      </c>
      <c r="F4117">
        <v>1</v>
      </c>
      <c r="G4117" t="str">
        <f>HYPERLINK("http://babel.hathitrust.org/cgi/pt?id=uc1.b308921")</f>
        <v>http://babel.hathitrust.org/cgi/pt?id=uc1.b308921</v>
      </c>
      <c r="H4117" t="str">
        <f>HYPERLINK("http://catalog.hathitrust.org/Record/006539104")</f>
        <v>http://catalog.hathitrust.org/Record/006539104</v>
      </c>
      <c r="J4117" s="1">
        <v>1921</v>
      </c>
      <c r="K4117" t="s">
        <v>11283</v>
      </c>
      <c r="L4117" t="s">
        <v>11284</v>
      </c>
    </row>
    <row r="4118" spans="1:12">
      <c r="A4118" t="s">
        <v>11285</v>
      </c>
      <c r="B4118" s="1" t="s">
        <v>11286</v>
      </c>
      <c r="F4118">
        <v>1</v>
      </c>
      <c r="G4118" t="str">
        <f>HYPERLINK("http://babel.hathitrust.org/cgi/pt?id=uc1.b311360")</f>
        <v>http://babel.hathitrust.org/cgi/pt?id=uc1.b311360</v>
      </c>
      <c r="H4118" t="str">
        <f>HYPERLINK("http://catalog.hathitrust.org/Record/006540639")</f>
        <v>http://catalog.hathitrust.org/Record/006540639</v>
      </c>
      <c r="J4118" s="1">
        <v>1921</v>
      </c>
      <c r="K4118" t="s">
        <v>11287</v>
      </c>
      <c r="L4118" t="s">
        <v>11288</v>
      </c>
    </row>
    <row r="4119" spans="1:12">
      <c r="A4119" t="s">
        <v>11289</v>
      </c>
      <c r="B4119" s="1" t="s">
        <v>11286</v>
      </c>
      <c r="F4119">
        <v>1</v>
      </c>
      <c r="G4119" t="str">
        <f>HYPERLINK("http://babel.hathitrust.org/cgi/pt?id=uc2.ark:/13960/t8qc00c7m")</f>
        <v>http://babel.hathitrust.org/cgi/pt?id=uc2.ark:/13960/t8qc00c7m</v>
      </c>
      <c r="H4119" t="str">
        <f>HYPERLINK("http://catalog.hathitrust.org/Record/006540639")</f>
        <v>http://catalog.hathitrust.org/Record/006540639</v>
      </c>
      <c r="J4119" s="1">
        <v>1921</v>
      </c>
      <c r="K4119" t="s">
        <v>11287</v>
      </c>
      <c r="L4119" t="s">
        <v>11288</v>
      </c>
    </row>
    <row r="4120" spans="1:12">
      <c r="A4120" t="s">
        <v>11290</v>
      </c>
      <c r="B4120" s="1" t="s">
        <v>11291</v>
      </c>
      <c r="F4120">
        <v>1</v>
      </c>
      <c r="G4120" t="str">
        <f>HYPERLINK("http://babel.hathitrust.org/cgi/pt?id=uc1.b312189")</f>
        <v>http://babel.hathitrust.org/cgi/pt?id=uc1.b312189</v>
      </c>
      <c r="H4120" t="str">
        <f>HYPERLINK("http://catalog.hathitrust.org/Record/006541261")</f>
        <v>http://catalog.hathitrust.org/Record/006541261</v>
      </c>
      <c r="J4120" s="1">
        <v>1919</v>
      </c>
      <c r="K4120" t="s">
        <v>17235</v>
      </c>
      <c r="L4120" t="s">
        <v>17236</v>
      </c>
    </row>
    <row r="4121" spans="1:12">
      <c r="A4121" t="s">
        <v>11292</v>
      </c>
      <c r="B4121" s="1" t="s">
        <v>11293</v>
      </c>
      <c r="F4121">
        <v>1</v>
      </c>
      <c r="G4121" t="str">
        <f>HYPERLINK("http://babel.hathitrust.org/cgi/pt?id=uc1.b313398")</f>
        <v>http://babel.hathitrust.org/cgi/pt?id=uc1.b313398</v>
      </c>
      <c r="H4121" t="str">
        <f>HYPERLINK("http://catalog.hathitrust.org/Record/006542114")</f>
        <v>http://catalog.hathitrust.org/Record/006542114</v>
      </c>
      <c r="J4121" s="1">
        <v>1904</v>
      </c>
      <c r="K4121" t="s">
        <v>11294</v>
      </c>
      <c r="L4121" t="s">
        <v>11295</v>
      </c>
    </row>
    <row r="4122" spans="1:12">
      <c r="A4122" t="s">
        <v>11296</v>
      </c>
      <c r="B4122" s="1" t="s">
        <v>11293</v>
      </c>
      <c r="F4122">
        <v>1</v>
      </c>
      <c r="G4122" t="str">
        <f>HYPERLINK("http://babel.hathitrust.org/cgi/pt?id=uc2.ark:/13960/t6nz84w67")</f>
        <v>http://babel.hathitrust.org/cgi/pt?id=uc2.ark:/13960/t6nz84w67</v>
      </c>
      <c r="H4122" t="str">
        <f>HYPERLINK("http://catalog.hathitrust.org/Record/006542114")</f>
        <v>http://catalog.hathitrust.org/Record/006542114</v>
      </c>
      <c r="J4122" s="1">
        <v>1904</v>
      </c>
      <c r="K4122" t="s">
        <v>11294</v>
      </c>
      <c r="L4122" t="s">
        <v>11295</v>
      </c>
    </row>
    <row r="4123" spans="1:12">
      <c r="A4123" t="s">
        <v>11297</v>
      </c>
      <c r="B4123" s="1" t="s">
        <v>11298</v>
      </c>
      <c r="F4123">
        <v>1</v>
      </c>
      <c r="G4123" t="str">
        <f>HYPERLINK("http://babel.hathitrust.org/cgi/pt?id=uc1.b315047")</f>
        <v>http://babel.hathitrust.org/cgi/pt?id=uc1.b315047</v>
      </c>
      <c r="H4123" t="str">
        <f>HYPERLINK("http://catalog.hathitrust.org/Record/006543111")</f>
        <v>http://catalog.hathitrust.org/Record/006543111</v>
      </c>
      <c r="J4123" s="1">
        <v>1916</v>
      </c>
      <c r="K4123" t="s">
        <v>11211</v>
      </c>
      <c r="L4123" t="s">
        <v>17005</v>
      </c>
    </row>
    <row r="4124" spans="1:12">
      <c r="A4124" t="s">
        <v>11212</v>
      </c>
      <c r="B4124" s="1" t="s">
        <v>11298</v>
      </c>
      <c r="F4124">
        <v>1</v>
      </c>
      <c r="G4124" t="str">
        <f>HYPERLINK("http://babel.hathitrust.org/cgi/pt?id=uc2.ark:/13960/t19k47004")</f>
        <v>http://babel.hathitrust.org/cgi/pt?id=uc2.ark:/13960/t19k47004</v>
      </c>
      <c r="H4124" t="str">
        <f>HYPERLINK("http://catalog.hathitrust.org/Record/006543111")</f>
        <v>http://catalog.hathitrust.org/Record/006543111</v>
      </c>
      <c r="J4124" s="1">
        <v>1916</v>
      </c>
      <c r="K4124" t="s">
        <v>11211</v>
      </c>
      <c r="L4124" t="s">
        <v>17005</v>
      </c>
    </row>
    <row r="4125" spans="1:12">
      <c r="A4125" t="s">
        <v>11213</v>
      </c>
      <c r="B4125" s="1" t="s">
        <v>11214</v>
      </c>
      <c r="D4125">
        <v>1</v>
      </c>
      <c r="G4125" t="str">
        <f>HYPERLINK("http://babel.hathitrust.org/cgi/pt?id=uc1.b316547")</f>
        <v>http://babel.hathitrust.org/cgi/pt?id=uc1.b316547</v>
      </c>
      <c r="H4125" t="str">
        <f>HYPERLINK("http://catalog.hathitrust.org/Record/006544078")</f>
        <v>http://catalog.hathitrust.org/Record/006544078</v>
      </c>
      <c r="J4125" s="1">
        <v>1918</v>
      </c>
      <c r="K4125" t="s">
        <v>11215</v>
      </c>
      <c r="L4125" t="s">
        <v>19253</v>
      </c>
    </row>
    <row r="4126" spans="1:12">
      <c r="A4126" t="s">
        <v>11216</v>
      </c>
      <c r="B4126" s="1" t="s">
        <v>11217</v>
      </c>
      <c r="F4126">
        <v>1</v>
      </c>
      <c r="G4126" t="str">
        <f>HYPERLINK("http://babel.hathitrust.org/cgi/pt?id=uc1.b316548")</f>
        <v>http://babel.hathitrust.org/cgi/pt?id=uc1.b316548</v>
      </c>
      <c r="H4126" t="str">
        <f>HYPERLINK("http://catalog.hathitrust.org/Record/006544079")</f>
        <v>http://catalog.hathitrust.org/Record/006544079</v>
      </c>
      <c r="J4126" s="1">
        <v>1903</v>
      </c>
      <c r="K4126" t="s">
        <v>11218</v>
      </c>
      <c r="L4126" t="s">
        <v>15226</v>
      </c>
    </row>
    <row r="4127" spans="1:12">
      <c r="A4127" t="s">
        <v>11219</v>
      </c>
      <c r="B4127" s="1" t="s">
        <v>11217</v>
      </c>
      <c r="F4127">
        <v>1</v>
      </c>
      <c r="G4127" t="str">
        <f>HYPERLINK("http://babel.hathitrust.org/cgi/pt?id=uc2.ark:/13960/t5j963v1f")</f>
        <v>http://babel.hathitrust.org/cgi/pt?id=uc2.ark:/13960/t5j963v1f</v>
      </c>
      <c r="H4127" t="str">
        <f>HYPERLINK("http://catalog.hathitrust.org/Record/006544079")</f>
        <v>http://catalog.hathitrust.org/Record/006544079</v>
      </c>
      <c r="J4127" s="1">
        <v>1903</v>
      </c>
      <c r="K4127" t="s">
        <v>11218</v>
      </c>
      <c r="L4127" t="s">
        <v>15226</v>
      </c>
    </row>
    <row r="4128" spans="1:12">
      <c r="A4128" t="s">
        <v>11220</v>
      </c>
      <c r="B4128" s="1" t="s">
        <v>11221</v>
      </c>
      <c r="F4128">
        <v>1</v>
      </c>
      <c r="G4128" t="str">
        <f>HYPERLINK("http://babel.hathitrust.org/cgi/pt?id=uc1.b316855")</f>
        <v>http://babel.hathitrust.org/cgi/pt?id=uc1.b316855</v>
      </c>
      <c r="H4128" t="str">
        <f>HYPERLINK("http://catalog.hathitrust.org/Record/006544266")</f>
        <v>http://catalog.hathitrust.org/Record/006544266</v>
      </c>
      <c r="J4128" s="1">
        <v>1918</v>
      </c>
      <c r="K4128" t="s">
        <v>11222</v>
      </c>
      <c r="L4128" t="s">
        <v>11223</v>
      </c>
    </row>
    <row r="4129" spans="1:12">
      <c r="A4129" t="s">
        <v>11224</v>
      </c>
      <c r="B4129" s="1" t="s">
        <v>11221</v>
      </c>
      <c r="F4129">
        <v>1</v>
      </c>
      <c r="G4129" t="str">
        <f>HYPERLINK("http://babel.hathitrust.org/cgi/pt?id=uc2.ark:/13960/t82j6dh3j")</f>
        <v>http://babel.hathitrust.org/cgi/pt?id=uc2.ark:/13960/t82j6dh3j</v>
      </c>
      <c r="H4129" t="str">
        <f>HYPERLINK("http://catalog.hathitrust.org/Record/006544266")</f>
        <v>http://catalog.hathitrust.org/Record/006544266</v>
      </c>
      <c r="J4129" s="1">
        <v>1918</v>
      </c>
      <c r="K4129" t="s">
        <v>11222</v>
      </c>
      <c r="L4129" t="s">
        <v>11223</v>
      </c>
    </row>
    <row r="4130" spans="1:12">
      <c r="A4130" t="s">
        <v>11225</v>
      </c>
      <c r="B4130" s="1" t="s">
        <v>11226</v>
      </c>
      <c r="F4130">
        <v>1</v>
      </c>
      <c r="G4130" t="str">
        <f>HYPERLINK("http://babel.hathitrust.org/cgi/pt?id=uc1.b318123")</f>
        <v>http://babel.hathitrust.org/cgi/pt?id=uc1.b318123</v>
      </c>
      <c r="H4130" t="str">
        <f>HYPERLINK("http://catalog.hathitrust.org/Record/006544941")</f>
        <v>http://catalog.hathitrust.org/Record/006544941</v>
      </c>
      <c r="J4130" s="1">
        <v>1903</v>
      </c>
      <c r="K4130" t="s">
        <v>11227</v>
      </c>
      <c r="L4130" t="s">
        <v>19727</v>
      </c>
    </row>
    <row r="4131" spans="1:12">
      <c r="A4131" t="s">
        <v>11228</v>
      </c>
      <c r="B4131" s="1" t="s">
        <v>11229</v>
      </c>
      <c r="F4131">
        <v>1</v>
      </c>
      <c r="G4131" t="str">
        <f>HYPERLINK("http://babel.hathitrust.org/cgi/pt?id=loc.ark:/13960/t2k658v60")</f>
        <v>http://babel.hathitrust.org/cgi/pt?id=loc.ark:/13960/t2k658v60</v>
      </c>
      <c r="H4131" t="str">
        <f>HYPERLINK("http://catalog.hathitrust.org/Record/006545282")</f>
        <v>http://catalog.hathitrust.org/Record/006545282</v>
      </c>
      <c r="J4131" s="1">
        <v>1920</v>
      </c>
      <c r="K4131" t="s">
        <v>12187</v>
      </c>
      <c r="L4131" t="s">
        <v>12188</v>
      </c>
    </row>
    <row r="4132" spans="1:12">
      <c r="A4132" t="s">
        <v>11230</v>
      </c>
      <c r="B4132" s="1" t="s">
        <v>11229</v>
      </c>
      <c r="F4132">
        <v>1</v>
      </c>
      <c r="G4132" t="str">
        <f>HYPERLINK("http://babel.hathitrust.org/cgi/pt?id=nyp.33433069254237")</f>
        <v>http://babel.hathitrust.org/cgi/pt?id=nyp.33433069254237</v>
      </c>
      <c r="H4132" t="str">
        <f>HYPERLINK("http://catalog.hathitrust.org/Record/006545282")</f>
        <v>http://catalog.hathitrust.org/Record/006545282</v>
      </c>
      <c r="J4132" s="1">
        <v>1920</v>
      </c>
      <c r="K4132" t="s">
        <v>12187</v>
      </c>
      <c r="L4132" t="s">
        <v>12188</v>
      </c>
    </row>
    <row r="4133" spans="1:12">
      <c r="A4133" t="s">
        <v>11231</v>
      </c>
      <c r="B4133" s="1" t="s">
        <v>11229</v>
      </c>
      <c r="F4133">
        <v>1</v>
      </c>
      <c r="G4133" t="str">
        <f>HYPERLINK("http://babel.hathitrust.org/cgi/pt?id=uc1.b318812")</f>
        <v>http://babel.hathitrust.org/cgi/pt?id=uc1.b318812</v>
      </c>
      <c r="H4133" t="str">
        <f>HYPERLINK("http://catalog.hathitrust.org/Record/006545282")</f>
        <v>http://catalog.hathitrust.org/Record/006545282</v>
      </c>
      <c r="J4133" s="1">
        <v>1920</v>
      </c>
      <c r="K4133" t="s">
        <v>12187</v>
      </c>
      <c r="L4133" t="s">
        <v>12188</v>
      </c>
    </row>
    <row r="4134" spans="1:12">
      <c r="A4134" t="s">
        <v>11232</v>
      </c>
      <c r="B4134" s="1" t="s">
        <v>11229</v>
      </c>
      <c r="F4134">
        <v>1</v>
      </c>
      <c r="G4134" t="str">
        <f>HYPERLINK("http://babel.hathitrust.org/cgi/pt?id=uc2.ark:/13960/t0pr7rr1p")</f>
        <v>http://babel.hathitrust.org/cgi/pt?id=uc2.ark:/13960/t0pr7rr1p</v>
      </c>
      <c r="H4134" t="str">
        <f>HYPERLINK("http://catalog.hathitrust.org/Record/006545282")</f>
        <v>http://catalog.hathitrust.org/Record/006545282</v>
      </c>
      <c r="J4134" s="1">
        <v>1920</v>
      </c>
      <c r="K4134" t="s">
        <v>12187</v>
      </c>
      <c r="L4134" t="s">
        <v>12188</v>
      </c>
    </row>
    <row r="4135" spans="1:12">
      <c r="A4135" t="s">
        <v>11233</v>
      </c>
      <c r="B4135" s="1" t="s">
        <v>11234</v>
      </c>
      <c r="F4135">
        <v>1</v>
      </c>
      <c r="G4135" t="str">
        <f>HYPERLINK("http://babel.hathitrust.org/cgi/pt?id=hvd.32044086668746")</f>
        <v>http://babel.hathitrust.org/cgi/pt?id=hvd.32044086668746</v>
      </c>
      <c r="H4135" t="str">
        <f>HYPERLINK("http://catalog.hathitrust.org/Record/006546175")</f>
        <v>http://catalog.hathitrust.org/Record/006546175</v>
      </c>
      <c r="J4135" s="1">
        <v>1862</v>
      </c>
      <c r="K4135" t="s">
        <v>11235</v>
      </c>
      <c r="L4135" t="s">
        <v>11236</v>
      </c>
    </row>
    <row r="4136" spans="1:12">
      <c r="A4136" t="s">
        <v>11237</v>
      </c>
      <c r="B4136" s="1" t="s">
        <v>11234</v>
      </c>
      <c r="F4136">
        <v>1</v>
      </c>
      <c r="G4136" t="str">
        <f>HYPERLINK("http://babel.hathitrust.org/cgi/pt?id=uc1.b320146")</f>
        <v>http://babel.hathitrust.org/cgi/pt?id=uc1.b320146</v>
      </c>
      <c r="H4136" t="str">
        <f>HYPERLINK("http://catalog.hathitrust.org/Record/006546175")</f>
        <v>http://catalog.hathitrust.org/Record/006546175</v>
      </c>
      <c r="J4136" s="1">
        <v>1862</v>
      </c>
      <c r="K4136" t="s">
        <v>11235</v>
      </c>
      <c r="L4136" t="s">
        <v>11236</v>
      </c>
    </row>
    <row r="4137" spans="1:12">
      <c r="A4137" t="s">
        <v>11238</v>
      </c>
      <c r="B4137" s="1" t="s">
        <v>11234</v>
      </c>
      <c r="F4137">
        <v>1</v>
      </c>
      <c r="G4137" t="str">
        <f>HYPERLINK("http://babel.hathitrust.org/cgi/pt?id=uc2.ark:/13960/t4pk0c81k")</f>
        <v>http://babel.hathitrust.org/cgi/pt?id=uc2.ark:/13960/t4pk0c81k</v>
      </c>
      <c r="H4137" t="str">
        <f>HYPERLINK("http://catalog.hathitrust.org/Record/006546175")</f>
        <v>http://catalog.hathitrust.org/Record/006546175</v>
      </c>
      <c r="J4137" s="1">
        <v>1862</v>
      </c>
      <c r="K4137" t="s">
        <v>11235</v>
      </c>
      <c r="L4137" t="s">
        <v>11236</v>
      </c>
    </row>
    <row r="4138" spans="1:12">
      <c r="A4138" t="s">
        <v>11239</v>
      </c>
      <c r="B4138" s="1" t="s">
        <v>11240</v>
      </c>
      <c r="F4138">
        <v>1</v>
      </c>
      <c r="G4138" t="str">
        <f>HYPERLINK("http://babel.hathitrust.org/cgi/pt?id=hvd.32044058200270")</f>
        <v>http://babel.hathitrust.org/cgi/pt?id=hvd.32044058200270</v>
      </c>
      <c r="H4138" t="str">
        <f t="shared" ref="H4138:H4149" si="49">HYPERLINK("http://catalog.hathitrust.org/Record/006548998")</f>
        <v>http://catalog.hathitrust.org/Record/006548998</v>
      </c>
      <c r="I4138" s="1" t="s">
        <v>17887</v>
      </c>
      <c r="J4138" s="1">
        <v>1866</v>
      </c>
      <c r="K4138" t="s">
        <v>11241</v>
      </c>
      <c r="L4138" t="s">
        <v>19675</v>
      </c>
    </row>
    <row r="4139" spans="1:12">
      <c r="A4139" t="s">
        <v>11242</v>
      </c>
      <c r="B4139" s="1" t="s">
        <v>11240</v>
      </c>
      <c r="F4139">
        <v>1</v>
      </c>
      <c r="G4139" t="str">
        <f>HYPERLINK("http://babel.hathitrust.org/cgi/pt?id=hvd.32044058200320")</f>
        <v>http://babel.hathitrust.org/cgi/pt?id=hvd.32044058200320</v>
      </c>
      <c r="H4139" t="str">
        <f t="shared" si="49"/>
        <v>http://catalog.hathitrust.org/Record/006548998</v>
      </c>
      <c r="I4139" s="1" t="s">
        <v>11243</v>
      </c>
      <c r="J4139" s="1">
        <v>1866</v>
      </c>
      <c r="K4139" t="s">
        <v>11241</v>
      </c>
      <c r="L4139" t="s">
        <v>19675</v>
      </c>
    </row>
    <row r="4140" spans="1:12">
      <c r="A4140" t="s">
        <v>11244</v>
      </c>
      <c r="B4140" s="1" t="s">
        <v>11240</v>
      </c>
      <c r="F4140">
        <v>1</v>
      </c>
      <c r="G4140" t="str">
        <f>HYPERLINK("http://babel.hathitrust.org/cgi/pt?id=hvd.32044058200338")</f>
        <v>http://babel.hathitrust.org/cgi/pt?id=hvd.32044058200338</v>
      </c>
      <c r="H4140" t="str">
        <f t="shared" si="49"/>
        <v>http://catalog.hathitrust.org/Record/006548998</v>
      </c>
      <c r="I4140" s="1" t="s">
        <v>17883</v>
      </c>
      <c r="J4140" s="1">
        <v>1866</v>
      </c>
      <c r="K4140" t="s">
        <v>11241</v>
      </c>
      <c r="L4140" t="s">
        <v>19675</v>
      </c>
    </row>
    <row r="4141" spans="1:12">
      <c r="A4141" t="s">
        <v>11245</v>
      </c>
      <c r="B4141" s="1" t="s">
        <v>11240</v>
      </c>
      <c r="F4141">
        <v>1</v>
      </c>
      <c r="G4141" t="str">
        <f>HYPERLINK("http://babel.hathitrust.org/cgi/pt?id=hvd.32044058200346")</f>
        <v>http://babel.hathitrust.org/cgi/pt?id=hvd.32044058200346</v>
      </c>
      <c r="H4141" t="str">
        <f t="shared" si="49"/>
        <v>http://catalog.hathitrust.org/Record/006548998</v>
      </c>
      <c r="I4141" s="1" t="s">
        <v>17885</v>
      </c>
      <c r="J4141" s="1">
        <v>1866</v>
      </c>
      <c r="K4141" t="s">
        <v>11241</v>
      </c>
      <c r="L4141" t="s">
        <v>19675</v>
      </c>
    </row>
    <row r="4142" spans="1:12">
      <c r="A4142" t="s">
        <v>11246</v>
      </c>
      <c r="B4142" s="1" t="s">
        <v>11240</v>
      </c>
      <c r="F4142">
        <v>1</v>
      </c>
      <c r="G4142" t="str">
        <f>HYPERLINK("http://babel.hathitrust.org/cgi/pt?id=hvd.hwg11q")</f>
        <v>http://babel.hathitrust.org/cgi/pt?id=hvd.hwg11q</v>
      </c>
      <c r="H4142" t="str">
        <f t="shared" si="49"/>
        <v>http://catalog.hathitrust.org/Record/006548998</v>
      </c>
      <c r="I4142" s="1" t="s">
        <v>17887</v>
      </c>
      <c r="J4142" s="1">
        <v>1866</v>
      </c>
      <c r="K4142" t="s">
        <v>11241</v>
      </c>
      <c r="L4142" t="s">
        <v>19675</v>
      </c>
    </row>
    <row r="4143" spans="1:12">
      <c r="A4143" t="s">
        <v>11156</v>
      </c>
      <c r="B4143" s="1" t="s">
        <v>11240</v>
      </c>
      <c r="F4143">
        <v>1</v>
      </c>
      <c r="G4143" t="str">
        <f>HYPERLINK("http://babel.hathitrust.org/cgi/pt?id=hvd.hwg11r")</f>
        <v>http://babel.hathitrust.org/cgi/pt?id=hvd.hwg11r</v>
      </c>
      <c r="H4143" t="str">
        <f t="shared" si="49"/>
        <v>http://catalog.hathitrust.org/Record/006548998</v>
      </c>
      <c r="I4143" s="1" t="s">
        <v>17885</v>
      </c>
      <c r="J4143" s="1">
        <v>1866</v>
      </c>
      <c r="K4143" t="s">
        <v>11241</v>
      </c>
      <c r="L4143" t="s">
        <v>19675</v>
      </c>
    </row>
    <row r="4144" spans="1:12">
      <c r="A4144" t="s">
        <v>11157</v>
      </c>
      <c r="B4144" s="1" t="s">
        <v>11240</v>
      </c>
      <c r="F4144">
        <v>1</v>
      </c>
      <c r="G4144" t="str">
        <f>HYPERLINK("http://babel.hathitrust.org/cgi/pt?id=hvd.hwg11s")</f>
        <v>http://babel.hathitrust.org/cgi/pt?id=hvd.hwg11s</v>
      </c>
      <c r="H4144" t="str">
        <f t="shared" si="49"/>
        <v>http://catalog.hathitrust.org/Record/006548998</v>
      </c>
      <c r="I4144" s="1" t="s">
        <v>11243</v>
      </c>
      <c r="J4144" s="1">
        <v>1866</v>
      </c>
      <c r="K4144" t="s">
        <v>11241</v>
      </c>
      <c r="L4144" t="s">
        <v>19675</v>
      </c>
    </row>
    <row r="4145" spans="1:12">
      <c r="A4145" t="s">
        <v>11158</v>
      </c>
      <c r="B4145" s="1" t="s">
        <v>11240</v>
      </c>
      <c r="F4145">
        <v>1</v>
      </c>
      <c r="G4145" t="str">
        <f>HYPERLINK("http://babel.hathitrust.org/cgi/pt?id=hvd.hwg128")</f>
        <v>http://babel.hathitrust.org/cgi/pt?id=hvd.hwg128</v>
      </c>
      <c r="H4145" t="str">
        <f t="shared" si="49"/>
        <v>http://catalog.hathitrust.org/Record/006548998</v>
      </c>
      <c r="I4145" s="1" t="s">
        <v>17883</v>
      </c>
      <c r="J4145" s="1">
        <v>1866</v>
      </c>
      <c r="K4145" t="s">
        <v>11241</v>
      </c>
      <c r="L4145" t="s">
        <v>19675</v>
      </c>
    </row>
    <row r="4146" spans="1:12">
      <c r="A4146" t="s">
        <v>11159</v>
      </c>
      <c r="B4146" s="1" t="s">
        <v>11240</v>
      </c>
      <c r="F4146">
        <v>1</v>
      </c>
      <c r="G4146" t="str">
        <f>HYPERLINK("http://babel.hathitrust.org/cgi/pt?id=uc1.b325896")</f>
        <v>http://babel.hathitrust.org/cgi/pt?id=uc1.b325896</v>
      </c>
      <c r="H4146" t="str">
        <f t="shared" si="49"/>
        <v>http://catalog.hathitrust.org/Record/006548998</v>
      </c>
      <c r="I4146" s="1" t="s">
        <v>20916</v>
      </c>
      <c r="J4146" s="1">
        <v>1866</v>
      </c>
      <c r="K4146" t="s">
        <v>11241</v>
      </c>
      <c r="L4146" t="s">
        <v>19675</v>
      </c>
    </row>
    <row r="4147" spans="1:12">
      <c r="A4147" t="s">
        <v>11160</v>
      </c>
      <c r="B4147" s="1" t="s">
        <v>11240</v>
      </c>
      <c r="F4147">
        <v>1</v>
      </c>
      <c r="G4147" t="str">
        <f>HYPERLINK("http://babel.hathitrust.org/cgi/pt?id=uc1.b325897")</f>
        <v>http://babel.hathitrust.org/cgi/pt?id=uc1.b325897</v>
      </c>
      <c r="H4147" t="str">
        <f t="shared" si="49"/>
        <v>http://catalog.hathitrust.org/Record/006548998</v>
      </c>
      <c r="I4147" s="1" t="s">
        <v>20755</v>
      </c>
      <c r="J4147" s="1">
        <v>1866</v>
      </c>
      <c r="K4147" t="s">
        <v>11241</v>
      </c>
      <c r="L4147" t="s">
        <v>19675</v>
      </c>
    </row>
    <row r="4148" spans="1:12">
      <c r="A4148" t="s">
        <v>11161</v>
      </c>
      <c r="B4148" s="1" t="s">
        <v>11240</v>
      </c>
      <c r="F4148">
        <v>1</v>
      </c>
      <c r="G4148" t="str">
        <f>HYPERLINK("http://babel.hathitrust.org/cgi/pt?id=uc1.b325898")</f>
        <v>http://babel.hathitrust.org/cgi/pt?id=uc1.b325898</v>
      </c>
      <c r="H4148" t="str">
        <f t="shared" si="49"/>
        <v>http://catalog.hathitrust.org/Record/006548998</v>
      </c>
      <c r="I4148" s="1" t="s">
        <v>20920</v>
      </c>
      <c r="J4148" s="1">
        <v>1866</v>
      </c>
      <c r="K4148" t="s">
        <v>11241</v>
      </c>
      <c r="L4148" t="s">
        <v>19675</v>
      </c>
    </row>
    <row r="4149" spans="1:12">
      <c r="A4149" t="s">
        <v>11162</v>
      </c>
      <c r="B4149" s="1" t="s">
        <v>11240</v>
      </c>
      <c r="F4149">
        <v>1</v>
      </c>
      <c r="G4149" t="str">
        <f>HYPERLINK("http://babel.hathitrust.org/cgi/pt?id=uc1.b325899")</f>
        <v>http://babel.hathitrust.org/cgi/pt?id=uc1.b325899</v>
      </c>
      <c r="H4149" t="str">
        <f t="shared" si="49"/>
        <v>http://catalog.hathitrust.org/Record/006548998</v>
      </c>
      <c r="I4149" s="1" t="s">
        <v>20679</v>
      </c>
      <c r="J4149" s="1">
        <v>1866</v>
      </c>
      <c r="K4149" t="s">
        <v>11241</v>
      </c>
      <c r="L4149" t="s">
        <v>19675</v>
      </c>
    </row>
    <row r="4150" spans="1:12">
      <c r="A4150" t="s">
        <v>11163</v>
      </c>
      <c r="B4150" s="1" t="s">
        <v>11164</v>
      </c>
      <c r="E4150">
        <v>1</v>
      </c>
      <c r="G4150" t="str">
        <f>HYPERLINK("http://babel.hathitrust.org/cgi/pt?id=uc1.b325956")</f>
        <v>http://babel.hathitrust.org/cgi/pt?id=uc1.b325956</v>
      </c>
      <c r="H4150" t="str">
        <f>HYPERLINK("http://catalog.hathitrust.org/Record/006549008")</f>
        <v>http://catalog.hathitrust.org/Record/006549008</v>
      </c>
      <c r="J4150" s="1">
        <v>1906</v>
      </c>
      <c r="K4150" t="s">
        <v>11165</v>
      </c>
      <c r="L4150" t="s">
        <v>11166</v>
      </c>
    </row>
    <row r="4151" spans="1:12">
      <c r="A4151" t="s">
        <v>11167</v>
      </c>
      <c r="B4151" s="1" t="s">
        <v>11168</v>
      </c>
      <c r="F4151">
        <v>1</v>
      </c>
      <c r="G4151" t="str">
        <f>HYPERLINK("http://babel.hathitrust.org/cgi/pt?id=uc1.b13619")</f>
        <v>http://babel.hathitrust.org/cgi/pt?id=uc1.b13619</v>
      </c>
      <c r="H4151" t="str">
        <f>HYPERLINK("http://catalog.hathitrust.org/Record/006552197")</f>
        <v>http://catalog.hathitrust.org/Record/006552197</v>
      </c>
      <c r="J4151" s="1">
        <v>1896</v>
      </c>
      <c r="K4151" t="s">
        <v>11169</v>
      </c>
      <c r="L4151" t="s">
        <v>11170</v>
      </c>
    </row>
    <row r="4152" spans="1:12">
      <c r="A4152" t="s">
        <v>11171</v>
      </c>
      <c r="B4152" s="1" t="s">
        <v>11172</v>
      </c>
      <c r="F4152">
        <v>1</v>
      </c>
      <c r="G4152" t="str">
        <f>HYPERLINK("http://babel.hathitrust.org/cgi/pt?id=uc1.b13635")</f>
        <v>http://babel.hathitrust.org/cgi/pt?id=uc1.b13635</v>
      </c>
      <c r="H4152" t="str">
        <f>HYPERLINK("http://catalog.hathitrust.org/Record/006552207")</f>
        <v>http://catalog.hathitrust.org/Record/006552207</v>
      </c>
      <c r="J4152" s="1">
        <v>1857</v>
      </c>
      <c r="K4152" t="s">
        <v>11173</v>
      </c>
      <c r="L4152" t="s">
        <v>15453</v>
      </c>
    </row>
    <row r="4153" spans="1:12">
      <c r="A4153" t="s">
        <v>11174</v>
      </c>
      <c r="B4153" s="1" t="s">
        <v>11172</v>
      </c>
      <c r="F4153">
        <v>1</v>
      </c>
      <c r="G4153" t="str">
        <f>HYPERLINK("http://babel.hathitrust.org/cgi/pt?id=uc2.ark:/13960/t1pg1kc5v")</f>
        <v>http://babel.hathitrust.org/cgi/pt?id=uc2.ark:/13960/t1pg1kc5v</v>
      </c>
      <c r="H4153" t="str">
        <f>HYPERLINK("http://catalog.hathitrust.org/Record/006552207")</f>
        <v>http://catalog.hathitrust.org/Record/006552207</v>
      </c>
      <c r="J4153" s="1">
        <v>1857</v>
      </c>
      <c r="K4153" t="s">
        <v>11173</v>
      </c>
      <c r="L4153" t="s">
        <v>15453</v>
      </c>
    </row>
    <row r="4154" spans="1:12">
      <c r="A4154" t="s">
        <v>11175</v>
      </c>
      <c r="B4154" s="1" t="s">
        <v>11176</v>
      </c>
      <c r="F4154">
        <v>1</v>
      </c>
      <c r="G4154" t="str">
        <f>HYPERLINK("http://babel.hathitrust.org/cgi/pt?id=nyp.33433066585492")</f>
        <v>http://babel.hathitrust.org/cgi/pt?id=nyp.33433066585492</v>
      </c>
      <c r="H4154" t="str">
        <f>HYPERLINK("http://catalog.hathitrust.org/Record/006552213")</f>
        <v>http://catalog.hathitrust.org/Record/006552213</v>
      </c>
      <c r="J4154" s="1">
        <v>1894</v>
      </c>
      <c r="K4154" t="s">
        <v>11177</v>
      </c>
      <c r="L4154" t="s">
        <v>11178</v>
      </c>
    </row>
    <row r="4155" spans="1:12">
      <c r="A4155" t="s">
        <v>11179</v>
      </c>
      <c r="B4155" s="1" t="s">
        <v>11176</v>
      </c>
      <c r="F4155">
        <v>1</v>
      </c>
      <c r="G4155" t="str">
        <f>HYPERLINK("http://babel.hathitrust.org/cgi/pt?id=uc1.b13645")</f>
        <v>http://babel.hathitrust.org/cgi/pt?id=uc1.b13645</v>
      </c>
      <c r="H4155" t="str">
        <f>HYPERLINK("http://catalog.hathitrust.org/Record/006552213")</f>
        <v>http://catalog.hathitrust.org/Record/006552213</v>
      </c>
      <c r="J4155" s="1">
        <v>1894</v>
      </c>
      <c r="K4155" t="s">
        <v>11177</v>
      </c>
      <c r="L4155" t="s">
        <v>11178</v>
      </c>
    </row>
    <row r="4156" spans="1:12">
      <c r="A4156" t="s">
        <v>11180</v>
      </c>
      <c r="B4156" s="1" t="s">
        <v>11176</v>
      </c>
      <c r="F4156">
        <v>1</v>
      </c>
      <c r="G4156" t="str">
        <f>HYPERLINK("http://babel.hathitrust.org/cgi/pt?id=uc2.ark:/13960/t3tt4hn31")</f>
        <v>http://babel.hathitrust.org/cgi/pt?id=uc2.ark:/13960/t3tt4hn31</v>
      </c>
      <c r="H4156" t="str">
        <f>HYPERLINK("http://catalog.hathitrust.org/Record/006552213")</f>
        <v>http://catalog.hathitrust.org/Record/006552213</v>
      </c>
      <c r="J4156" s="1">
        <v>1894</v>
      </c>
      <c r="K4156" t="s">
        <v>11177</v>
      </c>
      <c r="L4156" t="s">
        <v>11178</v>
      </c>
    </row>
    <row r="4157" spans="1:12">
      <c r="A4157" t="s">
        <v>11181</v>
      </c>
      <c r="B4157" s="1" t="s">
        <v>11182</v>
      </c>
      <c r="F4157">
        <v>1</v>
      </c>
      <c r="G4157" t="str">
        <f>HYPERLINK("http://babel.hathitrust.org/cgi/pt?id=pst.000000727952")</f>
        <v>http://babel.hathitrust.org/cgi/pt?id=pst.000000727952</v>
      </c>
      <c r="H4157" t="str">
        <f>HYPERLINK("http://catalog.hathitrust.org/Record/006552251")</f>
        <v>http://catalog.hathitrust.org/Record/006552251</v>
      </c>
      <c r="J4157" s="1">
        <v>1907</v>
      </c>
      <c r="K4157" t="s">
        <v>11183</v>
      </c>
      <c r="L4157" t="s">
        <v>11184</v>
      </c>
    </row>
    <row r="4158" spans="1:12">
      <c r="A4158" t="s">
        <v>11185</v>
      </c>
      <c r="B4158" s="1" t="s">
        <v>11182</v>
      </c>
      <c r="F4158">
        <v>1</v>
      </c>
      <c r="G4158" t="str">
        <f>HYPERLINK("http://babel.hathitrust.org/cgi/pt?id=uc2.ark:/13960/t5h991d42")</f>
        <v>http://babel.hathitrust.org/cgi/pt?id=uc2.ark:/13960/t5h991d42</v>
      </c>
      <c r="H4158" t="str">
        <f>HYPERLINK("http://catalog.hathitrust.org/Record/006552251")</f>
        <v>http://catalog.hathitrust.org/Record/006552251</v>
      </c>
      <c r="J4158" s="1">
        <v>1907</v>
      </c>
      <c r="K4158" t="s">
        <v>11183</v>
      </c>
      <c r="L4158" t="s">
        <v>11184</v>
      </c>
    </row>
    <row r="4159" spans="1:12">
      <c r="A4159" t="s">
        <v>11186</v>
      </c>
      <c r="B4159" s="1" t="s">
        <v>11187</v>
      </c>
      <c r="F4159">
        <v>1</v>
      </c>
      <c r="G4159" t="str">
        <f>HYPERLINK("http://babel.hathitrust.org/cgi/pt?id=uc1.b13931")</f>
        <v>http://babel.hathitrust.org/cgi/pt?id=uc1.b13931</v>
      </c>
      <c r="H4159" t="str">
        <f>HYPERLINK("http://catalog.hathitrust.org/Record/006552379")</f>
        <v>http://catalog.hathitrust.org/Record/006552379</v>
      </c>
      <c r="J4159" s="1">
        <v>1915</v>
      </c>
      <c r="K4159" t="s">
        <v>11188</v>
      </c>
      <c r="L4159" t="s">
        <v>11189</v>
      </c>
    </row>
    <row r="4160" spans="1:12">
      <c r="A4160" t="s">
        <v>11190</v>
      </c>
      <c r="B4160" s="1" t="s">
        <v>11187</v>
      </c>
      <c r="F4160">
        <v>1</v>
      </c>
      <c r="G4160" t="str">
        <f>HYPERLINK("http://babel.hathitrust.org/cgi/pt?id=uc2.ark:/13960/t29884f69")</f>
        <v>http://babel.hathitrust.org/cgi/pt?id=uc2.ark:/13960/t29884f69</v>
      </c>
      <c r="H4160" t="str">
        <f>HYPERLINK("http://catalog.hathitrust.org/Record/006552379")</f>
        <v>http://catalog.hathitrust.org/Record/006552379</v>
      </c>
      <c r="J4160" s="1">
        <v>1915</v>
      </c>
      <c r="K4160" t="s">
        <v>11188</v>
      </c>
      <c r="L4160" t="s">
        <v>11189</v>
      </c>
    </row>
    <row r="4161" spans="1:12">
      <c r="A4161" t="s">
        <v>11191</v>
      </c>
      <c r="B4161" s="1" t="s">
        <v>11192</v>
      </c>
      <c r="F4161">
        <v>1</v>
      </c>
      <c r="G4161" t="str">
        <f>HYPERLINK("http://babel.hathitrust.org/cgi/pt?id=uc1.b13970")</f>
        <v>http://babel.hathitrust.org/cgi/pt?id=uc1.b13970</v>
      </c>
      <c r="H4161" t="str">
        <f>HYPERLINK("http://catalog.hathitrust.org/Record/006552406")</f>
        <v>http://catalog.hathitrust.org/Record/006552406</v>
      </c>
      <c r="J4161" s="1">
        <v>1871</v>
      </c>
      <c r="K4161" t="s">
        <v>11193</v>
      </c>
      <c r="L4161" t="s">
        <v>11194</v>
      </c>
    </row>
    <row r="4162" spans="1:12">
      <c r="A4162" t="s">
        <v>11195</v>
      </c>
      <c r="B4162" s="1" t="s">
        <v>11192</v>
      </c>
      <c r="F4162">
        <v>1</v>
      </c>
      <c r="G4162" t="str">
        <f>HYPERLINK("http://babel.hathitrust.org/cgi/pt?id=uc2.ark:/13960/t5t729f48")</f>
        <v>http://babel.hathitrust.org/cgi/pt?id=uc2.ark:/13960/t5t729f48</v>
      </c>
      <c r="H4162" t="str">
        <f>HYPERLINK("http://catalog.hathitrust.org/Record/006552406")</f>
        <v>http://catalog.hathitrust.org/Record/006552406</v>
      </c>
      <c r="J4162" s="1">
        <v>1871</v>
      </c>
      <c r="K4162" t="s">
        <v>11193</v>
      </c>
      <c r="L4162" t="s">
        <v>11194</v>
      </c>
    </row>
    <row r="4163" spans="1:12">
      <c r="A4163" t="s">
        <v>11196</v>
      </c>
      <c r="B4163" s="1" t="s">
        <v>11197</v>
      </c>
      <c r="F4163">
        <v>1</v>
      </c>
      <c r="G4163" t="str">
        <f>HYPERLINK("http://babel.hathitrust.org/cgi/pt?id=uc1.b13971")</f>
        <v>http://babel.hathitrust.org/cgi/pt?id=uc1.b13971</v>
      </c>
      <c r="H4163" t="str">
        <f>HYPERLINK("http://catalog.hathitrust.org/Record/006552407")</f>
        <v>http://catalog.hathitrust.org/Record/006552407</v>
      </c>
      <c r="J4163" s="1">
        <v>1887</v>
      </c>
      <c r="K4163" t="s">
        <v>11198</v>
      </c>
    </row>
    <row r="4164" spans="1:12">
      <c r="A4164" t="s">
        <v>11199</v>
      </c>
      <c r="B4164" s="1" t="s">
        <v>11197</v>
      </c>
      <c r="F4164">
        <v>1</v>
      </c>
      <c r="G4164" t="str">
        <f>HYPERLINK("http://babel.hathitrust.org/cgi/pt?id=uc2.ark:/13960/t46q1vg00")</f>
        <v>http://babel.hathitrust.org/cgi/pt?id=uc2.ark:/13960/t46q1vg00</v>
      </c>
      <c r="H4164" t="str">
        <f>HYPERLINK("http://catalog.hathitrust.org/Record/006552407")</f>
        <v>http://catalog.hathitrust.org/Record/006552407</v>
      </c>
      <c r="J4164" s="1">
        <v>1887</v>
      </c>
      <c r="K4164" t="s">
        <v>11198</v>
      </c>
    </row>
    <row r="4165" spans="1:12">
      <c r="A4165" t="s">
        <v>11200</v>
      </c>
      <c r="B4165" s="1" t="s">
        <v>11201</v>
      </c>
      <c r="F4165">
        <v>1</v>
      </c>
      <c r="G4165" t="str">
        <f>HYPERLINK("http://babel.hathitrust.org/cgi/pt?id=uc1.b14397")</f>
        <v>http://babel.hathitrust.org/cgi/pt?id=uc1.b14397</v>
      </c>
      <c r="H4165" t="str">
        <f>HYPERLINK("http://catalog.hathitrust.org/Record/006552674")</f>
        <v>http://catalog.hathitrust.org/Record/006552674</v>
      </c>
      <c r="J4165" s="1">
        <v>1900</v>
      </c>
      <c r="K4165" t="s">
        <v>11202</v>
      </c>
      <c r="L4165" t="s">
        <v>11203</v>
      </c>
    </row>
    <row r="4166" spans="1:12">
      <c r="A4166" t="s">
        <v>11204</v>
      </c>
      <c r="B4166" s="1" t="s">
        <v>11201</v>
      </c>
      <c r="F4166">
        <v>1</v>
      </c>
      <c r="G4166" t="str">
        <f>HYPERLINK("http://babel.hathitrust.org/cgi/pt?id=uc2.ark:/13960/t1wd3rq79")</f>
        <v>http://babel.hathitrust.org/cgi/pt?id=uc2.ark:/13960/t1wd3rq79</v>
      </c>
      <c r="H4166" t="str">
        <f>HYPERLINK("http://catalog.hathitrust.org/Record/006552674")</f>
        <v>http://catalog.hathitrust.org/Record/006552674</v>
      </c>
      <c r="J4166" s="1">
        <v>1900</v>
      </c>
      <c r="K4166" t="s">
        <v>11202</v>
      </c>
      <c r="L4166" t="s">
        <v>11203</v>
      </c>
    </row>
    <row r="4167" spans="1:12">
      <c r="A4167" t="s">
        <v>11205</v>
      </c>
      <c r="B4167" s="1" t="s">
        <v>11206</v>
      </c>
      <c r="F4167">
        <v>1</v>
      </c>
      <c r="G4167" t="str">
        <f>HYPERLINK("http://babel.hathitrust.org/cgi/pt?id=uc1.b14586")</f>
        <v>http://babel.hathitrust.org/cgi/pt?id=uc1.b14586</v>
      </c>
      <c r="H4167" t="str">
        <f>HYPERLINK("http://catalog.hathitrust.org/Record/006552764")</f>
        <v>http://catalog.hathitrust.org/Record/006552764</v>
      </c>
      <c r="J4167" s="1">
        <v>1944</v>
      </c>
      <c r="K4167" t="s">
        <v>11207</v>
      </c>
      <c r="L4167" t="s">
        <v>11208</v>
      </c>
    </row>
    <row r="4168" spans="1:12">
      <c r="A4168" t="s">
        <v>11209</v>
      </c>
      <c r="B4168" s="1" t="s">
        <v>11210</v>
      </c>
      <c r="F4168">
        <v>1</v>
      </c>
      <c r="G4168" t="str">
        <f>HYPERLINK("http://babel.hathitrust.org/cgi/pt?id=nyp.33433069240756")</f>
        <v>http://babel.hathitrust.org/cgi/pt?id=nyp.33433069240756</v>
      </c>
      <c r="H4168" t="str">
        <f>HYPERLINK("http://catalog.hathitrust.org/Record/006552773")</f>
        <v>http://catalog.hathitrust.org/Record/006552773</v>
      </c>
      <c r="J4168" s="1">
        <v>1831</v>
      </c>
      <c r="K4168" t="s">
        <v>11102</v>
      </c>
      <c r="L4168" t="s">
        <v>11103</v>
      </c>
    </row>
    <row r="4169" spans="1:12">
      <c r="A4169" t="s">
        <v>11104</v>
      </c>
      <c r="B4169" s="1" t="s">
        <v>11210</v>
      </c>
      <c r="F4169">
        <v>1</v>
      </c>
      <c r="G4169" t="str">
        <f>HYPERLINK("http://babel.hathitrust.org/cgi/pt?id=uc1.b14602")</f>
        <v>http://babel.hathitrust.org/cgi/pt?id=uc1.b14602</v>
      </c>
      <c r="H4169" t="str">
        <f>HYPERLINK("http://catalog.hathitrust.org/Record/006552773")</f>
        <v>http://catalog.hathitrust.org/Record/006552773</v>
      </c>
      <c r="J4169" s="1">
        <v>1831</v>
      </c>
      <c r="K4169" t="s">
        <v>11102</v>
      </c>
      <c r="L4169" t="s">
        <v>11103</v>
      </c>
    </row>
    <row r="4170" spans="1:12">
      <c r="A4170" t="s">
        <v>11105</v>
      </c>
      <c r="B4170" s="1" t="s">
        <v>11210</v>
      </c>
      <c r="F4170">
        <v>1</v>
      </c>
      <c r="G4170" t="str">
        <f>HYPERLINK("http://babel.hathitrust.org/cgi/pt?id=uc2.ark:/13960/t10p1205k")</f>
        <v>http://babel.hathitrust.org/cgi/pt?id=uc2.ark:/13960/t10p1205k</v>
      </c>
      <c r="H4170" t="str">
        <f>HYPERLINK("http://catalog.hathitrust.org/Record/006552773")</f>
        <v>http://catalog.hathitrust.org/Record/006552773</v>
      </c>
      <c r="J4170" s="1">
        <v>1831</v>
      </c>
      <c r="K4170" t="s">
        <v>11102</v>
      </c>
      <c r="L4170" t="s">
        <v>11103</v>
      </c>
    </row>
    <row r="4171" spans="1:12">
      <c r="A4171" t="s">
        <v>11106</v>
      </c>
      <c r="B4171" s="1" t="s">
        <v>11107</v>
      </c>
      <c r="F4171">
        <v>1</v>
      </c>
      <c r="G4171" t="str">
        <f>HYPERLINK("http://babel.hathitrust.org/cgi/pt?id=uc1.b14614")</f>
        <v>http://babel.hathitrust.org/cgi/pt?id=uc1.b14614</v>
      </c>
      <c r="H4171" t="str">
        <f>HYPERLINK("http://catalog.hathitrust.org/Record/006552781")</f>
        <v>http://catalog.hathitrust.org/Record/006552781</v>
      </c>
      <c r="J4171" s="1">
        <v>1909</v>
      </c>
      <c r="K4171" t="s">
        <v>11108</v>
      </c>
      <c r="L4171" t="s">
        <v>11109</v>
      </c>
    </row>
    <row r="4172" spans="1:12">
      <c r="A4172" t="s">
        <v>11110</v>
      </c>
      <c r="B4172" s="1" t="s">
        <v>11107</v>
      </c>
      <c r="F4172">
        <v>1</v>
      </c>
      <c r="G4172" t="str">
        <f>HYPERLINK("http://babel.hathitrust.org/cgi/pt?id=uc2.ark:/13960/t6445kg3q")</f>
        <v>http://babel.hathitrust.org/cgi/pt?id=uc2.ark:/13960/t6445kg3q</v>
      </c>
      <c r="H4172" t="str">
        <f>HYPERLINK("http://catalog.hathitrust.org/Record/006552781")</f>
        <v>http://catalog.hathitrust.org/Record/006552781</v>
      </c>
      <c r="J4172" s="1">
        <v>1909</v>
      </c>
      <c r="K4172" t="s">
        <v>11108</v>
      </c>
      <c r="L4172" t="s">
        <v>11109</v>
      </c>
    </row>
    <row r="4173" spans="1:12">
      <c r="A4173" t="s">
        <v>11111</v>
      </c>
      <c r="B4173" s="1" t="s">
        <v>11112</v>
      </c>
      <c r="F4173">
        <v>1</v>
      </c>
      <c r="G4173" t="str">
        <f>HYPERLINK("http://babel.hathitrust.org/cgi/pt?id=uc1.b14615")</f>
        <v>http://babel.hathitrust.org/cgi/pt?id=uc1.b14615</v>
      </c>
      <c r="H4173" t="str">
        <f>HYPERLINK("http://catalog.hathitrust.org/Record/006552782")</f>
        <v>http://catalog.hathitrust.org/Record/006552782</v>
      </c>
      <c r="J4173" s="1">
        <v>1920</v>
      </c>
      <c r="K4173" t="s">
        <v>11113</v>
      </c>
      <c r="L4173" t="s">
        <v>11114</v>
      </c>
    </row>
    <row r="4174" spans="1:12">
      <c r="A4174" t="s">
        <v>11115</v>
      </c>
      <c r="B4174" s="1" t="s">
        <v>11112</v>
      </c>
      <c r="F4174">
        <v>1</v>
      </c>
      <c r="G4174" t="str">
        <f>HYPERLINK("http://babel.hathitrust.org/cgi/pt?id=uc2.ark:/13960/t8cf9md80")</f>
        <v>http://babel.hathitrust.org/cgi/pt?id=uc2.ark:/13960/t8cf9md80</v>
      </c>
      <c r="H4174" t="str">
        <f>HYPERLINK("http://catalog.hathitrust.org/Record/006552782")</f>
        <v>http://catalog.hathitrust.org/Record/006552782</v>
      </c>
      <c r="J4174" s="1">
        <v>1920</v>
      </c>
      <c r="K4174" t="s">
        <v>11113</v>
      </c>
      <c r="L4174" t="s">
        <v>11114</v>
      </c>
    </row>
    <row r="4175" spans="1:12">
      <c r="A4175" t="s">
        <v>11116</v>
      </c>
      <c r="B4175" s="1" t="s">
        <v>11117</v>
      </c>
      <c r="F4175">
        <v>1</v>
      </c>
      <c r="G4175" t="str">
        <f>HYPERLINK("http://babel.hathitrust.org/cgi/pt?id=uc1.b14616")</f>
        <v>http://babel.hathitrust.org/cgi/pt?id=uc1.b14616</v>
      </c>
      <c r="H4175" t="str">
        <f>HYPERLINK("http://catalog.hathitrust.org/Record/006552783")</f>
        <v>http://catalog.hathitrust.org/Record/006552783</v>
      </c>
      <c r="J4175" s="1">
        <v>1924</v>
      </c>
      <c r="K4175" t="s">
        <v>11118</v>
      </c>
      <c r="L4175" t="s">
        <v>11119</v>
      </c>
    </row>
    <row r="4176" spans="1:12">
      <c r="A4176" t="s">
        <v>11120</v>
      </c>
      <c r="B4176" s="1" t="s">
        <v>11121</v>
      </c>
      <c r="F4176">
        <v>1</v>
      </c>
      <c r="G4176" t="str">
        <f>HYPERLINK("http://babel.hathitrust.org/cgi/pt?id=uc1.b14625")</f>
        <v>http://babel.hathitrust.org/cgi/pt?id=uc1.b14625</v>
      </c>
      <c r="H4176" t="str">
        <f>HYPERLINK("http://catalog.hathitrust.org/Record/006552790")</f>
        <v>http://catalog.hathitrust.org/Record/006552790</v>
      </c>
      <c r="J4176" s="1">
        <v>1928</v>
      </c>
      <c r="K4176" t="s">
        <v>11122</v>
      </c>
      <c r="L4176" t="s">
        <v>15219</v>
      </c>
    </row>
    <row r="4177" spans="1:12">
      <c r="A4177" t="s">
        <v>11123</v>
      </c>
      <c r="B4177" s="1" t="s">
        <v>11124</v>
      </c>
      <c r="F4177">
        <v>1</v>
      </c>
      <c r="G4177" t="str">
        <f>HYPERLINK("http://babel.hathitrust.org/cgi/pt?id=uc1.b14628")</f>
        <v>http://babel.hathitrust.org/cgi/pt?id=uc1.b14628</v>
      </c>
      <c r="H4177" t="str">
        <f>HYPERLINK("http://catalog.hathitrust.org/Record/006552791")</f>
        <v>http://catalog.hathitrust.org/Record/006552791</v>
      </c>
      <c r="J4177" s="1">
        <v>1904</v>
      </c>
      <c r="K4177" t="s">
        <v>11125</v>
      </c>
    </row>
    <row r="4178" spans="1:12">
      <c r="A4178" t="s">
        <v>11126</v>
      </c>
      <c r="B4178" s="1" t="s">
        <v>11127</v>
      </c>
      <c r="F4178">
        <v>1</v>
      </c>
      <c r="G4178" t="str">
        <f>HYPERLINK("http://babel.hathitrust.org/cgi/pt?id=uc1.b14631")</f>
        <v>http://babel.hathitrust.org/cgi/pt?id=uc1.b14631</v>
      </c>
      <c r="H4178" t="str">
        <f>HYPERLINK("http://catalog.hathitrust.org/Record/006552792")</f>
        <v>http://catalog.hathitrust.org/Record/006552792</v>
      </c>
      <c r="J4178" s="1">
        <v>1937</v>
      </c>
      <c r="K4178" t="s">
        <v>11128</v>
      </c>
      <c r="L4178" t="s">
        <v>13165</v>
      </c>
    </row>
    <row r="4179" spans="1:12">
      <c r="A4179" t="s">
        <v>11129</v>
      </c>
      <c r="B4179" s="1" t="s">
        <v>11130</v>
      </c>
      <c r="F4179">
        <v>1</v>
      </c>
      <c r="G4179" t="str">
        <f>HYPERLINK("http://babel.hathitrust.org/cgi/pt?id=uc1.b14638")</f>
        <v>http://babel.hathitrust.org/cgi/pt?id=uc1.b14638</v>
      </c>
      <c r="H4179" t="str">
        <f>HYPERLINK("http://catalog.hathitrust.org/Record/006552795")</f>
        <v>http://catalog.hathitrust.org/Record/006552795</v>
      </c>
      <c r="J4179" s="1">
        <v>1902</v>
      </c>
      <c r="K4179" t="s">
        <v>11131</v>
      </c>
      <c r="L4179" t="s">
        <v>11132</v>
      </c>
    </row>
    <row r="4180" spans="1:12">
      <c r="A4180" t="s">
        <v>11133</v>
      </c>
      <c r="B4180" s="1" t="s">
        <v>11130</v>
      </c>
      <c r="F4180">
        <v>1</v>
      </c>
      <c r="G4180" t="str">
        <f>HYPERLINK("http://babel.hathitrust.org/cgi/pt?id=uc2.ark:/13960/t5m90429r")</f>
        <v>http://babel.hathitrust.org/cgi/pt?id=uc2.ark:/13960/t5m90429r</v>
      </c>
      <c r="H4180" t="str">
        <f>HYPERLINK("http://catalog.hathitrust.org/Record/006552795")</f>
        <v>http://catalog.hathitrust.org/Record/006552795</v>
      </c>
      <c r="J4180" s="1">
        <v>1902</v>
      </c>
      <c r="K4180" t="s">
        <v>11131</v>
      </c>
      <c r="L4180" t="s">
        <v>11132</v>
      </c>
    </row>
    <row r="4181" spans="1:12">
      <c r="A4181" t="s">
        <v>11134</v>
      </c>
      <c r="B4181" s="1" t="s">
        <v>11135</v>
      </c>
      <c r="F4181">
        <v>1</v>
      </c>
      <c r="G4181" t="str">
        <f>HYPERLINK("http://babel.hathitrust.org/cgi/pt?id=uc1.b14640")</f>
        <v>http://babel.hathitrust.org/cgi/pt?id=uc1.b14640</v>
      </c>
      <c r="H4181" t="str">
        <f>HYPERLINK("http://catalog.hathitrust.org/Record/006552796")</f>
        <v>http://catalog.hathitrust.org/Record/006552796</v>
      </c>
      <c r="J4181" s="1">
        <v>1918</v>
      </c>
      <c r="K4181" t="s">
        <v>11136</v>
      </c>
      <c r="L4181" t="s">
        <v>19886</v>
      </c>
    </row>
    <row r="4182" spans="1:12">
      <c r="A4182" t="s">
        <v>11137</v>
      </c>
      <c r="B4182" s="1" t="s">
        <v>11135</v>
      </c>
      <c r="F4182">
        <v>1</v>
      </c>
      <c r="G4182" t="str">
        <f>HYPERLINK("http://babel.hathitrust.org/cgi/pt?id=uc2.ark:/13960/t86h4fz4d")</f>
        <v>http://babel.hathitrust.org/cgi/pt?id=uc2.ark:/13960/t86h4fz4d</v>
      </c>
      <c r="H4182" t="str">
        <f>HYPERLINK("http://catalog.hathitrust.org/Record/006552796")</f>
        <v>http://catalog.hathitrust.org/Record/006552796</v>
      </c>
      <c r="J4182" s="1">
        <v>1918</v>
      </c>
      <c r="K4182" t="s">
        <v>11136</v>
      </c>
      <c r="L4182" t="s">
        <v>19886</v>
      </c>
    </row>
    <row r="4183" spans="1:12">
      <c r="A4183" t="s">
        <v>11138</v>
      </c>
      <c r="B4183" s="1" t="s">
        <v>11139</v>
      </c>
      <c r="F4183">
        <v>1</v>
      </c>
      <c r="G4183" t="str">
        <f>HYPERLINK("http://babel.hathitrust.org/cgi/pt?id=uc1.b14645")</f>
        <v>http://babel.hathitrust.org/cgi/pt?id=uc1.b14645</v>
      </c>
      <c r="H4183" t="str">
        <f>HYPERLINK("http://catalog.hathitrust.org/Record/006552798")</f>
        <v>http://catalog.hathitrust.org/Record/006552798</v>
      </c>
      <c r="J4183" s="1">
        <v>1904</v>
      </c>
      <c r="K4183" t="s">
        <v>11140</v>
      </c>
      <c r="L4183" t="s">
        <v>11141</v>
      </c>
    </row>
    <row r="4184" spans="1:12">
      <c r="A4184" t="s">
        <v>11142</v>
      </c>
      <c r="B4184" s="1" t="s">
        <v>11139</v>
      </c>
      <c r="F4184">
        <v>1</v>
      </c>
      <c r="G4184" t="str">
        <f>HYPERLINK("http://babel.hathitrust.org/cgi/pt?id=uc2.ark:/13960/t9959fj0r")</f>
        <v>http://babel.hathitrust.org/cgi/pt?id=uc2.ark:/13960/t9959fj0r</v>
      </c>
      <c r="H4184" t="str">
        <f>HYPERLINK("http://catalog.hathitrust.org/Record/006552798")</f>
        <v>http://catalog.hathitrust.org/Record/006552798</v>
      </c>
      <c r="J4184" s="1">
        <v>1904</v>
      </c>
      <c r="K4184" t="s">
        <v>11140</v>
      </c>
      <c r="L4184" t="s">
        <v>11141</v>
      </c>
    </row>
    <row r="4185" spans="1:12">
      <c r="A4185" t="s">
        <v>11143</v>
      </c>
      <c r="B4185" s="1" t="s">
        <v>11144</v>
      </c>
      <c r="F4185">
        <v>1</v>
      </c>
      <c r="G4185" t="str">
        <f>HYPERLINK("http://babel.hathitrust.org/cgi/pt?id=uc1.b14649")</f>
        <v>http://babel.hathitrust.org/cgi/pt?id=uc1.b14649</v>
      </c>
      <c r="H4185" t="str">
        <f t="shared" ref="H4185:H4190" si="50">HYPERLINK("http://catalog.hathitrust.org/Record/006552799")</f>
        <v>http://catalog.hathitrust.org/Record/006552799</v>
      </c>
      <c r="I4185" s="1" t="s">
        <v>20796</v>
      </c>
      <c r="J4185" s="1">
        <v>1908</v>
      </c>
      <c r="K4185" t="s">
        <v>11145</v>
      </c>
      <c r="L4185" t="s">
        <v>11146</v>
      </c>
    </row>
    <row r="4186" spans="1:12">
      <c r="A4186" t="s">
        <v>11147</v>
      </c>
      <c r="B4186" s="1" t="s">
        <v>11144</v>
      </c>
      <c r="F4186">
        <v>1</v>
      </c>
      <c r="G4186" t="str">
        <f>HYPERLINK("http://babel.hathitrust.org/cgi/pt?id=uc1.b14650")</f>
        <v>http://babel.hathitrust.org/cgi/pt?id=uc1.b14650</v>
      </c>
      <c r="H4186" t="str">
        <f t="shared" si="50"/>
        <v>http://catalog.hathitrust.org/Record/006552799</v>
      </c>
      <c r="I4186" s="1" t="s">
        <v>20799</v>
      </c>
      <c r="J4186" s="1">
        <v>1908</v>
      </c>
      <c r="K4186" t="s">
        <v>11145</v>
      </c>
      <c r="L4186" t="s">
        <v>11146</v>
      </c>
    </row>
    <row r="4187" spans="1:12">
      <c r="A4187" t="s">
        <v>11148</v>
      </c>
      <c r="B4187" s="1" t="s">
        <v>11144</v>
      </c>
      <c r="F4187">
        <v>1</v>
      </c>
      <c r="G4187" t="str">
        <f>HYPERLINK("http://babel.hathitrust.org/cgi/pt?id=uc1.b27998")</f>
        <v>http://babel.hathitrust.org/cgi/pt?id=uc1.b27998</v>
      </c>
      <c r="H4187" t="str">
        <f t="shared" si="50"/>
        <v>http://catalog.hathitrust.org/Record/006552799</v>
      </c>
      <c r="I4187" s="1" t="s">
        <v>20796</v>
      </c>
      <c r="J4187" s="1">
        <v>1908</v>
      </c>
      <c r="K4187" t="s">
        <v>11145</v>
      </c>
      <c r="L4187" t="s">
        <v>11146</v>
      </c>
    </row>
    <row r="4188" spans="1:12">
      <c r="A4188" t="s">
        <v>11149</v>
      </c>
      <c r="B4188" s="1" t="s">
        <v>11144</v>
      </c>
      <c r="F4188">
        <v>1</v>
      </c>
      <c r="G4188" t="str">
        <f>HYPERLINK("http://babel.hathitrust.org/cgi/pt?id=uc1.b27999")</f>
        <v>http://babel.hathitrust.org/cgi/pt?id=uc1.b27999</v>
      </c>
      <c r="H4188" t="str">
        <f t="shared" si="50"/>
        <v>http://catalog.hathitrust.org/Record/006552799</v>
      </c>
      <c r="I4188" s="1" t="s">
        <v>20799</v>
      </c>
      <c r="J4188" s="1">
        <v>1908</v>
      </c>
      <c r="K4188" t="s">
        <v>11145</v>
      </c>
      <c r="L4188" t="s">
        <v>11146</v>
      </c>
    </row>
    <row r="4189" spans="1:12">
      <c r="A4189" t="s">
        <v>11150</v>
      </c>
      <c r="B4189" s="1" t="s">
        <v>11144</v>
      </c>
      <c r="F4189">
        <v>1</v>
      </c>
      <c r="G4189" t="str">
        <f>HYPERLINK("http://babel.hathitrust.org/cgi/pt?id=uc1.b59961")</f>
        <v>http://babel.hathitrust.org/cgi/pt?id=uc1.b59961</v>
      </c>
      <c r="H4189" t="str">
        <f t="shared" si="50"/>
        <v>http://catalog.hathitrust.org/Record/006552799</v>
      </c>
      <c r="I4189" s="1" t="s">
        <v>20796</v>
      </c>
      <c r="J4189" s="1">
        <v>1908</v>
      </c>
      <c r="K4189" t="s">
        <v>11145</v>
      </c>
      <c r="L4189" t="s">
        <v>11146</v>
      </c>
    </row>
    <row r="4190" spans="1:12">
      <c r="A4190" t="s">
        <v>11151</v>
      </c>
      <c r="B4190" s="1" t="s">
        <v>11144</v>
      </c>
      <c r="F4190">
        <v>1</v>
      </c>
      <c r="G4190" t="str">
        <f>HYPERLINK("http://babel.hathitrust.org/cgi/pt?id=uc2.ark:/13960/t9r20vd2g")</f>
        <v>http://babel.hathitrust.org/cgi/pt?id=uc2.ark:/13960/t9r20vd2g</v>
      </c>
      <c r="H4190" t="str">
        <f t="shared" si="50"/>
        <v>http://catalog.hathitrust.org/Record/006552799</v>
      </c>
      <c r="I4190" s="1" t="s">
        <v>20796</v>
      </c>
      <c r="J4190" s="1">
        <v>1908</v>
      </c>
      <c r="K4190" t="s">
        <v>11145</v>
      </c>
      <c r="L4190" t="s">
        <v>11146</v>
      </c>
    </row>
    <row r="4191" spans="1:12">
      <c r="A4191" t="s">
        <v>11152</v>
      </c>
      <c r="B4191" s="1" t="s">
        <v>11153</v>
      </c>
      <c r="F4191">
        <v>1</v>
      </c>
      <c r="G4191" t="str">
        <f>HYPERLINK("http://babel.hathitrust.org/cgi/pt?id=uc1.b14690")</f>
        <v>http://babel.hathitrust.org/cgi/pt?id=uc1.b14690</v>
      </c>
      <c r="H4191" t="str">
        <f>HYPERLINK("http://catalog.hathitrust.org/Record/006552813")</f>
        <v>http://catalog.hathitrust.org/Record/006552813</v>
      </c>
      <c r="J4191" s="1">
        <v>1912</v>
      </c>
      <c r="K4191" t="s">
        <v>11154</v>
      </c>
      <c r="L4191" t="s">
        <v>11155</v>
      </c>
    </row>
    <row r="4192" spans="1:12">
      <c r="A4192" t="s">
        <v>11053</v>
      </c>
      <c r="B4192" s="1" t="s">
        <v>11153</v>
      </c>
      <c r="F4192">
        <v>1</v>
      </c>
      <c r="G4192" t="str">
        <f>HYPERLINK("http://babel.hathitrust.org/cgi/pt?id=uc2.ark:/13960/t82j6bd3c")</f>
        <v>http://babel.hathitrust.org/cgi/pt?id=uc2.ark:/13960/t82j6bd3c</v>
      </c>
      <c r="H4192" t="str">
        <f>HYPERLINK("http://catalog.hathitrust.org/Record/006552813")</f>
        <v>http://catalog.hathitrust.org/Record/006552813</v>
      </c>
      <c r="J4192" s="1">
        <v>1912</v>
      </c>
      <c r="K4192" t="s">
        <v>11154</v>
      </c>
      <c r="L4192" t="s">
        <v>11155</v>
      </c>
    </row>
    <row r="4193" spans="1:12">
      <c r="A4193" t="s">
        <v>11054</v>
      </c>
      <c r="B4193" s="1" t="s">
        <v>11055</v>
      </c>
      <c r="F4193">
        <v>1</v>
      </c>
      <c r="G4193" t="str">
        <f>HYPERLINK("http://babel.hathitrust.org/cgi/pt?id=uc1.b14692")</f>
        <v>http://babel.hathitrust.org/cgi/pt?id=uc1.b14692</v>
      </c>
      <c r="H4193" t="str">
        <f>HYPERLINK("http://catalog.hathitrust.org/Record/006552814")</f>
        <v>http://catalog.hathitrust.org/Record/006552814</v>
      </c>
      <c r="J4193" s="1">
        <v>1937</v>
      </c>
      <c r="K4193" t="s">
        <v>16051</v>
      </c>
      <c r="L4193" t="s">
        <v>11056</v>
      </c>
    </row>
    <row r="4194" spans="1:12">
      <c r="A4194" t="s">
        <v>11057</v>
      </c>
      <c r="B4194" s="1" t="s">
        <v>11058</v>
      </c>
      <c r="F4194">
        <v>1</v>
      </c>
      <c r="G4194" t="str">
        <f>HYPERLINK("http://babel.hathitrust.org/cgi/pt?id=uc1.b14698")</f>
        <v>http://babel.hathitrust.org/cgi/pt?id=uc1.b14698</v>
      </c>
      <c r="H4194" t="str">
        <f>HYPERLINK("http://catalog.hathitrust.org/Record/006552816")</f>
        <v>http://catalog.hathitrust.org/Record/006552816</v>
      </c>
      <c r="J4194" s="1">
        <v>1845</v>
      </c>
      <c r="K4194" t="s">
        <v>11059</v>
      </c>
      <c r="L4194" t="s">
        <v>11060</v>
      </c>
    </row>
    <row r="4195" spans="1:12">
      <c r="A4195" t="s">
        <v>11061</v>
      </c>
      <c r="B4195" s="1" t="s">
        <v>11062</v>
      </c>
      <c r="F4195">
        <v>1</v>
      </c>
      <c r="G4195" t="str">
        <f>HYPERLINK("http://babel.hathitrust.org/cgi/pt?id=uc1.b14740")</f>
        <v>http://babel.hathitrust.org/cgi/pt?id=uc1.b14740</v>
      </c>
      <c r="H4195" t="str">
        <f>HYPERLINK("http://catalog.hathitrust.org/Record/006552835")</f>
        <v>http://catalog.hathitrust.org/Record/006552835</v>
      </c>
      <c r="J4195" s="1">
        <v>1920</v>
      </c>
      <c r="K4195" t="s">
        <v>11063</v>
      </c>
      <c r="L4195" t="s">
        <v>11064</v>
      </c>
    </row>
    <row r="4196" spans="1:12">
      <c r="A4196" t="s">
        <v>11065</v>
      </c>
      <c r="B4196" s="1" t="s">
        <v>11062</v>
      </c>
      <c r="F4196">
        <v>1</v>
      </c>
      <c r="G4196" t="str">
        <f>HYPERLINK("http://babel.hathitrust.org/cgi/pt?id=uc2.ark:/13960/t71v5dk7h")</f>
        <v>http://babel.hathitrust.org/cgi/pt?id=uc2.ark:/13960/t71v5dk7h</v>
      </c>
      <c r="H4196" t="str">
        <f>HYPERLINK("http://catalog.hathitrust.org/Record/006552835")</f>
        <v>http://catalog.hathitrust.org/Record/006552835</v>
      </c>
      <c r="J4196" s="1">
        <v>1920</v>
      </c>
      <c r="K4196" t="s">
        <v>11063</v>
      </c>
      <c r="L4196" t="s">
        <v>11064</v>
      </c>
    </row>
    <row r="4197" spans="1:12">
      <c r="A4197" t="s">
        <v>11066</v>
      </c>
      <c r="B4197" s="1" t="s">
        <v>11067</v>
      </c>
      <c r="F4197">
        <v>1</v>
      </c>
      <c r="G4197" t="str">
        <f>HYPERLINK("http://babel.hathitrust.org/cgi/pt?id=uc1.b14772")</f>
        <v>http://babel.hathitrust.org/cgi/pt?id=uc1.b14772</v>
      </c>
      <c r="H4197" t="str">
        <f>HYPERLINK("http://catalog.hathitrust.org/Record/006552849")</f>
        <v>http://catalog.hathitrust.org/Record/006552849</v>
      </c>
      <c r="J4197" s="1">
        <v>1935</v>
      </c>
      <c r="K4197" t="s">
        <v>11068</v>
      </c>
      <c r="L4197" t="s">
        <v>11069</v>
      </c>
    </row>
    <row r="4198" spans="1:12">
      <c r="A4198" t="s">
        <v>11070</v>
      </c>
      <c r="B4198" s="1" t="s">
        <v>11071</v>
      </c>
      <c r="F4198">
        <v>1</v>
      </c>
      <c r="G4198" t="str">
        <f>HYPERLINK("http://babel.hathitrust.org/cgi/pt?id=uc1.b14797")</f>
        <v>http://babel.hathitrust.org/cgi/pt?id=uc1.b14797</v>
      </c>
      <c r="H4198" t="str">
        <f>HYPERLINK("http://catalog.hathitrust.org/Record/006552862")</f>
        <v>http://catalog.hathitrust.org/Record/006552862</v>
      </c>
      <c r="J4198" s="1">
        <v>1927</v>
      </c>
      <c r="K4198" t="s">
        <v>11072</v>
      </c>
      <c r="L4198" t="s">
        <v>11073</v>
      </c>
    </row>
    <row r="4199" spans="1:12">
      <c r="A4199" t="s">
        <v>11074</v>
      </c>
      <c r="B4199" s="1" t="s">
        <v>11075</v>
      </c>
      <c r="F4199">
        <v>1</v>
      </c>
      <c r="G4199" t="str">
        <f>HYPERLINK("http://babel.hathitrust.org/cgi/pt?id=uc1.b14811")</f>
        <v>http://babel.hathitrust.org/cgi/pt?id=uc1.b14811</v>
      </c>
      <c r="H4199" t="str">
        <f>HYPERLINK("http://catalog.hathitrust.org/Record/006552868")</f>
        <v>http://catalog.hathitrust.org/Record/006552868</v>
      </c>
      <c r="J4199" s="1">
        <v>1910</v>
      </c>
      <c r="K4199" t="s">
        <v>11076</v>
      </c>
      <c r="L4199" t="s">
        <v>11077</v>
      </c>
    </row>
    <row r="4200" spans="1:12">
      <c r="A4200" t="s">
        <v>11078</v>
      </c>
      <c r="B4200" s="1" t="s">
        <v>11075</v>
      </c>
      <c r="F4200">
        <v>1</v>
      </c>
      <c r="G4200" t="str">
        <f>HYPERLINK("http://babel.hathitrust.org/cgi/pt?id=uc2.ark:/13960/t5k93360m")</f>
        <v>http://babel.hathitrust.org/cgi/pt?id=uc2.ark:/13960/t5k93360m</v>
      </c>
      <c r="H4200" t="str">
        <f>HYPERLINK("http://catalog.hathitrust.org/Record/006552868")</f>
        <v>http://catalog.hathitrust.org/Record/006552868</v>
      </c>
      <c r="J4200" s="1">
        <v>1910</v>
      </c>
      <c r="K4200" t="s">
        <v>11076</v>
      </c>
      <c r="L4200" t="s">
        <v>11077</v>
      </c>
    </row>
    <row r="4201" spans="1:12">
      <c r="A4201" t="s">
        <v>11079</v>
      </c>
      <c r="B4201" s="1" t="s">
        <v>11080</v>
      </c>
      <c r="F4201">
        <v>1</v>
      </c>
      <c r="G4201" t="str">
        <f>HYPERLINK("http://babel.hathitrust.org/cgi/pt?id=uc1.b14852")</f>
        <v>http://babel.hathitrust.org/cgi/pt?id=uc1.b14852</v>
      </c>
      <c r="H4201" t="str">
        <f>HYPERLINK("http://catalog.hathitrust.org/Record/006552886")</f>
        <v>http://catalog.hathitrust.org/Record/006552886</v>
      </c>
      <c r="J4201" s="1">
        <v>1912</v>
      </c>
      <c r="K4201" t="s">
        <v>11081</v>
      </c>
      <c r="L4201" t="s">
        <v>11082</v>
      </c>
    </row>
    <row r="4202" spans="1:12">
      <c r="A4202" t="s">
        <v>11083</v>
      </c>
      <c r="B4202" s="1" t="s">
        <v>11080</v>
      </c>
      <c r="F4202">
        <v>1</v>
      </c>
      <c r="G4202" t="str">
        <f>HYPERLINK("http://babel.hathitrust.org/cgi/pt?id=uc2.ark:/13960/t39z9277t")</f>
        <v>http://babel.hathitrust.org/cgi/pt?id=uc2.ark:/13960/t39z9277t</v>
      </c>
      <c r="H4202" t="str">
        <f>HYPERLINK("http://catalog.hathitrust.org/Record/006552886")</f>
        <v>http://catalog.hathitrust.org/Record/006552886</v>
      </c>
      <c r="J4202" s="1">
        <v>1912</v>
      </c>
      <c r="K4202" t="s">
        <v>11081</v>
      </c>
      <c r="L4202" t="s">
        <v>11082</v>
      </c>
    </row>
    <row r="4203" spans="1:12">
      <c r="A4203" t="s">
        <v>11084</v>
      </c>
      <c r="B4203" s="1" t="s">
        <v>11085</v>
      </c>
      <c r="F4203">
        <v>1</v>
      </c>
      <c r="G4203" t="str">
        <f>HYPERLINK("http://babel.hathitrust.org/cgi/pt?id=uc1.b14854")</f>
        <v>http://babel.hathitrust.org/cgi/pt?id=uc1.b14854</v>
      </c>
      <c r="H4203" t="str">
        <f>HYPERLINK("http://catalog.hathitrust.org/Record/006552888")</f>
        <v>http://catalog.hathitrust.org/Record/006552888</v>
      </c>
      <c r="J4203" s="1">
        <v>1911</v>
      </c>
      <c r="K4203" t="s">
        <v>11086</v>
      </c>
      <c r="L4203" t="s">
        <v>11087</v>
      </c>
    </row>
    <row r="4204" spans="1:12">
      <c r="A4204" t="s">
        <v>11088</v>
      </c>
      <c r="B4204" s="1" t="s">
        <v>11085</v>
      </c>
      <c r="F4204">
        <v>1</v>
      </c>
      <c r="G4204" t="str">
        <f>HYPERLINK("http://babel.hathitrust.org/cgi/pt?id=uc2.ark:/13960/t70v8cq0b")</f>
        <v>http://babel.hathitrust.org/cgi/pt?id=uc2.ark:/13960/t70v8cq0b</v>
      </c>
      <c r="H4204" t="str">
        <f>HYPERLINK("http://catalog.hathitrust.org/Record/006552888")</f>
        <v>http://catalog.hathitrust.org/Record/006552888</v>
      </c>
      <c r="J4204" s="1">
        <v>1911</v>
      </c>
      <c r="K4204" t="s">
        <v>11086</v>
      </c>
      <c r="L4204" t="s">
        <v>11087</v>
      </c>
    </row>
    <row r="4205" spans="1:12">
      <c r="A4205" t="s">
        <v>11089</v>
      </c>
      <c r="B4205" s="1" t="s">
        <v>11090</v>
      </c>
      <c r="F4205">
        <v>1</v>
      </c>
      <c r="G4205" t="str">
        <f>HYPERLINK("http://babel.hathitrust.org/cgi/pt?id=uc1.b14855")</f>
        <v>http://babel.hathitrust.org/cgi/pt?id=uc1.b14855</v>
      </c>
      <c r="H4205" t="str">
        <f>HYPERLINK("http://catalog.hathitrust.org/Record/006552889")</f>
        <v>http://catalog.hathitrust.org/Record/006552889</v>
      </c>
      <c r="J4205" s="1">
        <v>1941</v>
      </c>
      <c r="K4205" t="s">
        <v>11091</v>
      </c>
      <c r="L4205" t="s">
        <v>11092</v>
      </c>
    </row>
    <row r="4206" spans="1:12">
      <c r="A4206" t="s">
        <v>11093</v>
      </c>
      <c r="B4206" s="1" t="s">
        <v>11094</v>
      </c>
      <c r="F4206">
        <v>1</v>
      </c>
      <c r="G4206" t="str">
        <f>HYPERLINK("http://babel.hathitrust.org/cgi/pt?id=uc1.b14865")</f>
        <v>http://babel.hathitrust.org/cgi/pt?id=uc1.b14865</v>
      </c>
      <c r="H4206" t="str">
        <f>HYPERLINK("http://catalog.hathitrust.org/Record/006552894")</f>
        <v>http://catalog.hathitrust.org/Record/006552894</v>
      </c>
      <c r="J4206" s="1">
        <v>1909</v>
      </c>
      <c r="K4206" t="s">
        <v>11095</v>
      </c>
      <c r="L4206" t="s">
        <v>11096</v>
      </c>
    </row>
    <row r="4207" spans="1:12">
      <c r="A4207" t="s">
        <v>11097</v>
      </c>
      <c r="B4207" s="1" t="s">
        <v>11094</v>
      </c>
      <c r="F4207">
        <v>1</v>
      </c>
      <c r="G4207" t="str">
        <f>HYPERLINK("http://babel.hathitrust.org/cgi/pt?id=uc2.ark:/13960/t4dn4294g")</f>
        <v>http://babel.hathitrust.org/cgi/pt?id=uc2.ark:/13960/t4dn4294g</v>
      </c>
      <c r="H4207" t="str">
        <f>HYPERLINK("http://catalog.hathitrust.org/Record/006552894")</f>
        <v>http://catalog.hathitrust.org/Record/006552894</v>
      </c>
      <c r="J4207" s="1">
        <v>1909</v>
      </c>
      <c r="K4207" t="s">
        <v>11095</v>
      </c>
      <c r="L4207" t="s">
        <v>11096</v>
      </c>
    </row>
    <row r="4208" spans="1:12">
      <c r="A4208" t="s">
        <v>11098</v>
      </c>
      <c r="B4208" s="1" t="s">
        <v>11099</v>
      </c>
      <c r="F4208">
        <v>1</v>
      </c>
      <c r="G4208" t="str">
        <f>HYPERLINK("http://babel.hathitrust.org/cgi/pt?id=uc1.b14869")</f>
        <v>http://babel.hathitrust.org/cgi/pt?id=uc1.b14869</v>
      </c>
      <c r="H4208" t="str">
        <f>HYPERLINK("http://catalog.hathitrust.org/Record/006552897")</f>
        <v>http://catalog.hathitrust.org/Record/006552897</v>
      </c>
      <c r="J4208" s="1">
        <v>1939</v>
      </c>
      <c r="K4208" t="s">
        <v>16819</v>
      </c>
      <c r="L4208" t="s">
        <v>17079</v>
      </c>
    </row>
    <row r="4209" spans="1:12">
      <c r="A4209" t="s">
        <v>11100</v>
      </c>
      <c r="B4209" s="1" t="s">
        <v>11101</v>
      </c>
      <c r="F4209">
        <v>1</v>
      </c>
      <c r="G4209" t="str">
        <f>HYPERLINK("http://babel.hathitrust.org/cgi/pt?id=hvd.hw23fg")</f>
        <v>http://babel.hathitrust.org/cgi/pt?id=hvd.hw23fg</v>
      </c>
      <c r="H4209" t="str">
        <f>HYPERLINK("http://catalog.hathitrust.org/Record/006552907")</f>
        <v>http://catalog.hathitrust.org/Record/006552907</v>
      </c>
      <c r="J4209" s="1">
        <v>1852</v>
      </c>
      <c r="K4209" t="s">
        <v>11017</v>
      </c>
      <c r="L4209" t="s">
        <v>11018</v>
      </c>
    </row>
    <row r="4210" spans="1:12">
      <c r="A4210" t="s">
        <v>11019</v>
      </c>
      <c r="B4210" s="1" t="s">
        <v>11101</v>
      </c>
      <c r="F4210">
        <v>1</v>
      </c>
      <c r="G4210" t="str">
        <f>HYPERLINK("http://babel.hathitrust.org/cgi/pt?id=nyp.33433082511993")</f>
        <v>http://babel.hathitrust.org/cgi/pt?id=nyp.33433082511993</v>
      </c>
      <c r="H4210" t="str">
        <f>HYPERLINK("http://catalog.hathitrust.org/Record/006552907")</f>
        <v>http://catalog.hathitrust.org/Record/006552907</v>
      </c>
      <c r="J4210" s="1">
        <v>1852</v>
      </c>
      <c r="K4210" t="s">
        <v>11017</v>
      </c>
      <c r="L4210" t="s">
        <v>11018</v>
      </c>
    </row>
    <row r="4211" spans="1:12">
      <c r="A4211" t="s">
        <v>11020</v>
      </c>
      <c r="B4211" s="1" t="s">
        <v>11101</v>
      </c>
      <c r="F4211">
        <v>1</v>
      </c>
      <c r="G4211" t="str">
        <f>HYPERLINK("http://babel.hathitrust.org/cgi/pt?id=uc1.b14888")</f>
        <v>http://babel.hathitrust.org/cgi/pt?id=uc1.b14888</v>
      </c>
      <c r="H4211" t="str">
        <f>HYPERLINK("http://catalog.hathitrust.org/Record/006552907")</f>
        <v>http://catalog.hathitrust.org/Record/006552907</v>
      </c>
      <c r="J4211" s="1">
        <v>1852</v>
      </c>
      <c r="K4211" t="s">
        <v>11017</v>
      </c>
      <c r="L4211" t="s">
        <v>11018</v>
      </c>
    </row>
    <row r="4212" spans="1:12">
      <c r="A4212" t="s">
        <v>11021</v>
      </c>
      <c r="B4212" s="1" t="s">
        <v>11101</v>
      </c>
      <c r="F4212">
        <v>1</v>
      </c>
      <c r="G4212" t="str">
        <f>HYPERLINK("http://babel.hathitrust.org/cgi/pt?id=uc2.ark:/13960/t6057fw96")</f>
        <v>http://babel.hathitrust.org/cgi/pt?id=uc2.ark:/13960/t6057fw96</v>
      </c>
      <c r="H4212" t="str">
        <f>HYPERLINK("http://catalog.hathitrust.org/Record/006552907")</f>
        <v>http://catalog.hathitrust.org/Record/006552907</v>
      </c>
      <c r="J4212" s="1">
        <v>1852</v>
      </c>
      <c r="K4212" t="s">
        <v>11017</v>
      </c>
      <c r="L4212" t="s">
        <v>11018</v>
      </c>
    </row>
    <row r="4213" spans="1:12">
      <c r="A4213" t="s">
        <v>11022</v>
      </c>
      <c r="B4213" s="1" t="s">
        <v>11023</v>
      </c>
      <c r="F4213">
        <v>1</v>
      </c>
      <c r="G4213" t="str">
        <f>HYPERLINK("http://babel.hathitrust.org/cgi/pt?id=uc1.b15210")</f>
        <v>http://babel.hathitrust.org/cgi/pt?id=uc1.b15210</v>
      </c>
      <c r="H4213" t="str">
        <f>HYPERLINK("http://catalog.hathitrust.org/Record/006553127")</f>
        <v>http://catalog.hathitrust.org/Record/006553127</v>
      </c>
      <c r="I4213" s="1" t="s">
        <v>17050</v>
      </c>
      <c r="J4213" s="1">
        <v>1914</v>
      </c>
      <c r="K4213" t="s">
        <v>11024</v>
      </c>
      <c r="L4213" t="s">
        <v>11025</v>
      </c>
    </row>
    <row r="4214" spans="1:12">
      <c r="A4214" t="s">
        <v>11026</v>
      </c>
      <c r="B4214" s="1" t="s">
        <v>11023</v>
      </c>
      <c r="F4214">
        <v>1</v>
      </c>
      <c r="G4214" t="str">
        <f>HYPERLINK("http://babel.hathitrust.org/cgi/pt?id=uc2.ark:/13960/t4bp0017q")</f>
        <v>http://babel.hathitrust.org/cgi/pt?id=uc2.ark:/13960/t4bp0017q</v>
      </c>
      <c r="H4214" t="str">
        <f>HYPERLINK("http://catalog.hathitrust.org/Record/006553127")</f>
        <v>http://catalog.hathitrust.org/Record/006553127</v>
      </c>
      <c r="J4214" s="1">
        <v>1914</v>
      </c>
      <c r="K4214" t="s">
        <v>11024</v>
      </c>
      <c r="L4214" t="s">
        <v>11025</v>
      </c>
    </row>
    <row r="4215" spans="1:12">
      <c r="A4215" t="s">
        <v>11027</v>
      </c>
      <c r="B4215" s="1" t="s">
        <v>11028</v>
      </c>
      <c r="F4215">
        <v>1</v>
      </c>
      <c r="G4215" t="str">
        <f>HYPERLINK("http://babel.hathitrust.org/cgi/pt?id=uc1.b15222")</f>
        <v>http://babel.hathitrust.org/cgi/pt?id=uc1.b15222</v>
      </c>
      <c r="H4215" t="str">
        <f>HYPERLINK("http://catalog.hathitrust.org/Record/006553134")</f>
        <v>http://catalog.hathitrust.org/Record/006553134</v>
      </c>
      <c r="J4215" s="1">
        <v>1845</v>
      </c>
      <c r="K4215" t="s">
        <v>11029</v>
      </c>
      <c r="L4215" t="s">
        <v>11060</v>
      </c>
    </row>
    <row r="4216" spans="1:12">
      <c r="A4216" t="s">
        <v>11030</v>
      </c>
      <c r="B4216" s="1" t="s">
        <v>11028</v>
      </c>
      <c r="F4216">
        <v>1</v>
      </c>
      <c r="G4216" t="str">
        <f>HYPERLINK("http://babel.hathitrust.org/cgi/pt?id=uc1.b60110")</f>
        <v>http://babel.hathitrust.org/cgi/pt?id=uc1.b60110</v>
      </c>
      <c r="H4216" t="str">
        <f>HYPERLINK("http://catalog.hathitrust.org/Record/006553134")</f>
        <v>http://catalog.hathitrust.org/Record/006553134</v>
      </c>
      <c r="J4216" s="1">
        <v>1845</v>
      </c>
      <c r="K4216" t="s">
        <v>11029</v>
      </c>
      <c r="L4216" t="s">
        <v>11060</v>
      </c>
    </row>
    <row r="4217" spans="1:12">
      <c r="A4217" t="s">
        <v>11031</v>
      </c>
      <c r="B4217" s="1" t="s">
        <v>11028</v>
      </c>
      <c r="F4217">
        <v>1</v>
      </c>
      <c r="G4217" t="str">
        <f>HYPERLINK("http://babel.hathitrust.org/cgi/pt?id=uc2.ark:/13960/t6g15wd7j")</f>
        <v>http://babel.hathitrust.org/cgi/pt?id=uc2.ark:/13960/t6g15wd7j</v>
      </c>
      <c r="H4217" t="str">
        <f>HYPERLINK("http://catalog.hathitrust.org/Record/006553134")</f>
        <v>http://catalog.hathitrust.org/Record/006553134</v>
      </c>
      <c r="J4217" s="1">
        <v>1845</v>
      </c>
      <c r="K4217" t="s">
        <v>11029</v>
      </c>
      <c r="L4217" t="s">
        <v>11060</v>
      </c>
    </row>
    <row r="4218" spans="1:12">
      <c r="A4218" t="s">
        <v>11032</v>
      </c>
      <c r="B4218" s="1" t="s">
        <v>11033</v>
      </c>
      <c r="E4218">
        <v>1</v>
      </c>
      <c r="G4218" t="str">
        <f>HYPERLINK("http://babel.hathitrust.org/cgi/pt?id=nyp.33433075989677")</f>
        <v>http://babel.hathitrust.org/cgi/pt?id=nyp.33433075989677</v>
      </c>
      <c r="H4218" t="str">
        <f>HYPERLINK("http://catalog.hathitrust.org/Record/006554145")</f>
        <v>http://catalog.hathitrust.org/Record/006554145</v>
      </c>
      <c r="J4218" s="1">
        <v>1897</v>
      </c>
      <c r="K4218" t="s">
        <v>11034</v>
      </c>
      <c r="L4218" t="s">
        <v>15737</v>
      </c>
    </row>
    <row r="4219" spans="1:12">
      <c r="A4219" t="s">
        <v>11035</v>
      </c>
      <c r="B4219" s="1" t="s">
        <v>11036</v>
      </c>
      <c r="E4219">
        <v>1</v>
      </c>
      <c r="G4219" t="str">
        <f>HYPERLINK("http://babel.hathitrust.org/cgi/pt?id=uc1.b17055")</f>
        <v>http://babel.hathitrust.org/cgi/pt?id=uc1.b17055</v>
      </c>
      <c r="H4219" t="str">
        <f>HYPERLINK("http://catalog.hathitrust.org/Record/006554217")</f>
        <v>http://catalog.hathitrust.org/Record/006554217</v>
      </c>
      <c r="J4219" s="1">
        <v>1858</v>
      </c>
      <c r="K4219" t="s">
        <v>11037</v>
      </c>
      <c r="L4219" t="s">
        <v>19491</v>
      </c>
    </row>
    <row r="4220" spans="1:12">
      <c r="A4220" t="s">
        <v>11038</v>
      </c>
      <c r="B4220" s="1" t="s">
        <v>11039</v>
      </c>
      <c r="E4220">
        <v>1</v>
      </c>
      <c r="G4220" t="str">
        <f>HYPERLINK("http://babel.hathitrust.org/cgi/pt?id=uc1.b17100")</f>
        <v>http://babel.hathitrust.org/cgi/pt?id=uc1.b17100</v>
      </c>
      <c r="H4220" t="str">
        <f>HYPERLINK("http://catalog.hathitrust.org/Record/006554240")</f>
        <v>http://catalog.hathitrust.org/Record/006554240</v>
      </c>
      <c r="J4220" s="1">
        <v>1892</v>
      </c>
      <c r="K4220" t="s">
        <v>11040</v>
      </c>
      <c r="L4220" t="s">
        <v>15774</v>
      </c>
    </row>
    <row r="4221" spans="1:12">
      <c r="A4221" t="s">
        <v>11041</v>
      </c>
      <c r="B4221" s="1" t="s">
        <v>11042</v>
      </c>
      <c r="F4221">
        <v>1</v>
      </c>
      <c r="G4221" t="str">
        <f>HYPERLINK("http://babel.hathitrust.org/cgi/pt?id=uc1.b17288")</f>
        <v>http://babel.hathitrust.org/cgi/pt?id=uc1.b17288</v>
      </c>
      <c r="H4221" t="str">
        <f>HYPERLINK("http://catalog.hathitrust.org/Record/006554331")</f>
        <v>http://catalog.hathitrust.org/Record/006554331</v>
      </c>
      <c r="J4221" s="1">
        <v>1914</v>
      </c>
      <c r="K4221" t="s">
        <v>11043</v>
      </c>
      <c r="L4221" t="s">
        <v>11044</v>
      </c>
    </row>
    <row r="4222" spans="1:12">
      <c r="A4222" t="s">
        <v>11045</v>
      </c>
      <c r="B4222" s="1" t="s">
        <v>11042</v>
      </c>
      <c r="F4222">
        <v>1</v>
      </c>
      <c r="G4222" t="str">
        <f>HYPERLINK("http://babel.hathitrust.org/cgi/pt?id=uc2.ark:/13960/t75t3j58d")</f>
        <v>http://babel.hathitrust.org/cgi/pt?id=uc2.ark:/13960/t75t3j58d</v>
      </c>
      <c r="H4222" t="str">
        <f>HYPERLINK("http://catalog.hathitrust.org/Record/006554331")</f>
        <v>http://catalog.hathitrust.org/Record/006554331</v>
      </c>
      <c r="J4222" s="1">
        <v>1914</v>
      </c>
      <c r="K4222" t="s">
        <v>11043</v>
      </c>
      <c r="L4222" t="s">
        <v>11044</v>
      </c>
    </row>
    <row r="4223" spans="1:12">
      <c r="A4223" t="s">
        <v>11046</v>
      </c>
      <c r="B4223" s="1" t="s">
        <v>11047</v>
      </c>
      <c r="E4223">
        <v>1</v>
      </c>
      <c r="F4223">
        <v>1</v>
      </c>
      <c r="G4223" t="str">
        <f>HYPERLINK("http://babel.hathitrust.org/cgi/pt?id=uc1.b17317")</f>
        <v>http://babel.hathitrust.org/cgi/pt?id=uc1.b17317</v>
      </c>
      <c r="H4223" t="str">
        <f>HYPERLINK("http://catalog.hathitrust.org/Record/006554342")</f>
        <v>http://catalog.hathitrust.org/Record/006554342</v>
      </c>
      <c r="J4223" s="1">
        <v>1921</v>
      </c>
      <c r="K4223" t="s">
        <v>11048</v>
      </c>
      <c r="L4223" t="s">
        <v>11049</v>
      </c>
    </row>
    <row r="4224" spans="1:12">
      <c r="A4224" t="s">
        <v>11050</v>
      </c>
      <c r="B4224" s="1" t="s">
        <v>11047</v>
      </c>
      <c r="F4224">
        <v>1</v>
      </c>
      <c r="G4224" t="str">
        <f>HYPERLINK("http://babel.hathitrust.org/cgi/pt?id=uc2.ark:/13960/t43r0rs95")</f>
        <v>http://babel.hathitrust.org/cgi/pt?id=uc2.ark:/13960/t43r0rs95</v>
      </c>
      <c r="H4224" t="str">
        <f>HYPERLINK("http://catalog.hathitrust.org/Record/006554342")</f>
        <v>http://catalog.hathitrust.org/Record/006554342</v>
      </c>
      <c r="J4224" s="1">
        <v>1921</v>
      </c>
      <c r="K4224" t="s">
        <v>11048</v>
      </c>
      <c r="L4224" t="s">
        <v>11049</v>
      </c>
    </row>
    <row r="4225" spans="1:12">
      <c r="A4225" t="s">
        <v>11051</v>
      </c>
      <c r="B4225" s="1" t="s">
        <v>11052</v>
      </c>
      <c r="F4225">
        <v>1</v>
      </c>
      <c r="G4225" t="str">
        <f>HYPERLINK("http://babel.hathitrust.org/cgi/pt?id=uc1.b17379")</f>
        <v>http://babel.hathitrust.org/cgi/pt?id=uc1.b17379</v>
      </c>
      <c r="H4225" t="str">
        <f>HYPERLINK("http://catalog.hathitrust.org/Record/006554374")</f>
        <v>http://catalog.hathitrust.org/Record/006554374</v>
      </c>
      <c r="J4225" s="1">
        <v>1923</v>
      </c>
      <c r="K4225" t="s">
        <v>10961</v>
      </c>
      <c r="L4225" t="s">
        <v>17083</v>
      </c>
    </row>
    <row r="4226" spans="1:12">
      <c r="A4226" t="s">
        <v>10962</v>
      </c>
      <c r="B4226" s="1" t="s">
        <v>10963</v>
      </c>
      <c r="E4226">
        <v>1</v>
      </c>
      <c r="G4226" t="str">
        <f>HYPERLINK("http://babel.hathitrust.org/cgi/pt?id=uc1.b17837")</f>
        <v>http://babel.hathitrust.org/cgi/pt?id=uc1.b17837</v>
      </c>
      <c r="H4226" t="str">
        <f>HYPERLINK("http://catalog.hathitrust.org/Record/006554569")</f>
        <v>http://catalog.hathitrust.org/Record/006554569</v>
      </c>
      <c r="J4226" s="1">
        <v>1911</v>
      </c>
      <c r="K4226" t="s">
        <v>10964</v>
      </c>
      <c r="L4226" t="s">
        <v>10965</v>
      </c>
    </row>
    <row r="4227" spans="1:12">
      <c r="A4227" t="s">
        <v>10966</v>
      </c>
      <c r="B4227" s="1" t="s">
        <v>10967</v>
      </c>
      <c r="F4227">
        <v>1</v>
      </c>
      <c r="G4227" t="str">
        <f>HYPERLINK("http://babel.hathitrust.org/cgi/pt?id=uc1.b27330")</f>
        <v>http://babel.hathitrust.org/cgi/pt?id=uc1.b27330</v>
      </c>
      <c r="H4227" t="str">
        <f>HYPERLINK("http://catalog.hathitrust.org/Record/006559809")</f>
        <v>http://catalog.hathitrust.org/Record/006559809</v>
      </c>
      <c r="J4227" s="1">
        <v>1913</v>
      </c>
      <c r="K4227" t="s">
        <v>10968</v>
      </c>
      <c r="L4227" t="s">
        <v>10969</v>
      </c>
    </row>
    <row r="4228" spans="1:12">
      <c r="A4228" t="s">
        <v>10970</v>
      </c>
      <c r="B4228" s="1" t="s">
        <v>10971</v>
      </c>
      <c r="D4228">
        <v>1</v>
      </c>
      <c r="G4228" t="str">
        <f>HYPERLINK("http://babel.hathitrust.org/cgi/pt?id=uc1.b29115")</f>
        <v>http://babel.hathitrust.org/cgi/pt?id=uc1.b29115</v>
      </c>
      <c r="H4228" t="str">
        <f>HYPERLINK("http://catalog.hathitrust.org/Record/006561109")</f>
        <v>http://catalog.hathitrust.org/Record/006561109</v>
      </c>
      <c r="J4228" s="1">
        <v>1897</v>
      </c>
      <c r="K4228" t="s">
        <v>10972</v>
      </c>
      <c r="L4228" t="s">
        <v>10973</v>
      </c>
    </row>
    <row r="4229" spans="1:12">
      <c r="A4229" t="s">
        <v>10974</v>
      </c>
      <c r="B4229" s="1" t="s">
        <v>10971</v>
      </c>
      <c r="F4229">
        <v>1</v>
      </c>
      <c r="G4229" t="str">
        <f>HYPERLINK("http://babel.hathitrust.org/cgi/pt?id=uc2.ark:/13960/t0dv1fn7s")</f>
        <v>http://babel.hathitrust.org/cgi/pt?id=uc2.ark:/13960/t0dv1fn7s</v>
      </c>
      <c r="H4229" t="str">
        <f>HYPERLINK("http://catalog.hathitrust.org/Record/006561109")</f>
        <v>http://catalog.hathitrust.org/Record/006561109</v>
      </c>
      <c r="J4229" s="1">
        <v>1897</v>
      </c>
      <c r="K4229" t="s">
        <v>10972</v>
      </c>
      <c r="L4229" t="s">
        <v>10973</v>
      </c>
    </row>
    <row r="4230" spans="1:12">
      <c r="A4230" t="s">
        <v>10975</v>
      </c>
      <c r="B4230" s="1" t="s">
        <v>10976</v>
      </c>
      <c r="E4230">
        <v>1</v>
      </c>
      <c r="G4230" t="str">
        <f>HYPERLINK("http://babel.hathitrust.org/cgi/pt?id=uc1.b29351")</f>
        <v>http://babel.hathitrust.org/cgi/pt?id=uc1.b29351</v>
      </c>
      <c r="H4230" t="str">
        <f>HYPERLINK("http://catalog.hathitrust.org/Record/006561276")</f>
        <v>http://catalog.hathitrust.org/Record/006561276</v>
      </c>
      <c r="J4230" s="1">
        <v>1845</v>
      </c>
      <c r="K4230" t="s">
        <v>20489</v>
      </c>
      <c r="L4230" t="s">
        <v>20485</v>
      </c>
    </row>
    <row r="4231" spans="1:12">
      <c r="A4231" t="s">
        <v>10977</v>
      </c>
      <c r="B4231" s="1" t="s">
        <v>10978</v>
      </c>
      <c r="F4231">
        <v>1</v>
      </c>
      <c r="G4231" t="str">
        <f>HYPERLINK("http://babel.hathitrust.org/cgi/pt?id=uc1.b29581")</f>
        <v>http://babel.hathitrust.org/cgi/pt?id=uc1.b29581</v>
      </c>
      <c r="H4231" t="str">
        <f>HYPERLINK("http://catalog.hathitrust.org/Record/006561388")</f>
        <v>http://catalog.hathitrust.org/Record/006561388</v>
      </c>
      <c r="J4231" s="1">
        <v>1916</v>
      </c>
      <c r="K4231" t="s">
        <v>10979</v>
      </c>
      <c r="L4231" t="s">
        <v>20000</v>
      </c>
    </row>
    <row r="4232" spans="1:12">
      <c r="A4232" t="s">
        <v>10980</v>
      </c>
      <c r="B4232" s="1" t="s">
        <v>10978</v>
      </c>
      <c r="F4232">
        <v>1</v>
      </c>
      <c r="G4232" t="str">
        <f>HYPERLINK("http://babel.hathitrust.org/cgi/pt?id=uc2.ark:/13960/t10p0zm51")</f>
        <v>http://babel.hathitrust.org/cgi/pt?id=uc2.ark:/13960/t10p0zm51</v>
      </c>
      <c r="H4232" t="str">
        <f>HYPERLINK("http://catalog.hathitrust.org/Record/006561388")</f>
        <v>http://catalog.hathitrust.org/Record/006561388</v>
      </c>
      <c r="J4232" s="1">
        <v>1916</v>
      </c>
      <c r="K4232" t="s">
        <v>10979</v>
      </c>
      <c r="L4232" t="s">
        <v>20000</v>
      </c>
    </row>
    <row r="4233" spans="1:12">
      <c r="A4233" t="s">
        <v>10981</v>
      </c>
      <c r="B4233" s="1" t="s">
        <v>10982</v>
      </c>
      <c r="F4233">
        <v>1</v>
      </c>
      <c r="G4233" t="str">
        <f>HYPERLINK("http://babel.hathitrust.org/cgi/pt?id=uc1.b30279")</f>
        <v>http://babel.hathitrust.org/cgi/pt?id=uc1.b30279</v>
      </c>
      <c r="H4233" t="str">
        <f>HYPERLINK("http://catalog.hathitrust.org/Record/006561829")</f>
        <v>http://catalog.hathitrust.org/Record/006561829</v>
      </c>
      <c r="J4233" s="1">
        <v>1918</v>
      </c>
      <c r="K4233" t="s">
        <v>10983</v>
      </c>
      <c r="L4233" t="s">
        <v>10984</v>
      </c>
    </row>
    <row r="4234" spans="1:12">
      <c r="A4234" t="s">
        <v>10985</v>
      </c>
      <c r="B4234" s="1" t="s">
        <v>10982</v>
      </c>
      <c r="F4234">
        <v>1</v>
      </c>
      <c r="G4234" t="str">
        <f>HYPERLINK("http://babel.hathitrust.org/cgi/pt?id=uc2.ark:/13960/t2p55gc59")</f>
        <v>http://babel.hathitrust.org/cgi/pt?id=uc2.ark:/13960/t2p55gc59</v>
      </c>
      <c r="H4234" t="str">
        <f>HYPERLINK("http://catalog.hathitrust.org/Record/006561829")</f>
        <v>http://catalog.hathitrust.org/Record/006561829</v>
      </c>
      <c r="J4234" s="1">
        <v>1918</v>
      </c>
      <c r="K4234" t="s">
        <v>10983</v>
      </c>
      <c r="L4234" t="s">
        <v>10984</v>
      </c>
    </row>
    <row r="4235" spans="1:12">
      <c r="A4235" t="s">
        <v>10986</v>
      </c>
      <c r="B4235" s="1" t="s">
        <v>10987</v>
      </c>
      <c r="F4235">
        <v>1</v>
      </c>
      <c r="G4235" t="str">
        <f>HYPERLINK("http://babel.hathitrust.org/cgi/pt?id=uc1.b30334")</f>
        <v>http://babel.hathitrust.org/cgi/pt?id=uc1.b30334</v>
      </c>
      <c r="H4235" t="str">
        <f>HYPERLINK("http://catalog.hathitrust.org/Record/006561869")</f>
        <v>http://catalog.hathitrust.org/Record/006561869</v>
      </c>
      <c r="J4235" s="1">
        <v>1939</v>
      </c>
      <c r="K4235" t="s">
        <v>10988</v>
      </c>
    </row>
    <row r="4236" spans="1:12">
      <c r="A4236" t="s">
        <v>10989</v>
      </c>
      <c r="B4236" s="1" t="s">
        <v>10990</v>
      </c>
      <c r="F4236">
        <v>1</v>
      </c>
      <c r="G4236" t="str">
        <f>HYPERLINK("http://babel.hathitrust.org/cgi/pt?id=uc1.b30338")</f>
        <v>http://babel.hathitrust.org/cgi/pt?id=uc1.b30338</v>
      </c>
      <c r="H4236" t="str">
        <f>HYPERLINK("http://catalog.hathitrust.org/Record/006561870")</f>
        <v>http://catalog.hathitrust.org/Record/006561870</v>
      </c>
      <c r="J4236" s="1">
        <v>1939</v>
      </c>
      <c r="K4236" t="s">
        <v>10991</v>
      </c>
    </row>
    <row r="4237" spans="1:12">
      <c r="A4237" t="s">
        <v>10992</v>
      </c>
      <c r="B4237" s="1" t="s">
        <v>10993</v>
      </c>
      <c r="F4237">
        <v>1</v>
      </c>
      <c r="G4237" t="str">
        <f>HYPERLINK("http://babel.hathitrust.org/cgi/pt?id=uc1.b31557")</f>
        <v>http://babel.hathitrust.org/cgi/pt?id=uc1.b31557</v>
      </c>
      <c r="H4237" t="str">
        <f>HYPERLINK("http://catalog.hathitrust.org/Record/006562404")</f>
        <v>http://catalog.hathitrust.org/Record/006562404</v>
      </c>
      <c r="J4237" s="1">
        <v>1911</v>
      </c>
      <c r="K4237" t="s">
        <v>10994</v>
      </c>
      <c r="L4237" t="s">
        <v>10995</v>
      </c>
    </row>
    <row r="4238" spans="1:12">
      <c r="A4238" t="s">
        <v>10996</v>
      </c>
      <c r="B4238" s="1" t="s">
        <v>10993</v>
      </c>
      <c r="F4238">
        <v>1</v>
      </c>
      <c r="G4238" t="str">
        <f>HYPERLINK("http://babel.hathitrust.org/cgi/pt?id=uc2.ark:/13960/t58c9t798")</f>
        <v>http://babel.hathitrust.org/cgi/pt?id=uc2.ark:/13960/t58c9t798</v>
      </c>
      <c r="H4238" t="str">
        <f>HYPERLINK("http://catalog.hathitrust.org/Record/006562404")</f>
        <v>http://catalog.hathitrust.org/Record/006562404</v>
      </c>
      <c r="J4238" s="1">
        <v>1911</v>
      </c>
      <c r="K4238" t="s">
        <v>10994</v>
      </c>
      <c r="L4238" t="s">
        <v>10995</v>
      </c>
    </row>
    <row r="4239" spans="1:12">
      <c r="A4239" t="s">
        <v>10997</v>
      </c>
      <c r="B4239" s="1" t="s">
        <v>10998</v>
      </c>
      <c r="F4239">
        <v>1</v>
      </c>
      <c r="G4239" t="str">
        <f>HYPERLINK("http://babel.hathitrust.org/cgi/pt?id=coo.31924013263961")</f>
        <v>http://babel.hathitrust.org/cgi/pt?id=coo.31924013263961</v>
      </c>
      <c r="H4239" t="str">
        <f t="shared" ref="H4239:H4244" si="51">HYPERLINK("http://catalog.hathitrust.org/Record/006562406")</f>
        <v>http://catalog.hathitrust.org/Record/006562406</v>
      </c>
      <c r="I4239" s="1" t="s">
        <v>20916</v>
      </c>
      <c r="J4239" s="1">
        <v>1907</v>
      </c>
      <c r="K4239" t="s">
        <v>10999</v>
      </c>
      <c r="L4239" t="s">
        <v>12985</v>
      </c>
    </row>
    <row r="4240" spans="1:12">
      <c r="A4240" t="s">
        <v>11000</v>
      </c>
      <c r="B4240" s="1" t="s">
        <v>10998</v>
      </c>
      <c r="F4240">
        <v>1</v>
      </c>
      <c r="G4240" t="str">
        <f>HYPERLINK("http://babel.hathitrust.org/cgi/pt?id=coo.31924065041273")</f>
        <v>http://babel.hathitrust.org/cgi/pt?id=coo.31924065041273</v>
      </c>
      <c r="H4240" t="str">
        <f t="shared" si="51"/>
        <v>http://catalog.hathitrust.org/Record/006562406</v>
      </c>
      <c r="I4240" s="1" t="s">
        <v>20755</v>
      </c>
      <c r="J4240" s="1">
        <v>1907</v>
      </c>
      <c r="K4240" t="s">
        <v>10999</v>
      </c>
      <c r="L4240" t="s">
        <v>12985</v>
      </c>
    </row>
    <row r="4241" spans="1:12">
      <c r="A4241" t="s">
        <v>11001</v>
      </c>
      <c r="B4241" s="1" t="s">
        <v>10998</v>
      </c>
      <c r="F4241">
        <v>1</v>
      </c>
      <c r="G4241" t="str">
        <f>HYPERLINK("http://babel.hathitrust.org/cgi/pt?id=uc1.b31561")</f>
        <v>http://babel.hathitrust.org/cgi/pt?id=uc1.b31561</v>
      </c>
      <c r="H4241" t="str">
        <f t="shared" si="51"/>
        <v>http://catalog.hathitrust.org/Record/006562406</v>
      </c>
      <c r="I4241" s="1" t="s">
        <v>20796</v>
      </c>
      <c r="J4241" s="1">
        <v>1907</v>
      </c>
      <c r="K4241" t="s">
        <v>10999</v>
      </c>
      <c r="L4241" t="s">
        <v>12985</v>
      </c>
    </row>
    <row r="4242" spans="1:12">
      <c r="A4242" t="s">
        <v>11002</v>
      </c>
      <c r="B4242" s="1" t="s">
        <v>10998</v>
      </c>
      <c r="F4242">
        <v>1</v>
      </c>
      <c r="G4242" t="str">
        <f>HYPERLINK("http://babel.hathitrust.org/cgi/pt?id=uc1.b31562")</f>
        <v>http://babel.hathitrust.org/cgi/pt?id=uc1.b31562</v>
      </c>
      <c r="H4242" t="str">
        <f t="shared" si="51"/>
        <v>http://catalog.hathitrust.org/Record/006562406</v>
      </c>
      <c r="I4242" s="1" t="s">
        <v>20799</v>
      </c>
      <c r="J4242" s="1">
        <v>1907</v>
      </c>
      <c r="K4242" t="s">
        <v>10999</v>
      </c>
      <c r="L4242" t="s">
        <v>12985</v>
      </c>
    </row>
    <row r="4243" spans="1:12">
      <c r="A4243" t="s">
        <v>11003</v>
      </c>
      <c r="B4243" s="1" t="s">
        <v>10998</v>
      </c>
      <c r="F4243">
        <v>1</v>
      </c>
      <c r="G4243" t="str">
        <f>HYPERLINK("http://babel.hathitrust.org/cgi/pt?id=uc2.ark:/13960/t6445wj2v")</f>
        <v>http://babel.hathitrust.org/cgi/pt?id=uc2.ark:/13960/t6445wj2v</v>
      </c>
      <c r="H4243" t="str">
        <f t="shared" si="51"/>
        <v>http://catalog.hathitrust.org/Record/006562406</v>
      </c>
      <c r="I4243" s="1" t="s">
        <v>20916</v>
      </c>
      <c r="J4243" s="1">
        <v>1907</v>
      </c>
      <c r="K4243" t="s">
        <v>10999</v>
      </c>
      <c r="L4243" t="s">
        <v>12985</v>
      </c>
    </row>
    <row r="4244" spans="1:12">
      <c r="A4244" t="s">
        <v>11004</v>
      </c>
      <c r="B4244" s="1" t="s">
        <v>10998</v>
      </c>
      <c r="F4244">
        <v>1</v>
      </c>
      <c r="G4244" t="str">
        <f>HYPERLINK("http://babel.hathitrust.org/cgi/pt?id=uc2.ark:/13960/t89g5vj6x")</f>
        <v>http://babel.hathitrust.org/cgi/pt?id=uc2.ark:/13960/t89g5vj6x</v>
      </c>
      <c r="H4244" t="str">
        <f t="shared" si="51"/>
        <v>http://catalog.hathitrust.org/Record/006562406</v>
      </c>
      <c r="I4244" s="1" t="s">
        <v>20755</v>
      </c>
      <c r="J4244" s="1">
        <v>1907</v>
      </c>
      <c r="K4244" t="s">
        <v>10999</v>
      </c>
      <c r="L4244" t="s">
        <v>12985</v>
      </c>
    </row>
    <row r="4245" spans="1:12">
      <c r="A4245" t="s">
        <v>11005</v>
      </c>
      <c r="B4245" s="1" t="s">
        <v>11006</v>
      </c>
      <c r="F4245">
        <v>1</v>
      </c>
      <c r="G4245" t="str">
        <f>HYPERLINK("http://babel.hathitrust.org/cgi/pt?id=uc1.b31567")</f>
        <v>http://babel.hathitrust.org/cgi/pt?id=uc1.b31567</v>
      </c>
      <c r="H4245" t="str">
        <f>HYPERLINK("http://catalog.hathitrust.org/Record/006562409")</f>
        <v>http://catalog.hathitrust.org/Record/006562409</v>
      </c>
      <c r="J4245" s="1">
        <v>1916</v>
      </c>
      <c r="K4245" t="s">
        <v>11007</v>
      </c>
      <c r="L4245" t="s">
        <v>11008</v>
      </c>
    </row>
    <row r="4246" spans="1:12">
      <c r="A4246" t="s">
        <v>11009</v>
      </c>
      <c r="B4246" s="1" t="s">
        <v>11006</v>
      </c>
      <c r="F4246">
        <v>1</v>
      </c>
      <c r="G4246" t="str">
        <f>HYPERLINK("http://babel.hathitrust.org/cgi/pt?id=uc2.ark:/13960/t2w37nr2s")</f>
        <v>http://babel.hathitrust.org/cgi/pt?id=uc2.ark:/13960/t2w37nr2s</v>
      </c>
      <c r="H4246" t="str">
        <f>HYPERLINK("http://catalog.hathitrust.org/Record/006562409")</f>
        <v>http://catalog.hathitrust.org/Record/006562409</v>
      </c>
      <c r="J4246" s="1">
        <v>1916</v>
      </c>
      <c r="K4246" t="s">
        <v>11007</v>
      </c>
      <c r="L4246" t="s">
        <v>11008</v>
      </c>
    </row>
    <row r="4247" spans="1:12">
      <c r="A4247" t="s">
        <v>11010</v>
      </c>
      <c r="B4247" s="1" t="s">
        <v>11011</v>
      </c>
      <c r="F4247">
        <v>1</v>
      </c>
      <c r="G4247" t="str">
        <f>HYPERLINK("http://babel.hathitrust.org/cgi/pt?id=uc1.b31578")</f>
        <v>http://babel.hathitrust.org/cgi/pt?id=uc1.b31578</v>
      </c>
      <c r="H4247" t="str">
        <f>HYPERLINK("http://catalog.hathitrust.org/Record/006562417")</f>
        <v>http://catalog.hathitrust.org/Record/006562417</v>
      </c>
      <c r="J4247" s="1">
        <v>1907</v>
      </c>
      <c r="K4247" t="s">
        <v>11012</v>
      </c>
      <c r="L4247" t="s">
        <v>11013</v>
      </c>
    </row>
    <row r="4248" spans="1:12">
      <c r="A4248" t="s">
        <v>11014</v>
      </c>
      <c r="B4248" s="1" t="s">
        <v>11011</v>
      </c>
      <c r="F4248">
        <v>1</v>
      </c>
      <c r="G4248" t="str">
        <f>HYPERLINK("http://babel.hathitrust.org/cgi/pt?id=uc2.ark:/13960/t13n2291n")</f>
        <v>http://babel.hathitrust.org/cgi/pt?id=uc2.ark:/13960/t13n2291n</v>
      </c>
      <c r="H4248" t="str">
        <f>HYPERLINK("http://catalog.hathitrust.org/Record/006562417")</f>
        <v>http://catalog.hathitrust.org/Record/006562417</v>
      </c>
      <c r="J4248" s="1">
        <v>1907</v>
      </c>
      <c r="K4248" t="s">
        <v>11012</v>
      </c>
      <c r="L4248" t="s">
        <v>11013</v>
      </c>
    </row>
    <row r="4249" spans="1:12">
      <c r="A4249" t="s">
        <v>11015</v>
      </c>
      <c r="B4249" s="1" t="s">
        <v>11016</v>
      </c>
      <c r="F4249">
        <v>1</v>
      </c>
      <c r="G4249" t="str">
        <f>HYPERLINK("http://babel.hathitrust.org/cgi/pt?id=uc1.b31597")</f>
        <v>http://babel.hathitrust.org/cgi/pt?id=uc1.b31597</v>
      </c>
      <c r="H4249" t="str">
        <f>HYPERLINK("http://catalog.hathitrust.org/Record/006562428")</f>
        <v>http://catalog.hathitrust.org/Record/006562428</v>
      </c>
      <c r="J4249" s="1">
        <v>1895</v>
      </c>
      <c r="K4249" t="s">
        <v>10901</v>
      </c>
      <c r="L4249" t="s">
        <v>10902</v>
      </c>
    </row>
    <row r="4250" spans="1:12">
      <c r="A4250" t="s">
        <v>10903</v>
      </c>
      <c r="B4250" s="1" t="s">
        <v>11016</v>
      </c>
      <c r="F4250">
        <v>1</v>
      </c>
      <c r="G4250" t="str">
        <f>HYPERLINK("http://babel.hathitrust.org/cgi/pt?id=uc2.ark:/13960/t55d8qk44")</f>
        <v>http://babel.hathitrust.org/cgi/pt?id=uc2.ark:/13960/t55d8qk44</v>
      </c>
      <c r="H4250" t="str">
        <f>HYPERLINK("http://catalog.hathitrust.org/Record/006562428")</f>
        <v>http://catalog.hathitrust.org/Record/006562428</v>
      </c>
      <c r="J4250" s="1">
        <v>1895</v>
      </c>
      <c r="K4250" t="s">
        <v>10901</v>
      </c>
      <c r="L4250" t="s">
        <v>10902</v>
      </c>
    </row>
    <row r="4251" spans="1:12">
      <c r="A4251" t="s">
        <v>10904</v>
      </c>
      <c r="B4251" s="1" t="s">
        <v>10905</v>
      </c>
      <c r="D4251">
        <v>1</v>
      </c>
      <c r="G4251" t="str">
        <f>HYPERLINK("http://babel.hathitrust.org/cgi/pt?id=uc1.b31630")</f>
        <v>http://babel.hathitrust.org/cgi/pt?id=uc1.b31630</v>
      </c>
      <c r="H4251" t="str">
        <f>HYPERLINK("http://catalog.hathitrust.org/Record/006562441")</f>
        <v>http://catalog.hathitrust.org/Record/006562441</v>
      </c>
      <c r="J4251" s="1">
        <v>1901</v>
      </c>
      <c r="K4251" t="s">
        <v>10906</v>
      </c>
      <c r="L4251" t="s">
        <v>10907</v>
      </c>
    </row>
    <row r="4252" spans="1:12">
      <c r="A4252" t="s">
        <v>10908</v>
      </c>
      <c r="B4252" s="1" t="s">
        <v>10905</v>
      </c>
      <c r="F4252">
        <v>1</v>
      </c>
      <c r="G4252" t="str">
        <f>HYPERLINK("http://babel.hathitrust.org/cgi/pt?id=uc2.ark:/13960/t1wd3rt9m")</f>
        <v>http://babel.hathitrust.org/cgi/pt?id=uc2.ark:/13960/t1wd3rt9m</v>
      </c>
      <c r="H4252" t="str">
        <f>HYPERLINK("http://catalog.hathitrust.org/Record/006562441")</f>
        <v>http://catalog.hathitrust.org/Record/006562441</v>
      </c>
      <c r="J4252" s="1">
        <v>1901</v>
      </c>
      <c r="K4252" t="s">
        <v>10906</v>
      </c>
      <c r="L4252" t="s">
        <v>10907</v>
      </c>
    </row>
    <row r="4253" spans="1:12">
      <c r="A4253" t="s">
        <v>10909</v>
      </c>
      <c r="B4253" s="1" t="s">
        <v>10910</v>
      </c>
      <c r="F4253">
        <v>1</v>
      </c>
      <c r="G4253" t="str">
        <f>HYPERLINK("http://babel.hathitrust.org/cgi/pt?id=uc1.b31640")</f>
        <v>http://babel.hathitrust.org/cgi/pt?id=uc1.b31640</v>
      </c>
      <c r="H4253" t="str">
        <f>HYPERLINK("http://catalog.hathitrust.org/Record/006562445")</f>
        <v>http://catalog.hathitrust.org/Record/006562445</v>
      </c>
      <c r="J4253" s="1">
        <v>1898</v>
      </c>
      <c r="K4253" t="s">
        <v>19744</v>
      </c>
      <c r="L4253" t="s">
        <v>19745</v>
      </c>
    </row>
    <row r="4254" spans="1:12">
      <c r="A4254" t="s">
        <v>10911</v>
      </c>
      <c r="B4254" s="1" t="s">
        <v>10910</v>
      </c>
      <c r="F4254">
        <v>1</v>
      </c>
      <c r="G4254" t="str">
        <f>HYPERLINK("http://babel.hathitrust.org/cgi/pt?id=uc2.ark:/13960/t19k47n71")</f>
        <v>http://babel.hathitrust.org/cgi/pt?id=uc2.ark:/13960/t19k47n71</v>
      </c>
      <c r="H4254" t="str">
        <f>HYPERLINK("http://catalog.hathitrust.org/Record/006562445")</f>
        <v>http://catalog.hathitrust.org/Record/006562445</v>
      </c>
      <c r="J4254" s="1">
        <v>1898</v>
      </c>
      <c r="K4254" t="s">
        <v>19744</v>
      </c>
      <c r="L4254" t="s">
        <v>19745</v>
      </c>
    </row>
    <row r="4255" spans="1:12">
      <c r="A4255" t="s">
        <v>10912</v>
      </c>
      <c r="B4255" s="1" t="s">
        <v>10913</v>
      </c>
      <c r="D4255">
        <v>1</v>
      </c>
      <c r="G4255" t="str">
        <f>HYPERLINK("http://babel.hathitrust.org/cgi/pt?id=uc1.b31642")</f>
        <v>http://babel.hathitrust.org/cgi/pt?id=uc1.b31642</v>
      </c>
      <c r="H4255" t="str">
        <f>HYPERLINK("http://catalog.hathitrust.org/Record/006562447")</f>
        <v>http://catalog.hathitrust.org/Record/006562447</v>
      </c>
      <c r="J4255" s="1">
        <v>1886</v>
      </c>
      <c r="K4255" t="s">
        <v>16232</v>
      </c>
      <c r="L4255" t="s">
        <v>16233</v>
      </c>
    </row>
    <row r="4256" spans="1:12">
      <c r="A4256" t="s">
        <v>10914</v>
      </c>
      <c r="B4256" s="1" t="s">
        <v>10913</v>
      </c>
      <c r="F4256">
        <v>1</v>
      </c>
      <c r="G4256" t="str">
        <f>HYPERLINK("http://babel.hathitrust.org/cgi/pt?id=uc2.ark:/13960/t4bp02c0n")</f>
        <v>http://babel.hathitrust.org/cgi/pt?id=uc2.ark:/13960/t4bp02c0n</v>
      </c>
      <c r="H4256" t="str">
        <f>HYPERLINK("http://catalog.hathitrust.org/Record/006562447")</f>
        <v>http://catalog.hathitrust.org/Record/006562447</v>
      </c>
      <c r="J4256" s="1">
        <v>1886</v>
      </c>
      <c r="K4256" t="s">
        <v>16232</v>
      </c>
      <c r="L4256" t="s">
        <v>16233</v>
      </c>
    </row>
    <row r="4257" spans="1:12">
      <c r="A4257" t="s">
        <v>10915</v>
      </c>
      <c r="B4257" s="1" t="s">
        <v>10916</v>
      </c>
      <c r="E4257">
        <v>1</v>
      </c>
      <c r="G4257" t="str">
        <f>HYPERLINK("http://babel.hathitrust.org/cgi/pt?id=uc1.b31647")</f>
        <v>http://babel.hathitrust.org/cgi/pt?id=uc1.b31647</v>
      </c>
      <c r="H4257" t="str">
        <f>HYPERLINK("http://catalog.hathitrust.org/Record/006562451")</f>
        <v>http://catalog.hathitrust.org/Record/006562451</v>
      </c>
      <c r="J4257" s="1">
        <v>1895</v>
      </c>
      <c r="K4257" t="s">
        <v>10917</v>
      </c>
      <c r="L4257" t="s">
        <v>16848</v>
      </c>
    </row>
    <row r="4258" spans="1:12">
      <c r="A4258" t="s">
        <v>10918</v>
      </c>
      <c r="B4258" s="1" t="s">
        <v>10919</v>
      </c>
      <c r="F4258">
        <v>1</v>
      </c>
      <c r="G4258" t="str">
        <f>HYPERLINK("http://babel.hathitrust.org/cgi/pt?id=uc1.b31648")</f>
        <v>http://babel.hathitrust.org/cgi/pt?id=uc1.b31648</v>
      </c>
      <c r="H4258" t="str">
        <f>HYPERLINK("http://catalog.hathitrust.org/Record/006562452")</f>
        <v>http://catalog.hathitrust.org/Record/006562452</v>
      </c>
      <c r="J4258" s="1">
        <v>1909</v>
      </c>
      <c r="K4258" t="s">
        <v>10920</v>
      </c>
      <c r="L4258" t="s">
        <v>10921</v>
      </c>
    </row>
    <row r="4259" spans="1:12">
      <c r="A4259" t="s">
        <v>10922</v>
      </c>
      <c r="B4259" s="1" t="s">
        <v>10919</v>
      </c>
      <c r="F4259">
        <v>1</v>
      </c>
      <c r="G4259" t="str">
        <f>HYPERLINK("http://babel.hathitrust.org/cgi/pt?id=uc2.ark:/13960/t2w37nr19")</f>
        <v>http://babel.hathitrust.org/cgi/pt?id=uc2.ark:/13960/t2w37nr19</v>
      </c>
      <c r="H4259" t="str">
        <f>HYPERLINK("http://catalog.hathitrust.org/Record/006562452")</f>
        <v>http://catalog.hathitrust.org/Record/006562452</v>
      </c>
      <c r="J4259" s="1">
        <v>1909</v>
      </c>
      <c r="K4259" t="s">
        <v>10920</v>
      </c>
      <c r="L4259" t="s">
        <v>10921</v>
      </c>
    </row>
    <row r="4260" spans="1:12">
      <c r="A4260" t="s">
        <v>10923</v>
      </c>
      <c r="B4260" s="1" t="s">
        <v>10924</v>
      </c>
      <c r="F4260">
        <v>1</v>
      </c>
      <c r="G4260" t="str">
        <f>HYPERLINK("http://babel.hathitrust.org/cgi/pt?id=uc1.b31650")</f>
        <v>http://babel.hathitrust.org/cgi/pt?id=uc1.b31650</v>
      </c>
      <c r="H4260" t="str">
        <f>HYPERLINK("http://catalog.hathitrust.org/Record/006562454")</f>
        <v>http://catalog.hathitrust.org/Record/006562454</v>
      </c>
      <c r="J4260" s="1">
        <v>1904</v>
      </c>
      <c r="K4260" t="s">
        <v>10925</v>
      </c>
      <c r="L4260" t="s">
        <v>10926</v>
      </c>
    </row>
    <row r="4261" spans="1:12">
      <c r="A4261" t="s">
        <v>10927</v>
      </c>
      <c r="B4261" s="1" t="s">
        <v>10924</v>
      </c>
      <c r="F4261">
        <v>1</v>
      </c>
      <c r="G4261" t="str">
        <f>HYPERLINK("http://babel.hathitrust.org/cgi/pt?id=uc2.ark:/13960/t7sn03b61")</f>
        <v>http://babel.hathitrust.org/cgi/pt?id=uc2.ark:/13960/t7sn03b61</v>
      </c>
      <c r="H4261" t="str">
        <f>HYPERLINK("http://catalog.hathitrust.org/Record/006562454")</f>
        <v>http://catalog.hathitrust.org/Record/006562454</v>
      </c>
      <c r="J4261" s="1">
        <v>1904</v>
      </c>
      <c r="K4261" t="s">
        <v>10925</v>
      </c>
      <c r="L4261" t="s">
        <v>10926</v>
      </c>
    </row>
    <row r="4262" spans="1:12">
      <c r="A4262" t="s">
        <v>10928</v>
      </c>
      <c r="B4262" s="1" t="s">
        <v>10929</v>
      </c>
      <c r="F4262">
        <v>1</v>
      </c>
      <c r="G4262" t="str">
        <f>HYPERLINK("http://babel.hathitrust.org/cgi/pt?id=nyp.33433074834866")</f>
        <v>http://babel.hathitrust.org/cgi/pt?id=nyp.33433074834866</v>
      </c>
      <c r="H4262" t="str">
        <f>HYPERLINK("http://catalog.hathitrust.org/Record/006562459")</f>
        <v>http://catalog.hathitrust.org/Record/006562459</v>
      </c>
      <c r="J4262" s="1">
        <v>1890</v>
      </c>
      <c r="K4262" t="s">
        <v>10930</v>
      </c>
      <c r="L4262" t="s">
        <v>10931</v>
      </c>
    </row>
    <row r="4263" spans="1:12">
      <c r="A4263" t="s">
        <v>10932</v>
      </c>
      <c r="B4263" s="1" t="s">
        <v>10929</v>
      </c>
      <c r="F4263">
        <v>1</v>
      </c>
      <c r="G4263" t="str">
        <f>HYPERLINK("http://babel.hathitrust.org/cgi/pt?id=uc1.b31659")</f>
        <v>http://babel.hathitrust.org/cgi/pt?id=uc1.b31659</v>
      </c>
      <c r="H4263" t="str">
        <f>HYPERLINK("http://catalog.hathitrust.org/Record/006562459")</f>
        <v>http://catalog.hathitrust.org/Record/006562459</v>
      </c>
      <c r="J4263" s="1">
        <v>1890</v>
      </c>
      <c r="K4263" t="s">
        <v>10930</v>
      </c>
      <c r="L4263" t="s">
        <v>10931</v>
      </c>
    </row>
    <row r="4264" spans="1:12">
      <c r="A4264" t="s">
        <v>10933</v>
      </c>
      <c r="B4264" s="1" t="s">
        <v>10929</v>
      </c>
      <c r="F4264">
        <v>1</v>
      </c>
      <c r="G4264" t="str">
        <f>HYPERLINK("http://babel.hathitrust.org/cgi/pt?id=uc2.ark:/13960/t8qb9xg2s")</f>
        <v>http://babel.hathitrust.org/cgi/pt?id=uc2.ark:/13960/t8qb9xg2s</v>
      </c>
      <c r="H4264" t="str">
        <f>HYPERLINK("http://catalog.hathitrust.org/Record/006562459")</f>
        <v>http://catalog.hathitrust.org/Record/006562459</v>
      </c>
      <c r="J4264" s="1">
        <v>1890</v>
      </c>
      <c r="K4264" t="s">
        <v>10930</v>
      </c>
      <c r="L4264" t="s">
        <v>10931</v>
      </c>
    </row>
    <row r="4265" spans="1:12">
      <c r="A4265" t="s">
        <v>10934</v>
      </c>
      <c r="B4265" s="1" t="s">
        <v>10935</v>
      </c>
      <c r="E4265">
        <v>1</v>
      </c>
      <c r="G4265" t="str">
        <f>HYPERLINK("http://babel.hathitrust.org/cgi/pt?id=uc1.b31785")</f>
        <v>http://babel.hathitrust.org/cgi/pt?id=uc1.b31785</v>
      </c>
      <c r="H4265" t="str">
        <f>HYPERLINK("http://catalog.hathitrust.org/Record/006562545")</f>
        <v>http://catalog.hathitrust.org/Record/006562545</v>
      </c>
      <c r="J4265" s="1">
        <v>1899</v>
      </c>
      <c r="K4265" t="s">
        <v>10936</v>
      </c>
      <c r="L4265" t="s">
        <v>16848</v>
      </c>
    </row>
    <row r="4266" spans="1:12">
      <c r="A4266" t="s">
        <v>10937</v>
      </c>
      <c r="B4266" s="1" t="s">
        <v>10938</v>
      </c>
      <c r="F4266">
        <v>1</v>
      </c>
      <c r="G4266" t="str">
        <f>HYPERLINK("http://babel.hathitrust.org/cgi/pt?id=uc1.b45225")</f>
        <v>http://babel.hathitrust.org/cgi/pt?id=uc1.b45225</v>
      </c>
      <c r="H4266" t="str">
        <f>HYPERLINK("http://catalog.hathitrust.org/Record/006570054")</f>
        <v>http://catalog.hathitrust.org/Record/006570054</v>
      </c>
      <c r="J4266" s="1">
        <v>1895</v>
      </c>
      <c r="K4266" t="s">
        <v>10939</v>
      </c>
      <c r="L4266" t="s">
        <v>10940</v>
      </c>
    </row>
    <row r="4267" spans="1:12">
      <c r="A4267" t="s">
        <v>10941</v>
      </c>
      <c r="B4267" s="1" t="s">
        <v>10942</v>
      </c>
      <c r="F4267">
        <v>1</v>
      </c>
      <c r="G4267" t="str">
        <f>HYPERLINK("http://babel.hathitrust.org/cgi/pt?id=uc1.b51285")</f>
        <v>http://babel.hathitrust.org/cgi/pt?id=uc1.b51285</v>
      </c>
      <c r="H4267" t="str">
        <f>HYPERLINK("http://catalog.hathitrust.org/Record/006573375")</f>
        <v>http://catalog.hathitrust.org/Record/006573375</v>
      </c>
      <c r="J4267" s="1">
        <v>1906</v>
      </c>
      <c r="K4267" t="s">
        <v>10943</v>
      </c>
      <c r="L4267" t="s">
        <v>20507</v>
      </c>
    </row>
    <row r="4268" spans="1:12">
      <c r="A4268" t="s">
        <v>10944</v>
      </c>
      <c r="B4268" s="1" t="s">
        <v>10945</v>
      </c>
      <c r="D4268">
        <v>1</v>
      </c>
      <c r="G4268" t="str">
        <f>HYPERLINK("http://babel.hathitrust.org/cgi/pt?id=uc1.b55900")</f>
        <v>http://babel.hathitrust.org/cgi/pt?id=uc1.b55900</v>
      </c>
      <c r="H4268" t="str">
        <f>HYPERLINK("http://catalog.hathitrust.org/Record/006575564")</f>
        <v>http://catalog.hathitrust.org/Record/006575564</v>
      </c>
      <c r="J4268" s="1">
        <v>1926</v>
      </c>
      <c r="K4268" t="s">
        <v>10946</v>
      </c>
      <c r="L4268" t="s">
        <v>17631</v>
      </c>
    </row>
    <row r="4269" spans="1:12">
      <c r="A4269" t="s">
        <v>10947</v>
      </c>
      <c r="B4269" s="1" t="s">
        <v>10948</v>
      </c>
      <c r="D4269">
        <v>1</v>
      </c>
      <c r="G4269" t="str">
        <f>HYPERLINK("http://babel.hathitrust.org/cgi/pt?id=uc1.b55950")</f>
        <v>http://babel.hathitrust.org/cgi/pt?id=uc1.b55950</v>
      </c>
      <c r="H4269" t="str">
        <f>HYPERLINK("http://catalog.hathitrust.org/Record/006575582")</f>
        <v>http://catalog.hathitrust.org/Record/006575582</v>
      </c>
      <c r="J4269" s="1">
        <v>1901</v>
      </c>
      <c r="K4269" t="s">
        <v>10949</v>
      </c>
      <c r="L4269" t="s">
        <v>18017</v>
      </c>
    </row>
    <row r="4270" spans="1:12">
      <c r="A4270" t="s">
        <v>10950</v>
      </c>
      <c r="B4270" s="1" t="s">
        <v>10951</v>
      </c>
      <c r="F4270">
        <v>1</v>
      </c>
      <c r="G4270" t="str">
        <f>HYPERLINK("http://babel.hathitrust.org/cgi/pt?id=uc1.b58744")</f>
        <v>http://babel.hathitrust.org/cgi/pt?id=uc1.b58744</v>
      </c>
      <c r="H4270" t="str">
        <f>HYPERLINK("http://catalog.hathitrust.org/Record/006577307")</f>
        <v>http://catalog.hathitrust.org/Record/006577307</v>
      </c>
      <c r="J4270" s="1">
        <v>1907</v>
      </c>
      <c r="K4270" t="s">
        <v>10952</v>
      </c>
      <c r="L4270" t="s">
        <v>10953</v>
      </c>
    </row>
    <row r="4271" spans="1:12">
      <c r="A4271" t="s">
        <v>10954</v>
      </c>
      <c r="B4271" s="1" t="s">
        <v>10951</v>
      </c>
      <c r="F4271">
        <v>1</v>
      </c>
      <c r="G4271" t="str">
        <f>HYPERLINK("http://babel.hathitrust.org/cgi/pt?id=uc2.ark:/13960/t0wp9w327")</f>
        <v>http://babel.hathitrust.org/cgi/pt?id=uc2.ark:/13960/t0wp9w327</v>
      </c>
      <c r="H4271" t="str">
        <f>HYPERLINK("http://catalog.hathitrust.org/Record/006577307")</f>
        <v>http://catalog.hathitrust.org/Record/006577307</v>
      </c>
      <c r="J4271" s="1">
        <v>1907</v>
      </c>
      <c r="K4271" t="s">
        <v>10952</v>
      </c>
      <c r="L4271" t="s">
        <v>10953</v>
      </c>
    </row>
    <row r="4272" spans="1:12">
      <c r="A4272" t="s">
        <v>10955</v>
      </c>
      <c r="B4272" s="1" t="s">
        <v>10956</v>
      </c>
      <c r="F4272">
        <v>1</v>
      </c>
      <c r="G4272" t="str">
        <f>HYPERLINK("http://babel.hathitrust.org/cgi/pt?id=uc1.b59147")</f>
        <v>http://babel.hathitrust.org/cgi/pt?id=uc1.b59147</v>
      </c>
      <c r="H4272" t="str">
        <f>HYPERLINK("http://catalog.hathitrust.org/Record/006577478")</f>
        <v>http://catalog.hathitrust.org/Record/006577478</v>
      </c>
      <c r="J4272" s="1">
        <v>1935</v>
      </c>
      <c r="K4272" t="s">
        <v>10957</v>
      </c>
    </row>
    <row r="4273" spans="1:12">
      <c r="A4273" t="s">
        <v>10958</v>
      </c>
      <c r="B4273" s="1" t="s">
        <v>10959</v>
      </c>
      <c r="F4273">
        <v>1</v>
      </c>
      <c r="G4273" t="str">
        <f>HYPERLINK("http://babel.hathitrust.org/cgi/pt?id=uc1.b59703")</f>
        <v>http://babel.hathitrust.org/cgi/pt?id=uc1.b59703</v>
      </c>
      <c r="H4273" t="str">
        <f>HYPERLINK("http://catalog.hathitrust.org/Record/006577750")</f>
        <v>http://catalog.hathitrust.org/Record/006577750</v>
      </c>
      <c r="J4273" s="1">
        <v>1933</v>
      </c>
      <c r="K4273" t="s">
        <v>10960</v>
      </c>
      <c r="L4273" t="s">
        <v>10840</v>
      </c>
    </row>
    <row r="4274" spans="1:12">
      <c r="A4274" t="s">
        <v>10841</v>
      </c>
      <c r="B4274" s="1" t="s">
        <v>10842</v>
      </c>
      <c r="F4274">
        <v>1</v>
      </c>
      <c r="G4274" t="str">
        <f>HYPERLINK("http://babel.hathitrust.org/cgi/pt?id=uc1.b59946")</f>
        <v>http://babel.hathitrust.org/cgi/pt?id=uc1.b59946</v>
      </c>
      <c r="H4274" t="str">
        <f>HYPERLINK("http://catalog.hathitrust.org/Record/006577871")</f>
        <v>http://catalog.hathitrust.org/Record/006577871</v>
      </c>
      <c r="J4274" s="1">
        <v>1892</v>
      </c>
      <c r="K4274" t="s">
        <v>10843</v>
      </c>
      <c r="L4274" t="s">
        <v>10844</v>
      </c>
    </row>
    <row r="4275" spans="1:12">
      <c r="A4275" t="s">
        <v>10845</v>
      </c>
      <c r="B4275" s="1" t="s">
        <v>10842</v>
      </c>
      <c r="F4275">
        <v>1</v>
      </c>
      <c r="G4275" t="str">
        <f>HYPERLINK("http://babel.hathitrust.org/cgi/pt?id=uc2.ark:/13960/t43r0s19q")</f>
        <v>http://babel.hathitrust.org/cgi/pt?id=uc2.ark:/13960/t43r0s19q</v>
      </c>
      <c r="H4275" t="str">
        <f>HYPERLINK("http://catalog.hathitrust.org/Record/006577871")</f>
        <v>http://catalog.hathitrust.org/Record/006577871</v>
      </c>
      <c r="J4275" s="1">
        <v>1892</v>
      </c>
      <c r="K4275" t="s">
        <v>10843</v>
      </c>
      <c r="L4275" t="s">
        <v>10844</v>
      </c>
    </row>
    <row r="4276" spans="1:12">
      <c r="A4276" t="s">
        <v>10846</v>
      </c>
      <c r="B4276" s="1" t="s">
        <v>10847</v>
      </c>
      <c r="F4276">
        <v>1</v>
      </c>
      <c r="G4276" t="str">
        <f>HYPERLINK("http://babel.hathitrust.org/cgi/pt?id=uc1.b59949")</f>
        <v>http://babel.hathitrust.org/cgi/pt?id=uc1.b59949</v>
      </c>
      <c r="H4276" t="str">
        <f>HYPERLINK("http://catalog.hathitrust.org/Record/006577873")</f>
        <v>http://catalog.hathitrust.org/Record/006577873</v>
      </c>
      <c r="J4276" s="1">
        <v>1904</v>
      </c>
      <c r="K4276" t="s">
        <v>10848</v>
      </c>
      <c r="L4276" t="s">
        <v>10849</v>
      </c>
    </row>
    <row r="4277" spans="1:12">
      <c r="A4277" t="s">
        <v>10850</v>
      </c>
      <c r="B4277" s="1" t="s">
        <v>10847</v>
      </c>
      <c r="F4277">
        <v>1</v>
      </c>
      <c r="G4277" t="str">
        <f>HYPERLINK("http://babel.hathitrust.org/cgi/pt?id=uc2.ark:/13960/t8jd4s48s")</f>
        <v>http://babel.hathitrust.org/cgi/pt?id=uc2.ark:/13960/t8jd4s48s</v>
      </c>
      <c r="H4277" t="str">
        <f>HYPERLINK("http://catalog.hathitrust.org/Record/006577873")</f>
        <v>http://catalog.hathitrust.org/Record/006577873</v>
      </c>
      <c r="J4277" s="1">
        <v>1904</v>
      </c>
      <c r="K4277" t="s">
        <v>10848</v>
      </c>
      <c r="L4277" t="s">
        <v>10849</v>
      </c>
    </row>
    <row r="4278" spans="1:12">
      <c r="A4278" t="s">
        <v>10851</v>
      </c>
      <c r="B4278" s="1" t="s">
        <v>10852</v>
      </c>
      <c r="F4278">
        <v>1</v>
      </c>
      <c r="G4278" t="str">
        <f>HYPERLINK("http://babel.hathitrust.org/cgi/pt?id=uc1.b59951")</f>
        <v>http://babel.hathitrust.org/cgi/pt?id=uc1.b59951</v>
      </c>
      <c r="H4278" t="str">
        <f>HYPERLINK("http://catalog.hathitrust.org/Record/006577875")</f>
        <v>http://catalog.hathitrust.org/Record/006577875</v>
      </c>
      <c r="J4278" s="1">
        <v>1884</v>
      </c>
      <c r="K4278" t="s">
        <v>10853</v>
      </c>
      <c r="L4278" t="s">
        <v>11620</v>
      </c>
    </row>
    <row r="4279" spans="1:12">
      <c r="A4279" t="s">
        <v>10854</v>
      </c>
      <c r="B4279" s="1" t="s">
        <v>10852</v>
      </c>
      <c r="F4279">
        <v>1</v>
      </c>
      <c r="G4279" t="str">
        <f>HYPERLINK("http://babel.hathitrust.org/cgi/pt?id=uc2.ark:/13960/t8z894w24")</f>
        <v>http://babel.hathitrust.org/cgi/pt?id=uc2.ark:/13960/t8z894w24</v>
      </c>
      <c r="H4279" t="str">
        <f>HYPERLINK("http://catalog.hathitrust.org/Record/006577875")</f>
        <v>http://catalog.hathitrust.org/Record/006577875</v>
      </c>
      <c r="J4279" s="1">
        <v>1884</v>
      </c>
      <c r="K4279" t="s">
        <v>10853</v>
      </c>
      <c r="L4279" t="s">
        <v>11620</v>
      </c>
    </row>
    <row r="4280" spans="1:12">
      <c r="A4280" t="s">
        <v>10855</v>
      </c>
      <c r="B4280" s="1" t="s">
        <v>10856</v>
      </c>
      <c r="F4280">
        <v>1</v>
      </c>
      <c r="G4280" t="str">
        <f>HYPERLINK("http://babel.hathitrust.org/cgi/pt?id=uc1.b60078")</f>
        <v>http://babel.hathitrust.org/cgi/pt?id=uc1.b60078</v>
      </c>
      <c r="H4280" t="str">
        <f>HYPERLINK("http://catalog.hathitrust.org/Record/006577941")</f>
        <v>http://catalog.hathitrust.org/Record/006577941</v>
      </c>
      <c r="J4280" s="1">
        <v>1904</v>
      </c>
      <c r="K4280" t="s">
        <v>10857</v>
      </c>
      <c r="L4280" t="s">
        <v>10858</v>
      </c>
    </row>
    <row r="4281" spans="1:12">
      <c r="A4281" t="s">
        <v>10859</v>
      </c>
      <c r="B4281" s="1" t="s">
        <v>10856</v>
      </c>
      <c r="F4281">
        <v>1</v>
      </c>
      <c r="G4281" t="str">
        <f>HYPERLINK("http://babel.hathitrust.org/cgi/pt?id=uc2.ark:/13960/t9d50jg32")</f>
        <v>http://babel.hathitrust.org/cgi/pt?id=uc2.ark:/13960/t9d50jg32</v>
      </c>
      <c r="H4281" t="str">
        <f>HYPERLINK("http://catalog.hathitrust.org/Record/006577941")</f>
        <v>http://catalog.hathitrust.org/Record/006577941</v>
      </c>
      <c r="J4281" s="1">
        <v>1904</v>
      </c>
      <c r="K4281" t="s">
        <v>10857</v>
      </c>
      <c r="L4281" t="s">
        <v>10858</v>
      </c>
    </row>
    <row r="4282" spans="1:12">
      <c r="A4282" t="s">
        <v>10860</v>
      </c>
      <c r="B4282" s="1" t="s">
        <v>10861</v>
      </c>
      <c r="F4282">
        <v>1</v>
      </c>
      <c r="G4282" t="str">
        <f>HYPERLINK("http://babel.hathitrust.org/cgi/pt?id=uc1.b60103")</f>
        <v>http://babel.hathitrust.org/cgi/pt?id=uc1.b60103</v>
      </c>
      <c r="H4282" t="str">
        <f>HYPERLINK("http://catalog.hathitrust.org/Record/006577956")</f>
        <v>http://catalog.hathitrust.org/Record/006577956</v>
      </c>
      <c r="J4282" s="1">
        <v>1926</v>
      </c>
      <c r="K4282" t="s">
        <v>10862</v>
      </c>
      <c r="L4282" t="s">
        <v>10863</v>
      </c>
    </row>
    <row r="4283" spans="1:12">
      <c r="A4283" t="s">
        <v>10864</v>
      </c>
      <c r="B4283" s="1" t="s">
        <v>10865</v>
      </c>
      <c r="F4283">
        <v>1</v>
      </c>
      <c r="G4283" t="str">
        <f>HYPERLINK("http://babel.hathitrust.org/cgi/pt?id=uc1.b60112")</f>
        <v>http://babel.hathitrust.org/cgi/pt?id=uc1.b60112</v>
      </c>
      <c r="H4283" t="str">
        <f>HYPERLINK("http://catalog.hathitrust.org/Record/006577961")</f>
        <v>http://catalog.hathitrust.org/Record/006577961</v>
      </c>
      <c r="J4283" s="1">
        <v>1887</v>
      </c>
      <c r="K4283" t="s">
        <v>10866</v>
      </c>
      <c r="L4283" t="s">
        <v>10867</v>
      </c>
    </row>
    <row r="4284" spans="1:12">
      <c r="A4284" t="s">
        <v>10868</v>
      </c>
      <c r="B4284" s="1" t="s">
        <v>10865</v>
      </c>
      <c r="F4284">
        <v>1</v>
      </c>
      <c r="G4284" t="str">
        <f>HYPERLINK("http://babel.hathitrust.org/cgi/pt?id=uc2.ark:/13960/t8z89dv9c")</f>
        <v>http://babel.hathitrust.org/cgi/pt?id=uc2.ark:/13960/t8z89dv9c</v>
      </c>
      <c r="H4284" t="str">
        <f>HYPERLINK("http://catalog.hathitrust.org/Record/006577961")</f>
        <v>http://catalog.hathitrust.org/Record/006577961</v>
      </c>
      <c r="J4284" s="1">
        <v>1887</v>
      </c>
      <c r="K4284" t="s">
        <v>10866</v>
      </c>
      <c r="L4284" t="s">
        <v>10867</v>
      </c>
    </row>
    <row r="4285" spans="1:12">
      <c r="A4285" t="s">
        <v>10869</v>
      </c>
      <c r="B4285" s="1" t="s">
        <v>10870</v>
      </c>
      <c r="E4285">
        <v>1</v>
      </c>
      <c r="F4285">
        <v>1</v>
      </c>
      <c r="G4285" t="str">
        <f>HYPERLINK("http://babel.hathitrust.org/cgi/pt?id=uc1.b60117")</f>
        <v>http://babel.hathitrust.org/cgi/pt?id=uc1.b60117</v>
      </c>
      <c r="H4285" t="str">
        <f>HYPERLINK("http://catalog.hathitrust.org/Record/006577963")</f>
        <v>http://catalog.hathitrust.org/Record/006577963</v>
      </c>
      <c r="J4285" s="1">
        <v>1924</v>
      </c>
      <c r="K4285" t="s">
        <v>10871</v>
      </c>
      <c r="L4285" t="s">
        <v>10872</v>
      </c>
    </row>
    <row r="4286" spans="1:12">
      <c r="A4286" t="s">
        <v>10873</v>
      </c>
      <c r="B4286" s="1" t="s">
        <v>10874</v>
      </c>
      <c r="F4286">
        <v>1</v>
      </c>
      <c r="G4286" t="str">
        <f>HYPERLINK("http://babel.hathitrust.org/cgi/pt?id=uc1.b60261")</f>
        <v>http://babel.hathitrust.org/cgi/pt?id=uc1.b60261</v>
      </c>
      <c r="H4286" t="str">
        <f>HYPERLINK("http://catalog.hathitrust.org/Record/006578028")</f>
        <v>http://catalog.hathitrust.org/Record/006578028</v>
      </c>
      <c r="J4286" s="1">
        <v>1900</v>
      </c>
      <c r="K4286" t="s">
        <v>10875</v>
      </c>
      <c r="L4286" t="s">
        <v>11776</v>
      </c>
    </row>
    <row r="4287" spans="1:12">
      <c r="A4287" t="s">
        <v>10876</v>
      </c>
      <c r="B4287" s="1" t="s">
        <v>10874</v>
      </c>
      <c r="F4287">
        <v>1</v>
      </c>
      <c r="G4287" t="str">
        <f>HYPERLINK("http://babel.hathitrust.org/cgi/pt?id=uc2.ark:/13960/t4rj4c09n")</f>
        <v>http://babel.hathitrust.org/cgi/pt?id=uc2.ark:/13960/t4rj4c09n</v>
      </c>
      <c r="H4287" t="str">
        <f>HYPERLINK("http://catalog.hathitrust.org/Record/006578028")</f>
        <v>http://catalog.hathitrust.org/Record/006578028</v>
      </c>
      <c r="J4287" s="1">
        <v>1900</v>
      </c>
      <c r="K4287" t="s">
        <v>10875</v>
      </c>
      <c r="L4287" t="s">
        <v>11776</v>
      </c>
    </row>
    <row r="4288" spans="1:12">
      <c r="A4288" t="s">
        <v>10877</v>
      </c>
      <c r="B4288" s="1" t="s">
        <v>10878</v>
      </c>
      <c r="F4288">
        <v>1</v>
      </c>
      <c r="G4288" t="str">
        <f>HYPERLINK("http://babel.hathitrust.org/cgi/pt?id=uc1.b60262")</f>
        <v>http://babel.hathitrust.org/cgi/pt?id=uc1.b60262</v>
      </c>
      <c r="H4288" t="str">
        <f>HYPERLINK("http://catalog.hathitrust.org/Record/006578029")</f>
        <v>http://catalog.hathitrust.org/Record/006578029</v>
      </c>
      <c r="J4288" s="1">
        <v>1937</v>
      </c>
      <c r="K4288" t="s">
        <v>10879</v>
      </c>
      <c r="L4288" t="s">
        <v>10880</v>
      </c>
    </row>
    <row r="4289" spans="1:12">
      <c r="A4289" t="s">
        <v>10881</v>
      </c>
      <c r="B4289" s="1" t="s">
        <v>10882</v>
      </c>
      <c r="F4289">
        <v>1</v>
      </c>
      <c r="G4289" t="str">
        <f>HYPERLINK("http://babel.hathitrust.org/cgi/pt?id=uc1.b60268")</f>
        <v>http://babel.hathitrust.org/cgi/pt?id=uc1.b60268</v>
      </c>
      <c r="H4289" t="str">
        <f>HYPERLINK("http://catalog.hathitrust.org/Record/006578031")</f>
        <v>http://catalog.hathitrust.org/Record/006578031</v>
      </c>
      <c r="I4289" s="1" t="s">
        <v>20796</v>
      </c>
      <c r="J4289" s="1">
        <v>1921</v>
      </c>
      <c r="K4289" t="s">
        <v>10883</v>
      </c>
      <c r="L4289" t="s">
        <v>10884</v>
      </c>
    </row>
    <row r="4290" spans="1:12">
      <c r="A4290" t="s">
        <v>10885</v>
      </c>
      <c r="B4290" s="1" t="s">
        <v>10882</v>
      </c>
      <c r="F4290">
        <v>1</v>
      </c>
      <c r="G4290" t="str">
        <f>HYPERLINK("http://babel.hathitrust.org/cgi/pt?id=uc1.b60269")</f>
        <v>http://babel.hathitrust.org/cgi/pt?id=uc1.b60269</v>
      </c>
      <c r="H4290" t="str">
        <f>HYPERLINK("http://catalog.hathitrust.org/Record/006578031")</f>
        <v>http://catalog.hathitrust.org/Record/006578031</v>
      </c>
      <c r="I4290" s="1" t="s">
        <v>20799</v>
      </c>
      <c r="J4290" s="1">
        <v>1921</v>
      </c>
      <c r="K4290" t="s">
        <v>10883</v>
      </c>
      <c r="L4290" t="s">
        <v>10884</v>
      </c>
    </row>
    <row r="4291" spans="1:12">
      <c r="A4291" t="s">
        <v>10886</v>
      </c>
      <c r="B4291" s="1" t="s">
        <v>10882</v>
      </c>
      <c r="F4291">
        <v>1</v>
      </c>
      <c r="G4291" t="str">
        <f>HYPERLINK("http://babel.hathitrust.org/cgi/pt?id=uc1.b60270")</f>
        <v>http://babel.hathitrust.org/cgi/pt?id=uc1.b60270</v>
      </c>
      <c r="H4291" t="str">
        <f>HYPERLINK("http://catalog.hathitrust.org/Record/006578031")</f>
        <v>http://catalog.hathitrust.org/Record/006578031</v>
      </c>
      <c r="I4291" s="1" t="s">
        <v>20801</v>
      </c>
      <c r="J4291" s="1">
        <v>1921</v>
      </c>
      <c r="K4291" t="s">
        <v>10883</v>
      </c>
      <c r="L4291" t="s">
        <v>10884</v>
      </c>
    </row>
    <row r="4292" spans="1:12">
      <c r="A4292" t="s">
        <v>10887</v>
      </c>
      <c r="B4292" s="1" t="s">
        <v>10888</v>
      </c>
      <c r="F4292">
        <v>1</v>
      </c>
      <c r="G4292" t="str">
        <f>HYPERLINK("http://babel.hathitrust.org/cgi/pt?id=uc1.b60272")</f>
        <v>http://babel.hathitrust.org/cgi/pt?id=uc1.b60272</v>
      </c>
      <c r="H4292" t="str">
        <f>HYPERLINK("http://catalog.hathitrust.org/Record/006578032")</f>
        <v>http://catalog.hathitrust.org/Record/006578032</v>
      </c>
      <c r="I4292" s="1" t="s">
        <v>20916</v>
      </c>
      <c r="J4292" s="1">
        <v>1907</v>
      </c>
      <c r="K4292" t="s">
        <v>10889</v>
      </c>
      <c r="L4292" t="s">
        <v>10890</v>
      </c>
    </row>
    <row r="4293" spans="1:12">
      <c r="A4293" t="s">
        <v>10891</v>
      </c>
      <c r="B4293" s="1" t="s">
        <v>10888</v>
      </c>
      <c r="F4293">
        <v>1</v>
      </c>
      <c r="G4293" t="str">
        <f>HYPERLINK("http://babel.hathitrust.org/cgi/pt?id=uc1.b60273")</f>
        <v>http://babel.hathitrust.org/cgi/pt?id=uc1.b60273</v>
      </c>
      <c r="H4293" t="str">
        <f>HYPERLINK("http://catalog.hathitrust.org/Record/006578032")</f>
        <v>http://catalog.hathitrust.org/Record/006578032</v>
      </c>
      <c r="I4293" s="1" t="s">
        <v>20755</v>
      </c>
      <c r="J4293" s="1">
        <v>1907</v>
      </c>
      <c r="K4293" t="s">
        <v>10889</v>
      </c>
      <c r="L4293" t="s">
        <v>10890</v>
      </c>
    </row>
    <row r="4294" spans="1:12">
      <c r="A4294" t="s">
        <v>10892</v>
      </c>
      <c r="B4294" s="1" t="s">
        <v>10888</v>
      </c>
      <c r="F4294">
        <v>1</v>
      </c>
      <c r="G4294" t="str">
        <f>HYPERLINK("http://babel.hathitrust.org/cgi/pt?id=umn.31951002369281x")</f>
        <v>http://babel.hathitrust.org/cgi/pt?id=umn.31951002369281x</v>
      </c>
      <c r="H4294" t="str">
        <f>HYPERLINK("http://catalog.hathitrust.org/Record/006578032")</f>
        <v>http://catalog.hathitrust.org/Record/006578032</v>
      </c>
      <c r="I4294" s="1" t="s">
        <v>20916</v>
      </c>
      <c r="J4294" s="1">
        <v>1907</v>
      </c>
      <c r="K4294" t="s">
        <v>10889</v>
      </c>
      <c r="L4294" t="s">
        <v>10890</v>
      </c>
    </row>
    <row r="4295" spans="1:12">
      <c r="A4295" t="s">
        <v>10893</v>
      </c>
      <c r="B4295" s="1" t="s">
        <v>10888</v>
      </c>
      <c r="F4295">
        <v>1</v>
      </c>
      <c r="G4295" t="str">
        <f>HYPERLINK("http://babel.hathitrust.org/cgi/pt?id=umn.31951002369282v")</f>
        <v>http://babel.hathitrust.org/cgi/pt?id=umn.31951002369282v</v>
      </c>
      <c r="H4295" t="str">
        <f>HYPERLINK("http://catalog.hathitrust.org/Record/006578032")</f>
        <v>http://catalog.hathitrust.org/Record/006578032</v>
      </c>
      <c r="I4295" s="1" t="s">
        <v>20755</v>
      </c>
      <c r="J4295" s="1">
        <v>1907</v>
      </c>
      <c r="K4295" t="s">
        <v>10889</v>
      </c>
      <c r="L4295" t="s">
        <v>10890</v>
      </c>
    </row>
    <row r="4296" spans="1:12">
      <c r="A4296" t="s">
        <v>10894</v>
      </c>
      <c r="B4296" s="1" t="s">
        <v>10895</v>
      </c>
      <c r="F4296">
        <v>1</v>
      </c>
      <c r="G4296" t="str">
        <f>HYPERLINK("http://babel.hathitrust.org/cgi/pt?id=uc1.b63431")</f>
        <v>http://babel.hathitrust.org/cgi/pt?id=uc1.b63431</v>
      </c>
      <c r="H4296" t="str">
        <f>HYPERLINK("http://catalog.hathitrust.org/Record/006579877")</f>
        <v>http://catalog.hathitrust.org/Record/006579877</v>
      </c>
      <c r="J4296" s="1">
        <v>1911</v>
      </c>
      <c r="K4296" t="s">
        <v>10896</v>
      </c>
      <c r="L4296" t="s">
        <v>10897</v>
      </c>
    </row>
    <row r="4297" spans="1:12">
      <c r="A4297" t="s">
        <v>10898</v>
      </c>
      <c r="B4297" s="1" t="s">
        <v>10895</v>
      </c>
      <c r="F4297">
        <v>1</v>
      </c>
      <c r="G4297" t="str">
        <f>HYPERLINK("http://babel.hathitrust.org/cgi/pt?id=uc2.ark:/13960/t9571b778")</f>
        <v>http://babel.hathitrust.org/cgi/pt?id=uc2.ark:/13960/t9571b778</v>
      </c>
      <c r="H4297" t="str">
        <f>HYPERLINK("http://catalog.hathitrust.org/Record/006579877")</f>
        <v>http://catalog.hathitrust.org/Record/006579877</v>
      </c>
      <c r="J4297" s="1">
        <v>1911</v>
      </c>
      <c r="K4297" t="s">
        <v>10896</v>
      </c>
      <c r="L4297" t="s">
        <v>10897</v>
      </c>
    </row>
    <row r="4298" spans="1:12">
      <c r="A4298" t="s">
        <v>10899</v>
      </c>
      <c r="B4298" s="1" t="s">
        <v>10900</v>
      </c>
      <c r="F4298">
        <v>1</v>
      </c>
      <c r="G4298" t="str">
        <f>HYPERLINK("http://babel.hathitrust.org/cgi/pt?id=uc1.b63433")</f>
        <v>http://babel.hathitrust.org/cgi/pt?id=uc1.b63433</v>
      </c>
      <c r="H4298" t="str">
        <f>HYPERLINK("http://catalog.hathitrust.org/Record/006579879")</f>
        <v>http://catalog.hathitrust.org/Record/006579879</v>
      </c>
      <c r="J4298" s="1">
        <v>1892</v>
      </c>
      <c r="K4298" t="s">
        <v>10784</v>
      </c>
      <c r="L4298" t="s">
        <v>20507</v>
      </c>
    </row>
    <row r="4299" spans="1:12">
      <c r="A4299" t="s">
        <v>10785</v>
      </c>
      <c r="B4299" s="1" t="s">
        <v>10900</v>
      </c>
      <c r="F4299">
        <v>1</v>
      </c>
      <c r="G4299" t="str">
        <f>HYPERLINK("http://babel.hathitrust.org/cgi/pt?id=uc2.ark:/13960/t4th8dt08")</f>
        <v>http://babel.hathitrust.org/cgi/pt?id=uc2.ark:/13960/t4th8dt08</v>
      </c>
      <c r="H4299" t="str">
        <f>HYPERLINK("http://catalog.hathitrust.org/Record/006579879")</f>
        <v>http://catalog.hathitrust.org/Record/006579879</v>
      </c>
      <c r="J4299" s="1">
        <v>1892</v>
      </c>
      <c r="K4299" t="s">
        <v>10784</v>
      </c>
      <c r="L4299" t="s">
        <v>20507</v>
      </c>
    </row>
    <row r="4300" spans="1:12">
      <c r="A4300" t="s">
        <v>10786</v>
      </c>
      <c r="B4300" s="1" t="s">
        <v>10787</v>
      </c>
      <c r="E4300">
        <v>1</v>
      </c>
      <c r="G4300" t="str">
        <f>HYPERLINK("http://babel.hathitrust.org/cgi/pt?id=uc1.b66467")</f>
        <v>http://babel.hathitrust.org/cgi/pt?id=uc1.b66467</v>
      </c>
      <c r="H4300" t="str">
        <f>HYPERLINK("http://catalog.hathitrust.org/Record/006581750")</f>
        <v>http://catalog.hathitrust.org/Record/006581750</v>
      </c>
      <c r="I4300" s="1" t="s">
        <v>20796</v>
      </c>
      <c r="J4300" s="1">
        <v>1803</v>
      </c>
      <c r="K4300" t="s">
        <v>10788</v>
      </c>
      <c r="L4300" t="s">
        <v>15788</v>
      </c>
    </row>
    <row r="4301" spans="1:12">
      <c r="A4301" t="s">
        <v>10789</v>
      </c>
      <c r="B4301" s="1" t="s">
        <v>10787</v>
      </c>
      <c r="E4301">
        <v>1</v>
      </c>
      <c r="G4301" t="str">
        <f>HYPERLINK("http://babel.hathitrust.org/cgi/pt?id=uc1.b66468")</f>
        <v>http://babel.hathitrust.org/cgi/pt?id=uc1.b66468</v>
      </c>
      <c r="H4301" t="str">
        <f>HYPERLINK("http://catalog.hathitrust.org/Record/006581750")</f>
        <v>http://catalog.hathitrust.org/Record/006581750</v>
      </c>
      <c r="I4301" s="1" t="s">
        <v>20799</v>
      </c>
      <c r="J4301" s="1">
        <v>1803</v>
      </c>
      <c r="K4301" t="s">
        <v>10788</v>
      </c>
      <c r="L4301" t="s">
        <v>15788</v>
      </c>
    </row>
    <row r="4302" spans="1:12">
      <c r="A4302" t="s">
        <v>10790</v>
      </c>
      <c r="B4302" s="1" t="s">
        <v>10791</v>
      </c>
      <c r="F4302">
        <v>1</v>
      </c>
      <c r="G4302" t="str">
        <f>HYPERLINK("http://babel.hathitrust.org/cgi/pt?id=uc1.b66877")</f>
        <v>http://babel.hathitrust.org/cgi/pt?id=uc1.b66877</v>
      </c>
      <c r="H4302" t="str">
        <f>HYPERLINK("http://catalog.hathitrust.org/Record/006581970")</f>
        <v>http://catalog.hathitrust.org/Record/006581970</v>
      </c>
      <c r="J4302" s="1">
        <v>1945</v>
      </c>
      <c r="K4302" t="s">
        <v>10792</v>
      </c>
      <c r="L4302" t="s">
        <v>10793</v>
      </c>
    </row>
    <row r="4303" spans="1:12">
      <c r="A4303" t="s">
        <v>10794</v>
      </c>
      <c r="B4303" s="1" t="s">
        <v>10795</v>
      </c>
      <c r="F4303">
        <v>1</v>
      </c>
      <c r="G4303" t="str">
        <f>HYPERLINK("http://babel.hathitrust.org/cgi/pt?id=uc2.ark:/13960/t88g8j08t")</f>
        <v>http://babel.hathitrust.org/cgi/pt?id=uc2.ark:/13960/t88g8j08t</v>
      </c>
      <c r="H4303" t="str">
        <f>HYPERLINK("http://catalog.hathitrust.org/Record/006581972")</f>
        <v>http://catalog.hathitrust.org/Record/006581972</v>
      </c>
      <c r="J4303" s="1">
        <v>1913</v>
      </c>
      <c r="K4303" t="s">
        <v>10796</v>
      </c>
    </row>
    <row r="4304" spans="1:12">
      <c r="A4304" t="s">
        <v>10797</v>
      </c>
      <c r="B4304" s="1" t="s">
        <v>10798</v>
      </c>
      <c r="F4304">
        <v>1</v>
      </c>
      <c r="G4304" t="str">
        <f>HYPERLINK("http://babel.hathitrust.org/cgi/pt?id=uc1.b66885")</f>
        <v>http://babel.hathitrust.org/cgi/pt?id=uc1.b66885</v>
      </c>
      <c r="H4304" t="str">
        <f>HYPERLINK("http://catalog.hathitrust.org/Record/006581973")</f>
        <v>http://catalog.hathitrust.org/Record/006581973</v>
      </c>
      <c r="J4304" s="1">
        <v>1952</v>
      </c>
      <c r="K4304" t="s">
        <v>10799</v>
      </c>
    </row>
    <row r="4305" spans="1:12">
      <c r="A4305" t="s">
        <v>10800</v>
      </c>
      <c r="B4305" s="1" t="s">
        <v>10801</v>
      </c>
      <c r="F4305">
        <v>1</v>
      </c>
      <c r="G4305" t="str">
        <f>HYPERLINK("http://babel.hathitrust.org/cgi/pt?id=uc1.b66886")</f>
        <v>http://babel.hathitrust.org/cgi/pt?id=uc1.b66886</v>
      </c>
      <c r="H4305" t="str">
        <f>HYPERLINK("http://catalog.hathitrust.org/Record/006581974")</f>
        <v>http://catalog.hathitrust.org/Record/006581974</v>
      </c>
      <c r="J4305" s="1">
        <v>1933</v>
      </c>
      <c r="K4305" t="s">
        <v>10802</v>
      </c>
      <c r="L4305" t="s">
        <v>10803</v>
      </c>
    </row>
    <row r="4306" spans="1:12">
      <c r="A4306" t="s">
        <v>10804</v>
      </c>
      <c r="B4306" s="1" t="s">
        <v>10805</v>
      </c>
      <c r="F4306">
        <v>1</v>
      </c>
      <c r="G4306" t="str">
        <f>HYPERLINK("http://babel.hathitrust.org/cgi/pt?id=uc1.b66890")</f>
        <v>http://babel.hathitrust.org/cgi/pt?id=uc1.b66890</v>
      </c>
      <c r="H4306" t="str">
        <f>HYPERLINK("http://catalog.hathitrust.org/Record/006581977")</f>
        <v>http://catalog.hathitrust.org/Record/006581977</v>
      </c>
      <c r="J4306" s="1">
        <v>1901</v>
      </c>
      <c r="K4306" t="s">
        <v>10806</v>
      </c>
      <c r="L4306" t="s">
        <v>10807</v>
      </c>
    </row>
    <row r="4307" spans="1:12">
      <c r="A4307" t="s">
        <v>10808</v>
      </c>
      <c r="B4307" s="1" t="s">
        <v>10805</v>
      </c>
      <c r="F4307">
        <v>1</v>
      </c>
      <c r="G4307" t="str">
        <f>HYPERLINK("http://babel.hathitrust.org/cgi/pt?id=uc2.ark:/13960/t93778f4b")</f>
        <v>http://babel.hathitrust.org/cgi/pt?id=uc2.ark:/13960/t93778f4b</v>
      </c>
      <c r="H4307" t="str">
        <f>HYPERLINK("http://catalog.hathitrust.org/Record/006581977")</f>
        <v>http://catalog.hathitrust.org/Record/006581977</v>
      </c>
      <c r="J4307" s="1">
        <v>1901</v>
      </c>
      <c r="K4307" t="s">
        <v>10806</v>
      </c>
      <c r="L4307" t="s">
        <v>10807</v>
      </c>
    </row>
    <row r="4308" spans="1:12">
      <c r="A4308" t="s">
        <v>10809</v>
      </c>
      <c r="B4308" s="1" t="s">
        <v>10810</v>
      </c>
      <c r="F4308">
        <v>1</v>
      </c>
      <c r="G4308" t="str">
        <f>HYPERLINK("http://babel.hathitrust.org/cgi/pt?id=uc1.b69558")</f>
        <v>http://babel.hathitrust.org/cgi/pt?id=uc1.b69558</v>
      </c>
      <c r="H4308" t="str">
        <f>HYPERLINK("http://catalog.hathitrust.org/Record/006583259")</f>
        <v>http://catalog.hathitrust.org/Record/006583259</v>
      </c>
      <c r="J4308" s="1">
        <v>1938</v>
      </c>
      <c r="K4308" t="s">
        <v>10811</v>
      </c>
    </row>
    <row r="4309" spans="1:12">
      <c r="A4309" t="s">
        <v>10812</v>
      </c>
      <c r="B4309" s="1" t="s">
        <v>10813</v>
      </c>
      <c r="F4309">
        <v>1</v>
      </c>
      <c r="G4309" t="str">
        <f>HYPERLINK("http://babel.hathitrust.org/cgi/pt?id=loc.ark:/13960/t2k65788x")</f>
        <v>http://babel.hathitrust.org/cgi/pt?id=loc.ark:/13960/t2k65788x</v>
      </c>
      <c r="H4309" t="str">
        <f>HYPERLINK("http://catalog.hathitrust.org/Record/006583260")</f>
        <v>http://catalog.hathitrust.org/Record/006583260</v>
      </c>
      <c r="J4309" s="1">
        <v>1920</v>
      </c>
      <c r="K4309" t="s">
        <v>10814</v>
      </c>
    </row>
    <row r="4310" spans="1:12">
      <c r="A4310" t="s">
        <v>10815</v>
      </c>
      <c r="B4310" s="1" t="s">
        <v>10813</v>
      </c>
      <c r="F4310">
        <v>1</v>
      </c>
      <c r="G4310" t="str">
        <f>HYPERLINK("http://babel.hathitrust.org/cgi/pt?id=uc1.b69559")</f>
        <v>http://babel.hathitrust.org/cgi/pt?id=uc1.b69559</v>
      </c>
      <c r="H4310" t="str">
        <f>HYPERLINK("http://catalog.hathitrust.org/Record/006583260")</f>
        <v>http://catalog.hathitrust.org/Record/006583260</v>
      </c>
      <c r="J4310" s="1">
        <v>1920</v>
      </c>
      <c r="K4310" t="s">
        <v>10814</v>
      </c>
    </row>
    <row r="4311" spans="1:12">
      <c r="A4311" t="s">
        <v>10816</v>
      </c>
      <c r="B4311" s="1" t="s">
        <v>10813</v>
      </c>
      <c r="F4311">
        <v>1</v>
      </c>
      <c r="G4311" t="str">
        <f>HYPERLINK("http://babel.hathitrust.org/cgi/pt?id=uc2.ark:/13960/t40r9pc7g")</f>
        <v>http://babel.hathitrust.org/cgi/pt?id=uc2.ark:/13960/t40r9pc7g</v>
      </c>
      <c r="H4311" t="str">
        <f>HYPERLINK("http://catalog.hathitrust.org/Record/006583260")</f>
        <v>http://catalog.hathitrust.org/Record/006583260</v>
      </c>
      <c r="J4311" s="1">
        <v>1920</v>
      </c>
      <c r="K4311" t="s">
        <v>10814</v>
      </c>
    </row>
    <row r="4312" spans="1:12">
      <c r="A4312" t="s">
        <v>10817</v>
      </c>
      <c r="B4312" s="1" t="s">
        <v>10818</v>
      </c>
      <c r="F4312">
        <v>1</v>
      </c>
      <c r="G4312" t="str">
        <f>HYPERLINK("http://babel.hathitrust.org/cgi/pt?id=uc1.b70505")</f>
        <v>http://babel.hathitrust.org/cgi/pt?id=uc1.b70505</v>
      </c>
      <c r="H4312" t="str">
        <f>HYPERLINK("http://catalog.hathitrust.org/Record/006583869")</f>
        <v>http://catalog.hathitrust.org/Record/006583869</v>
      </c>
      <c r="J4312" s="1">
        <v>1912</v>
      </c>
      <c r="K4312" t="s">
        <v>10819</v>
      </c>
      <c r="L4312" t="s">
        <v>20636</v>
      </c>
    </row>
    <row r="4313" spans="1:12">
      <c r="A4313" t="s">
        <v>10820</v>
      </c>
      <c r="B4313" s="1" t="s">
        <v>10818</v>
      </c>
      <c r="F4313">
        <v>1</v>
      </c>
      <c r="G4313" t="str">
        <f>HYPERLINK("http://babel.hathitrust.org/cgi/pt?id=uc2.ark:/13960/t9r20vf0z")</f>
        <v>http://babel.hathitrust.org/cgi/pt?id=uc2.ark:/13960/t9r20vf0z</v>
      </c>
      <c r="H4313" t="str">
        <f>HYPERLINK("http://catalog.hathitrust.org/Record/006583869")</f>
        <v>http://catalog.hathitrust.org/Record/006583869</v>
      </c>
      <c r="J4313" s="1">
        <v>1912</v>
      </c>
      <c r="K4313" t="s">
        <v>10819</v>
      </c>
      <c r="L4313" t="s">
        <v>20636</v>
      </c>
    </row>
    <row r="4314" spans="1:12">
      <c r="A4314" t="s">
        <v>10821</v>
      </c>
      <c r="B4314" s="1" t="s">
        <v>10822</v>
      </c>
      <c r="F4314">
        <v>1</v>
      </c>
      <c r="G4314" t="str">
        <f>HYPERLINK("http://babel.hathitrust.org/cgi/pt?id=uc1.b72549")</f>
        <v>http://babel.hathitrust.org/cgi/pt?id=uc1.b72549</v>
      </c>
      <c r="H4314" t="str">
        <f>HYPERLINK("http://catalog.hathitrust.org/Record/006585233")</f>
        <v>http://catalog.hathitrust.org/Record/006585233</v>
      </c>
      <c r="J4314" s="1">
        <v>1918</v>
      </c>
      <c r="K4314" t="s">
        <v>10823</v>
      </c>
      <c r="L4314" t="s">
        <v>10824</v>
      </c>
    </row>
    <row r="4315" spans="1:12">
      <c r="A4315" t="s">
        <v>10825</v>
      </c>
      <c r="B4315" s="1" t="s">
        <v>10822</v>
      </c>
      <c r="F4315">
        <v>1</v>
      </c>
      <c r="G4315" t="str">
        <f>HYPERLINK("http://babel.hathitrust.org/cgi/pt?id=uc2.ark:/13960/t2m61f38z")</f>
        <v>http://babel.hathitrust.org/cgi/pt?id=uc2.ark:/13960/t2m61f38z</v>
      </c>
      <c r="H4315" t="str">
        <f>HYPERLINK("http://catalog.hathitrust.org/Record/006585233")</f>
        <v>http://catalog.hathitrust.org/Record/006585233</v>
      </c>
      <c r="J4315" s="1">
        <v>1918</v>
      </c>
      <c r="K4315" t="s">
        <v>10823</v>
      </c>
      <c r="L4315" t="s">
        <v>10824</v>
      </c>
    </row>
    <row r="4316" spans="1:12">
      <c r="A4316" t="s">
        <v>10826</v>
      </c>
      <c r="B4316" s="1" t="s">
        <v>10827</v>
      </c>
      <c r="F4316">
        <v>1</v>
      </c>
      <c r="G4316" t="str">
        <f>HYPERLINK("http://babel.hathitrust.org/cgi/pt?id=uc1.b73030")</f>
        <v>http://babel.hathitrust.org/cgi/pt?id=uc1.b73030</v>
      </c>
      <c r="H4316" t="str">
        <f>HYPERLINK("http://catalog.hathitrust.org/Record/006585461")</f>
        <v>http://catalog.hathitrust.org/Record/006585461</v>
      </c>
      <c r="J4316" s="1">
        <v>1912</v>
      </c>
      <c r="K4316" t="s">
        <v>10828</v>
      </c>
    </row>
    <row r="4317" spans="1:12">
      <c r="A4317" t="s">
        <v>10829</v>
      </c>
      <c r="B4317" s="1" t="s">
        <v>10827</v>
      </c>
      <c r="F4317">
        <v>1</v>
      </c>
      <c r="G4317" t="str">
        <f>HYPERLINK("http://babel.hathitrust.org/cgi/pt?id=uc2.ark:/13960/t7mp4z282")</f>
        <v>http://babel.hathitrust.org/cgi/pt?id=uc2.ark:/13960/t7mp4z282</v>
      </c>
      <c r="H4317" t="str">
        <f>HYPERLINK("http://catalog.hathitrust.org/Record/006585461")</f>
        <v>http://catalog.hathitrust.org/Record/006585461</v>
      </c>
      <c r="J4317" s="1">
        <v>1912</v>
      </c>
      <c r="K4317" t="s">
        <v>10828</v>
      </c>
    </row>
    <row r="4318" spans="1:12">
      <c r="A4318" t="s">
        <v>10830</v>
      </c>
      <c r="B4318" s="1" t="s">
        <v>10831</v>
      </c>
      <c r="F4318">
        <v>1</v>
      </c>
      <c r="G4318" t="str">
        <f>HYPERLINK("http://babel.hathitrust.org/cgi/pt?id=uc1.b73031")</f>
        <v>http://babel.hathitrust.org/cgi/pt?id=uc1.b73031</v>
      </c>
      <c r="H4318" t="str">
        <f>HYPERLINK("http://catalog.hathitrust.org/Record/006585462")</f>
        <v>http://catalog.hathitrust.org/Record/006585462</v>
      </c>
      <c r="J4318" s="1">
        <v>1915</v>
      </c>
      <c r="K4318" t="s">
        <v>10832</v>
      </c>
      <c r="L4318" t="s">
        <v>10833</v>
      </c>
    </row>
    <row r="4319" spans="1:12">
      <c r="A4319" t="s">
        <v>10834</v>
      </c>
      <c r="B4319" s="1" t="s">
        <v>10831</v>
      </c>
      <c r="F4319">
        <v>1</v>
      </c>
      <c r="G4319" t="str">
        <f>HYPERLINK("http://babel.hathitrust.org/cgi/pt?id=uc2.ark:/13960/t53f4p03t")</f>
        <v>http://babel.hathitrust.org/cgi/pt?id=uc2.ark:/13960/t53f4p03t</v>
      </c>
      <c r="H4319" t="str">
        <f>HYPERLINK("http://catalog.hathitrust.org/Record/006585462")</f>
        <v>http://catalog.hathitrust.org/Record/006585462</v>
      </c>
      <c r="J4319" s="1">
        <v>1915</v>
      </c>
      <c r="K4319" t="s">
        <v>10832</v>
      </c>
      <c r="L4319" t="s">
        <v>10833</v>
      </c>
    </row>
    <row r="4320" spans="1:12">
      <c r="A4320" t="s">
        <v>10835</v>
      </c>
      <c r="B4320" s="1" t="s">
        <v>10836</v>
      </c>
      <c r="F4320">
        <v>1</v>
      </c>
      <c r="G4320" t="str">
        <f>HYPERLINK("http://babel.hathitrust.org/cgi/pt?id=uc1.b73072")</f>
        <v>http://babel.hathitrust.org/cgi/pt?id=uc1.b73072</v>
      </c>
      <c r="H4320" t="str">
        <f>HYPERLINK("http://catalog.hathitrust.org/Record/006585477")</f>
        <v>http://catalog.hathitrust.org/Record/006585477</v>
      </c>
      <c r="J4320" s="1">
        <v>1914</v>
      </c>
      <c r="K4320" t="s">
        <v>10837</v>
      </c>
    </row>
    <row r="4321" spans="1:12">
      <c r="A4321" t="s">
        <v>10838</v>
      </c>
      <c r="B4321" s="1" t="s">
        <v>10836</v>
      </c>
      <c r="F4321">
        <v>1</v>
      </c>
      <c r="G4321" t="str">
        <f>HYPERLINK("http://babel.hathitrust.org/cgi/pt?id=uc2.ark:/13960/t6057g666")</f>
        <v>http://babel.hathitrust.org/cgi/pt?id=uc2.ark:/13960/t6057g666</v>
      </c>
      <c r="H4321" t="str">
        <f>HYPERLINK("http://catalog.hathitrust.org/Record/006585477")</f>
        <v>http://catalog.hathitrust.org/Record/006585477</v>
      </c>
      <c r="J4321" s="1">
        <v>1914</v>
      </c>
      <c r="K4321" t="s">
        <v>10837</v>
      </c>
    </row>
    <row r="4322" spans="1:12">
      <c r="A4322" t="s">
        <v>10839</v>
      </c>
      <c r="B4322" s="1" t="s">
        <v>10724</v>
      </c>
      <c r="F4322">
        <v>1</v>
      </c>
      <c r="G4322" t="str">
        <f>HYPERLINK("http://babel.hathitrust.org/cgi/pt?id=uc1.b73073")</f>
        <v>http://babel.hathitrust.org/cgi/pt?id=uc1.b73073</v>
      </c>
      <c r="H4322" t="str">
        <f>HYPERLINK("http://catalog.hathitrust.org/Record/006585478")</f>
        <v>http://catalog.hathitrust.org/Record/006585478</v>
      </c>
      <c r="J4322" s="1">
        <v>1923</v>
      </c>
      <c r="K4322" t="s">
        <v>10725</v>
      </c>
    </row>
    <row r="4323" spans="1:12">
      <c r="A4323" t="s">
        <v>10726</v>
      </c>
      <c r="B4323" s="1" t="s">
        <v>10727</v>
      </c>
      <c r="F4323">
        <v>1</v>
      </c>
      <c r="G4323" t="str">
        <f>HYPERLINK("http://babel.hathitrust.org/cgi/pt?id=uc1.b73076")</f>
        <v>http://babel.hathitrust.org/cgi/pt?id=uc1.b73076</v>
      </c>
      <c r="H4323" t="str">
        <f>HYPERLINK("http://catalog.hathitrust.org/Record/006585479")</f>
        <v>http://catalog.hathitrust.org/Record/006585479</v>
      </c>
      <c r="J4323" s="1">
        <v>1928</v>
      </c>
      <c r="K4323" t="s">
        <v>10728</v>
      </c>
      <c r="L4323" t="s">
        <v>10729</v>
      </c>
    </row>
    <row r="4324" spans="1:12">
      <c r="A4324" t="s">
        <v>10730</v>
      </c>
      <c r="B4324" s="1" t="s">
        <v>10731</v>
      </c>
      <c r="F4324">
        <v>1</v>
      </c>
      <c r="G4324" t="str">
        <f>HYPERLINK("http://babel.hathitrust.org/cgi/pt?id=uc1.b73081")</f>
        <v>http://babel.hathitrust.org/cgi/pt?id=uc1.b73081</v>
      </c>
      <c r="H4324" t="str">
        <f>HYPERLINK("http://catalog.hathitrust.org/Record/006585481")</f>
        <v>http://catalog.hathitrust.org/Record/006585481</v>
      </c>
      <c r="J4324" s="1">
        <v>1925</v>
      </c>
      <c r="K4324" t="s">
        <v>10732</v>
      </c>
      <c r="L4324" t="s">
        <v>10733</v>
      </c>
    </row>
    <row r="4325" spans="1:12">
      <c r="A4325" t="s">
        <v>10734</v>
      </c>
      <c r="B4325" s="1" t="s">
        <v>10735</v>
      </c>
      <c r="F4325">
        <v>1</v>
      </c>
      <c r="G4325" t="str">
        <f>HYPERLINK("http://babel.hathitrust.org/cgi/pt?id=uc1.b74834")</f>
        <v>http://babel.hathitrust.org/cgi/pt?id=uc1.b74834</v>
      </c>
      <c r="H4325" t="str">
        <f>HYPERLINK("http://catalog.hathitrust.org/Record/006586342")</f>
        <v>http://catalog.hathitrust.org/Record/006586342</v>
      </c>
      <c r="J4325" s="1">
        <v>1859</v>
      </c>
      <c r="K4325" t="s">
        <v>16213</v>
      </c>
      <c r="L4325" t="s">
        <v>10736</v>
      </c>
    </row>
    <row r="4326" spans="1:12">
      <c r="A4326" t="s">
        <v>10737</v>
      </c>
      <c r="B4326" s="1" t="s">
        <v>10735</v>
      </c>
      <c r="F4326">
        <v>1</v>
      </c>
      <c r="G4326" t="str">
        <f>HYPERLINK("http://babel.hathitrust.org/cgi/pt?id=uc2.ark:/13960/fk73t9dq4f")</f>
        <v>http://babel.hathitrust.org/cgi/pt?id=uc2.ark:/13960/fk73t9dq4f</v>
      </c>
      <c r="H4326" t="str">
        <f>HYPERLINK("http://catalog.hathitrust.org/Record/006586342")</f>
        <v>http://catalog.hathitrust.org/Record/006586342</v>
      </c>
      <c r="J4326" s="1">
        <v>1859</v>
      </c>
      <c r="K4326" t="s">
        <v>16213</v>
      </c>
      <c r="L4326" t="s">
        <v>10736</v>
      </c>
    </row>
    <row r="4327" spans="1:12">
      <c r="A4327" t="s">
        <v>10738</v>
      </c>
      <c r="B4327" s="1" t="s">
        <v>10739</v>
      </c>
      <c r="F4327">
        <v>1</v>
      </c>
      <c r="G4327" t="str">
        <f>HYPERLINK("http://babel.hathitrust.org/cgi/pt?id=uc1.b76387")</f>
        <v>http://babel.hathitrust.org/cgi/pt?id=uc1.b76387</v>
      </c>
      <c r="H4327" t="str">
        <f>HYPERLINK("http://catalog.hathitrust.org/Record/006587220")</f>
        <v>http://catalog.hathitrust.org/Record/006587220</v>
      </c>
      <c r="J4327" s="1">
        <v>1915</v>
      </c>
      <c r="K4327" t="s">
        <v>10740</v>
      </c>
      <c r="L4327" t="s">
        <v>10741</v>
      </c>
    </row>
    <row r="4328" spans="1:12">
      <c r="A4328" t="s">
        <v>10742</v>
      </c>
      <c r="B4328" s="1" t="s">
        <v>10739</v>
      </c>
      <c r="F4328">
        <v>1</v>
      </c>
      <c r="G4328" t="str">
        <f>HYPERLINK("http://babel.hathitrust.org/cgi/pt?id=uc2.ark:/13960/t25b0161x")</f>
        <v>http://babel.hathitrust.org/cgi/pt?id=uc2.ark:/13960/t25b0161x</v>
      </c>
      <c r="H4328" t="str">
        <f>HYPERLINK("http://catalog.hathitrust.org/Record/006587220")</f>
        <v>http://catalog.hathitrust.org/Record/006587220</v>
      </c>
      <c r="J4328" s="1">
        <v>1915</v>
      </c>
      <c r="K4328" t="s">
        <v>10740</v>
      </c>
      <c r="L4328" t="s">
        <v>10741</v>
      </c>
    </row>
    <row r="4329" spans="1:12">
      <c r="A4329" t="s">
        <v>10743</v>
      </c>
      <c r="B4329" s="1" t="s">
        <v>10744</v>
      </c>
      <c r="D4329">
        <v>1</v>
      </c>
      <c r="G4329" t="str">
        <f>HYPERLINK("http://babel.hathitrust.org/cgi/pt?id=hvd.32044019966043")</f>
        <v>http://babel.hathitrust.org/cgi/pt?id=hvd.32044019966043</v>
      </c>
      <c r="H4329" t="str">
        <f>HYPERLINK("http://catalog.hathitrust.org/Record/006591833")</f>
        <v>http://catalog.hathitrust.org/Record/006591833</v>
      </c>
      <c r="J4329" s="1">
        <v>1860</v>
      </c>
      <c r="K4329" t="s">
        <v>10745</v>
      </c>
      <c r="L4329" t="s">
        <v>13169</v>
      </c>
    </row>
    <row r="4330" spans="1:12">
      <c r="A4330" t="s">
        <v>10746</v>
      </c>
      <c r="B4330" s="1" t="s">
        <v>10747</v>
      </c>
      <c r="F4330">
        <v>1</v>
      </c>
      <c r="G4330" t="str">
        <f>HYPERLINK("http://babel.hathitrust.org/cgi/pt?id=uc1.b86368")</f>
        <v>http://babel.hathitrust.org/cgi/pt?id=uc1.b86368</v>
      </c>
      <c r="H4330" t="str">
        <f>HYPERLINK("http://catalog.hathitrust.org/Record/006592911")</f>
        <v>http://catalog.hathitrust.org/Record/006592911</v>
      </c>
      <c r="I4330" s="1" t="s">
        <v>20916</v>
      </c>
      <c r="J4330" s="1">
        <v>1917</v>
      </c>
      <c r="K4330" t="s">
        <v>10748</v>
      </c>
      <c r="L4330" t="s">
        <v>10749</v>
      </c>
    </row>
    <row r="4331" spans="1:12">
      <c r="A4331" t="s">
        <v>10750</v>
      </c>
      <c r="B4331" s="1" t="s">
        <v>10751</v>
      </c>
      <c r="F4331">
        <v>1</v>
      </c>
      <c r="G4331" t="str">
        <f>HYPERLINK("http://babel.hathitrust.org/cgi/pt?id=uc1.b87707")</f>
        <v>http://babel.hathitrust.org/cgi/pt?id=uc1.b87707</v>
      </c>
      <c r="H4331" t="str">
        <f>HYPERLINK("http://catalog.hathitrust.org/Record/006593663")</f>
        <v>http://catalog.hathitrust.org/Record/006593663</v>
      </c>
      <c r="J4331" s="1">
        <v>1922</v>
      </c>
      <c r="K4331" t="s">
        <v>10752</v>
      </c>
      <c r="L4331" t="s">
        <v>15190</v>
      </c>
    </row>
    <row r="4332" spans="1:12">
      <c r="A4332" t="s">
        <v>10753</v>
      </c>
      <c r="B4332" s="1" t="s">
        <v>10751</v>
      </c>
      <c r="F4332">
        <v>1</v>
      </c>
      <c r="G4332" t="str">
        <f>HYPERLINK("http://babel.hathitrust.org/cgi/pt?id=uc2.ark:/13960/t1fj2cf93")</f>
        <v>http://babel.hathitrust.org/cgi/pt?id=uc2.ark:/13960/t1fj2cf93</v>
      </c>
      <c r="H4332" t="str">
        <f>HYPERLINK("http://catalog.hathitrust.org/Record/006593663")</f>
        <v>http://catalog.hathitrust.org/Record/006593663</v>
      </c>
      <c r="J4332" s="1">
        <v>1922</v>
      </c>
      <c r="K4332" t="s">
        <v>10752</v>
      </c>
      <c r="L4332" t="s">
        <v>15190</v>
      </c>
    </row>
    <row r="4333" spans="1:12">
      <c r="A4333" t="s">
        <v>10754</v>
      </c>
      <c r="B4333" s="1" t="s">
        <v>10755</v>
      </c>
      <c r="F4333">
        <v>1</v>
      </c>
      <c r="G4333" t="str">
        <f>HYPERLINK("http://babel.hathitrust.org/cgi/pt?id=uc1.b92317")</f>
        <v>http://babel.hathitrust.org/cgi/pt?id=uc1.b92317</v>
      </c>
      <c r="H4333" t="str">
        <f>HYPERLINK("http://catalog.hathitrust.org/Record/006596438")</f>
        <v>http://catalog.hathitrust.org/Record/006596438</v>
      </c>
      <c r="J4333" s="1">
        <v>1947</v>
      </c>
      <c r="K4333" t="s">
        <v>10756</v>
      </c>
      <c r="L4333" t="s">
        <v>10757</v>
      </c>
    </row>
    <row r="4334" spans="1:12">
      <c r="A4334" t="s">
        <v>10758</v>
      </c>
      <c r="B4334" s="1" t="s">
        <v>10759</v>
      </c>
      <c r="F4334">
        <v>1</v>
      </c>
      <c r="G4334" t="str">
        <f>HYPERLINK("http://babel.hathitrust.org/cgi/pt?id=uc1.b92972")</f>
        <v>http://babel.hathitrust.org/cgi/pt?id=uc1.b92972</v>
      </c>
      <c r="H4334" t="str">
        <f>HYPERLINK("http://catalog.hathitrust.org/Record/006596762")</f>
        <v>http://catalog.hathitrust.org/Record/006596762</v>
      </c>
      <c r="J4334" s="1">
        <v>1904</v>
      </c>
      <c r="K4334" t="s">
        <v>10760</v>
      </c>
    </row>
    <row r="4335" spans="1:12">
      <c r="A4335" t="s">
        <v>10761</v>
      </c>
      <c r="B4335" s="1" t="s">
        <v>10759</v>
      </c>
      <c r="F4335">
        <v>1</v>
      </c>
      <c r="G4335" t="str">
        <f>HYPERLINK("http://babel.hathitrust.org/cgi/pt?id=uc2.ark:/13960/t4nk38f0x")</f>
        <v>http://babel.hathitrust.org/cgi/pt?id=uc2.ark:/13960/t4nk38f0x</v>
      </c>
      <c r="H4335" t="str">
        <f>HYPERLINK("http://catalog.hathitrust.org/Record/006596762")</f>
        <v>http://catalog.hathitrust.org/Record/006596762</v>
      </c>
      <c r="J4335" s="1">
        <v>1904</v>
      </c>
      <c r="K4335" t="s">
        <v>10760</v>
      </c>
    </row>
    <row r="4336" spans="1:12">
      <c r="A4336" t="s">
        <v>10762</v>
      </c>
      <c r="B4336" s="1" t="s">
        <v>10763</v>
      </c>
      <c r="F4336">
        <v>1</v>
      </c>
      <c r="G4336" t="str">
        <f>HYPERLINK("http://babel.hathitrust.org/cgi/pt?id=uc1.b92978")</f>
        <v>http://babel.hathitrust.org/cgi/pt?id=uc1.b92978</v>
      </c>
      <c r="H4336" t="str">
        <f>HYPERLINK("http://catalog.hathitrust.org/Record/006596764")</f>
        <v>http://catalog.hathitrust.org/Record/006596764</v>
      </c>
      <c r="J4336" s="1">
        <v>1902</v>
      </c>
      <c r="K4336" t="s">
        <v>10764</v>
      </c>
      <c r="L4336" t="s">
        <v>11910</v>
      </c>
    </row>
    <row r="4337" spans="1:12">
      <c r="A4337" t="s">
        <v>10765</v>
      </c>
      <c r="B4337" s="1" t="s">
        <v>10763</v>
      </c>
      <c r="F4337">
        <v>1</v>
      </c>
      <c r="G4337" t="str">
        <f>HYPERLINK("http://babel.hathitrust.org/cgi/pt?id=uc2.ark:/13960/t3jw88v03")</f>
        <v>http://babel.hathitrust.org/cgi/pt?id=uc2.ark:/13960/t3jw88v03</v>
      </c>
      <c r="H4337" t="str">
        <f>HYPERLINK("http://catalog.hathitrust.org/Record/006596764")</f>
        <v>http://catalog.hathitrust.org/Record/006596764</v>
      </c>
      <c r="J4337" s="1">
        <v>1902</v>
      </c>
      <c r="K4337" t="s">
        <v>10764</v>
      </c>
      <c r="L4337" t="s">
        <v>11910</v>
      </c>
    </row>
    <row r="4338" spans="1:12">
      <c r="A4338" t="s">
        <v>10766</v>
      </c>
      <c r="B4338" s="1" t="s">
        <v>10767</v>
      </c>
      <c r="F4338">
        <v>1</v>
      </c>
      <c r="G4338" t="str">
        <f>HYPERLINK("http://babel.hathitrust.org/cgi/pt?id=uc1.b93824")</f>
        <v>http://babel.hathitrust.org/cgi/pt?id=uc1.b93824</v>
      </c>
      <c r="H4338" t="str">
        <f>HYPERLINK("http://catalog.hathitrust.org/Record/006597200")</f>
        <v>http://catalog.hathitrust.org/Record/006597200</v>
      </c>
      <c r="I4338" s="1" t="s">
        <v>17050</v>
      </c>
      <c r="J4338" s="1">
        <v>1935</v>
      </c>
      <c r="K4338" t="s">
        <v>10768</v>
      </c>
    </row>
    <row r="4339" spans="1:12">
      <c r="A4339" t="s">
        <v>10769</v>
      </c>
      <c r="B4339" s="1" t="s">
        <v>10770</v>
      </c>
      <c r="E4339">
        <v>1</v>
      </c>
      <c r="G4339" t="str">
        <f>HYPERLINK("http://babel.hathitrust.org/cgi/pt?id=njp.32101065979518")</f>
        <v>http://babel.hathitrust.org/cgi/pt?id=njp.32101065979518</v>
      </c>
      <c r="H4339" t="str">
        <f>HYPERLINK("http://catalog.hathitrust.org/Record/006598474")</f>
        <v>http://catalog.hathitrust.org/Record/006598474</v>
      </c>
      <c r="J4339" s="1">
        <v>1911</v>
      </c>
      <c r="K4339" t="s">
        <v>10771</v>
      </c>
      <c r="L4339" t="s">
        <v>10772</v>
      </c>
    </row>
    <row r="4340" spans="1:12">
      <c r="A4340" t="s">
        <v>10773</v>
      </c>
      <c r="B4340" s="1" t="s">
        <v>10774</v>
      </c>
      <c r="F4340">
        <v>1</v>
      </c>
      <c r="G4340" t="str">
        <f>HYPERLINK("http://babel.hathitrust.org/cgi/pt?id=uc1.b96117")</f>
        <v>http://babel.hathitrust.org/cgi/pt?id=uc1.b96117</v>
      </c>
      <c r="H4340" t="str">
        <f>HYPERLINK("http://catalog.hathitrust.org/Record/006598565")</f>
        <v>http://catalog.hathitrust.org/Record/006598565</v>
      </c>
      <c r="J4340" s="1">
        <v>1929</v>
      </c>
      <c r="K4340" t="s">
        <v>10775</v>
      </c>
      <c r="L4340" t="s">
        <v>10776</v>
      </c>
    </row>
    <row r="4341" spans="1:12">
      <c r="A4341" t="s">
        <v>10777</v>
      </c>
      <c r="B4341" s="1" t="s">
        <v>10778</v>
      </c>
      <c r="F4341">
        <v>1</v>
      </c>
      <c r="G4341" t="str">
        <f>HYPERLINK("http://babel.hathitrust.org/cgi/pt?id=uc1.b98771")</f>
        <v>http://babel.hathitrust.org/cgi/pt?id=uc1.b98771</v>
      </c>
      <c r="H4341" t="str">
        <f>HYPERLINK("http://catalog.hathitrust.org/Record/006599884")</f>
        <v>http://catalog.hathitrust.org/Record/006599884</v>
      </c>
      <c r="J4341" s="1">
        <v>1880</v>
      </c>
      <c r="K4341" t="s">
        <v>10779</v>
      </c>
      <c r="L4341" t="s">
        <v>10780</v>
      </c>
    </row>
    <row r="4342" spans="1:12">
      <c r="A4342" t="s">
        <v>10781</v>
      </c>
      <c r="B4342" s="1" t="s">
        <v>10778</v>
      </c>
      <c r="F4342">
        <v>1</v>
      </c>
      <c r="G4342" t="str">
        <f>HYPERLINK("http://babel.hathitrust.org/cgi/pt?id=uc2.ark:/13960/t5r788144")</f>
        <v>http://babel.hathitrust.org/cgi/pt?id=uc2.ark:/13960/t5r788144</v>
      </c>
      <c r="H4342" t="str">
        <f>HYPERLINK("http://catalog.hathitrust.org/Record/006599884")</f>
        <v>http://catalog.hathitrust.org/Record/006599884</v>
      </c>
      <c r="J4342" s="1">
        <v>1880</v>
      </c>
      <c r="K4342" t="s">
        <v>10779</v>
      </c>
      <c r="L4342" t="s">
        <v>10780</v>
      </c>
    </row>
    <row r="4343" spans="1:12">
      <c r="A4343" t="s">
        <v>10782</v>
      </c>
      <c r="B4343" s="1" t="s">
        <v>10783</v>
      </c>
      <c r="F4343">
        <v>1</v>
      </c>
      <c r="G4343" t="str">
        <f>HYPERLINK("http://babel.hathitrust.org/cgi/pt?id=uc1.b110082")</f>
        <v>http://babel.hathitrust.org/cgi/pt?id=uc1.b110082</v>
      </c>
      <c r="H4343" t="str">
        <f>HYPERLINK("http://catalog.hathitrust.org/Record/006606121")</f>
        <v>http://catalog.hathitrust.org/Record/006606121</v>
      </c>
      <c r="J4343" s="1">
        <v>1810</v>
      </c>
      <c r="K4343" t="s">
        <v>10677</v>
      </c>
      <c r="L4343" t="s">
        <v>10678</v>
      </c>
    </row>
    <row r="4344" spans="1:12">
      <c r="A4344" t="s">
        <v>10679</v>
      </c>
      <c r="B4344" s="1" t="s">
        <v>10783</v>
      </c>
      <c r="F4344">
        <v>1</v>
      </c>
      <c r="G4344" t="str">
        <f>HYPERLINK("http://babel.hathitrust.org/cgi/pt?id=uc2.ark:/13960/t0tq5tg0k")</f>
        <v>http://babel.hathitrust.org/cgi/pt?id=uc2.ark:/13960/t0tq5tg0k</v>
      </c>
      <c r="H4344" t="str">
        <f>HYPERLINK("http://catalog.hathitrust.org/Record/006606121")</f>
        <v>http://catalog.hathitrust.org/Record/006606121</v>
      </c>
      <c r="J4344" s="1">
        <v>1810</v>
      </c>
      <c r="K4344" t="s">
        <v>10677</v>
      </c>
      <c r="L4344" t="s">
        <v>10678</v>
      </c>
    </row>
    <row r="4345" spans="1:12">
      <c r="A4345" t="s">
        <v>10680</v>
      </c>
      <c r="B4345" s="1" t="s">
        <v>10783</v>
      </c>
      <c r="F4345">
        <v>1</v>
      </c>
      <c r="G4345" t="str">
        <f>HYPERLINK("http://babel.hathitrust.org/cgi/pt?id=yale.39002088447587")</f>
        <v>http://babel.hathitrust.org/cgi/pt?id=yale.39002088447587</v>
      </c>
      <c r="H4345" t="str">
        <f>HYPERLINK("http://catalog.hathitrust.org/Record/006606121")</f>
        <v>http://catalog.hathitrust.org/Record/006606121</v>
      </c>
      <c r="J4345" s="1">
        <v>1810</v>
      </c>
      <c r="K4345" t="s">
        <v>10677</v>
      </c>
      <c r="L4345" t="s">
        <v>10678</v>
      </c>
    </row>
    <row r="4346" spans="1:12">
      <c r="A4346" t="s">
        <v>10681</v>
      </c>
      <c r="B4346" s="1" t="s">
        <v>10682</v>
      </c>
      <c r="F4346">
        <v>1</v>
      </c>
      <c r="G4346" t="str">
        <f>HYPERLINK("http://babel.hathitrust.org/cgi/pt?id=nyp.33433074785928")</f>
        <v>http://babel.hathitrust.org/cgi/pt?id=nyp.33433074785928</v>
      </c>
      <c r="H4346" t="str">
        <f>HYPERLINK("http://catalog.hathitrust.org/Record/006607323")</f>
        <v>http://catalog.hathitrust.org/Record/006607323</v>
      </c>
      <c r="I4346" s="1" t="s">
        <v>20701</v>
      </c>
      <c r="J4346" s="1">
        <v>1885</v>
      </c>
      <c r="K4346" t="s">
        <v>10683</v>
      </c>
      <c r="L4346" t="s">
        <v>14746</v>
      </c>
    </row>
    <row r="4347" spans="1:12">
      <c r="A4347" t="s">
        <v>10684</v>
      </c>
      <c r="B4347" s="1" t="s">
        <v>10682</v>
      </c>
      <c r="F4347">
        <v>1</v>
      </c>
      <c r="G4347" t="str">
        <f>HYPERLINK("http://babel.hathitrust.org/cgi/pt?id=uc1.b112265")</f>
        <v>http://babel.hathitrust.org/cgi/pt?id=uc1.b112265</v>
      </c>
      <c r="H4347" t="str">
        <f>HYPERLINK("http://catalog.hathitrust.org/Record/006607323")</f>
        <v>http://catalog.hathitrust.org/Record/006607323</v>
      </c>
      <c r="J4347" s="1">
        <v>1885</v>
      </c>
      <c r="K4347" t="s">
        <v>10683</v>
      </c>
      <c r="L4347" t="s">
        <v>14746</v>
      </c>
    </row>
    <row r="4348" spans="1:12">
      <c r="A4348" t="s">
        <v>10685</v>
      </c>
      <c r="B4348" s="1" t="s">
        <v>10682</v>
      </c>
      <c r="F4348">
        <v>1</v>
      </c>
      <c r="G4348" t="str">
        <f>HYPERLINK("http://babel.hathitrust.org/cgi/pt?id=uc2.ark:/13960/t6qz2501x")</f>
        <v>http://babel.hathitrust.org/cgi/pt?id=uc2.ark:/13960/t6qz2501x</v>
      </c>
      <c r="H4348" t="str">
        <f>HYPERLINK("http://catalog.hathitrust.org/Record/006607323")</f>
        <v>http://catalog.hathitrust.org/Record/006607323</v>
      </c>
      <c r="J4348" s="1">
        <v>1885</v>
      </c>
      <c r="K4348" t="s">
        <v>10683</v>
      </c>
      <c r="L4348" t="s">
        <v>14746</v>
      </c>
    </row>
    <row r="4349" spans="1:12">
      <c r="A4349" t="s">
        <v>10686</v>
      </c>
      <c r="B4349" s="1" t="s">
        <v>10687</v>
      </c>
      <c r="F4349">
        <v>1</v>
      </c>
      <c r="G4349" t="str">
        <f>HYPERLINK("http://babel.hathitrust.org/cgi/pt?id=uc1.b112269")</f>
        <v>http://babel.hathitrust.org/cgi/pt?id=uc1.b112269</v>
      </c>
      <c r="H4349" t="str">
        <f>HYPERLINK("http://catalog.hathitrust.org/Record/006607325")</f>
        <v>http://catalog.hathitrust.org/Record/006607325</v>
      </c>
      <c r="J4349" s="1">
        <v>1929</v>
      </c>
      <c r="K4349" t="s">
        <v>10688</v>
      </c>
      <c r="L4349" t="s">
        <v>10689</v>
      </c>
    </row>
    <row r="4350" spans="1:12">
      <c r="A4350" t="s">
        <v>10690</v>
      </c>
      <c r="B4350" s="1" t="s">
        <v>10691</v>
      </c>
      <c r="F4350">
        <v>1</v>
      </c>
      <c r="G4350" t="str">
        <f>HYPERLINK("http://babel.hathitrust.org/cgi/pt?id=uc1.b112301")</f>
        <v>http://babel.hathitrust.org/cgi/pt?id=uc1.b112301</v>
      </c>
      <c r="H4350" t="str">
        <f>HYPERLINK("http://catalog.hathitrust.org/Record/006607341")</f>
        <v>http://catalog.hathitrust.org/Record/006607341</v>
      </c>
      <c r="I4350" s="1" t="s">
        <v>20796</v>
      </c>
      <c r="J4350" s="1">
        <v>1871</v>
      </c>
      <c r="K4350" t="s">
        <v>13703</v>
      </c>
      <c r="L4350" t="s">
        <v>17914</v>
      </c>
    </row>
    <row r="4351" spans="1:12">
      <c r="A4351" t="s">
        <v>10692</v>
      </c>
      <c r="B4351" s="1" t="s">
        <v>10693</v>
      </c>
      <c r="F4351">
        <v>1</v>
      </c>
      <c r="G4351" t="str">
        <f>HYPERLINK("http://babel.hathitrust.org/cgi/pt?id=uc1.b113123")</f>
        <v>http://babel.hathitrust.org/cgi/pt?id=uc1.b113123</v>
      </c>
      <c r="H4351" t="str">
        <f>HYPERLINK("http://catalog.hathitrust.org/Record/006607748")</f>
        <v>http://catalog.hathitrust.org/Record/006607748</v>
      </c>
      <c r="J4351" s="1">
        <v>1903</v>
      </c>
      <c r="K4351" t="s">
        <v>10694</v>
      </c>
    </row>
    <row r="4352" spans="1:12">
      <c r="A4352" t="s">
        <v>10695</v>
      </c>
      <c r="B4352" s="1" t="s">
        <v>10693</v>
      </c>
      <c r="F4352">
        <v>1</v>
      </c>
      <c r="G4352" t="str">
        <f>HYPERLINK("http://babel.hathitrust.org/cgi/pt?id=uc2.ark:/13960/t38050w4k")</f>
        <v>http://babel.hathitrust.org/cgi/pt?id=uc2.ark:/13960/t38050w4k</v>
      </c>
      <c r="H4352" t="str">
        <f>HYPERLINK("http://catalog.hathitrust.org/Record/006607748")</f>
        <v>http://catalog.hathitrust.org/Record/006607748</v>
      </c>
      <c r="J4352" s="1">
        <v>1903</v>
      </c>
      <c r="K4352" t="s">
        <v>10694</v>
      </c>
    </row>
    <row r="4353" spans="1:12">
      <c r="A4353" t="s">
        <v>10696</v>
      </c>
      <c r="B4353" s="1" t="s">
        <v>10697</v>
      </c>
      <c r="F4353">
        <v>1</v>
      </c>
      <c r="G4353" t="str">
        <f>HYPERLINK("http://babel.hathitrust.org/cgi/pt?id=uc1.b114351")</f>
        <v>http://babel.hathitrust.org/cgi/pt?id=uc1.b114351</v>
      </c>
      <c r="H4353" t="str">
        <f>HYPERLINK("http://catalog.hathitrust.org/Record/006608282")</f>
        <v>http://catalog.hathitrust.org/Record/006608282</v>
      </c>
      <c r="J4353" s="1">
        <v>1904</v>
      </c>
      <c r="K4353" t="s">
        <v>10698</v>
      </c>
      <c r="L4353" t="s">
        <v>20960</v>
      </c>
    </row>
    <row r="4354" spans="1:12">
      <c r="A4354" t="s">
        <v>10699</v>
      </c>
      <c r="B4354" s="1" t="s">
        <v>10697</v>
      </c>
      <c r="F4354">
        <v>1</v>
      </c>
      <c r="G4354" t="str">
        <f>HYPERLINK("http://babel.hathitrust.org/cgi/pt?id=uc2.ark:/13960/t1rf5nm06")</f>
        <v>http://babel.hathitrust.org/cgi/pt?id=uc2.ark:/13960/t1rf5nm06</v>
      </c>
      <c r="H4354" t="str">
        <f>HYPERLINK("http://catalog.hathitrust.org/Record/006608282")</f>
        <v>http://catalog.hathitrust.org/Record/006608282</v>
      </c>
      <c r="J4354" s="1">
        <v>1904</v>
      </c>
      <c r="K4354" t="s">
        <v>10698</v>
      </c>
      <c r="L4354" t="s">
        <v>20960</v>
      </c>
    </row>
    <row r="4355" spans="1:12">
      <c r="A4355" t="s">
        <v>10700</v>
      </c>
      <c r="B4355" s="1" t="s">
        <v>10701</v>
      </c>
      <c r="F4355">
        <v>1</v>
      </c>
      <c r="G4355" t="str">
        <f>HYPERLINK("http://babel.hathitrust.org/cgi/pt?id=uc1.b115759")</f>
        <v>http://babel.hathitrust.org/cgi/pt?id=uc1.b115759</v>
      </c>
      <c r="H4355" t="str">
        <f>HYPERLINK("http://catalog.hathitrust.org/Record/006609135")</f>
        <v>http://catalog.hathitrust.org/Record/006609135</v>
      </c>
      <c r="J4355" s="1">
        <v>1906</v>
      </c>
      <c r="K4355" t="s">
        <v>10702</v>
      </c>
      <c r="L4355" t="s">
        <v>10703</v>
      </c>
    </row>
    <row r="4356" spans="1:12">
      <c r="A4356" t="s">
        <v>10704</v>
      </c>
      <c r="B4356" s="1" t="s">
        <v>10705</v>
      </c>
      <c r="D4356">
        <v>1</v>
      </c>
      <c r="G4356" t="str">
        <f>HYPERLINK("http://babel.hathitrust.org/cgi/pt?id=loc.ark:/13960/t2m626f02")</f>
        <v>http://babel.hathitrust.org/cgi/pt?id=loc.ark:/13960/t2m626f02</v>
      </c>
      <c r="H4356" t="str">
        <f>HYPERLINK("http://catalog.hathitrust.org/Record/006609688")</f>
        <v>http://catalog.hathitrust.org/Record/006609688</v>
      </c>
      <c r="J4356" s="1">
        <v>1917</v>
      </c>
      <c r="K4356" t="s">
        <v>10706</v>
      </c>
    </row>
    <row r="4357" spans="1:12">
      <c r="A4357" t="s">
        <v>10707</v>
      </c>
      <c r="B4357" s="1" t="s">
        <v>10708</v>
      </c>
      <c r="F4357">
        <v>1</v>
      </c>
      <c r="G4357" t="str">
        <f>HYPERLINK("http://babel.hathitrust.org/cgi/pt?id=uc1.b116762")</f>
        <v>http://babel.hathitrust.org/cgi/pt?id=uc1.b116762</v>
      </c>
      <c r="H4357" t="str">
        <f>HYPERLINK("http://catalog.hathitrust.org/Record/006609700")</f>
        <v>http://catalog.hathitrust.org/Record/006609700</v>
      </c>
      <c r="J4357" s="1">
        <v>1912</v>
      </c>
      <c r="K4357" t="s">
        <v>10709</v>
      </c>
      <c r="L4357" t="s">
        <v>10710</v>
      </c>
    </row>
    <row r="4358" spans="1:12">
      <c r="A4358" t="s">
        <v>10711</v>
      </c>
      <c r="B4358" s="1" t="s">
        <v>10708</v>
      </c>
      <c r="F4358">
        <v>1</v>
      </c>
      <c r="G4358" t="str">
        <f>HYPERLINK("http://babel.hathitrust.org/cgi/pt?id=uc2.ark:/13960/t8cf9mw2c")</f>
        <v>http://babel.hathitrust.org/cgi/pt?id=uc2.ark:/13960/t8cf9mw2c</v>
      </c>
      <c r="H4358" t="str">
        <f>HYPERLINK("http://catalog.hathitrust.org/Record/006609700")</f>
        <v>http://catalog.hathitrust.org/Record/006609700</v>
      </c>
      <c r="J4358" s="1">
        <v>1912</v>
      </c>
      <c r="K4358" t="s">
        <v>10709</v>
      </c>
      <c r="L4358" t="s">
        <v>10710</v>
      </c>
    </row>
    <row r="4359" spans="1:12">
      <c r="A4359" t="s">
        <v>10712</v>
      </c>
      <c r="B4359" s="1" t="s">
        <v>10713</v>
      </c>
      <c r="F4359">
        <v>1</v>
      </c>
      <c r="G4359" t="str">
        <f>HYPERLINK("http://babel.hathitrust.org/cgi/pt?id=uc1.b120149")</f>
        <v>http://babel.hathitrust.org/cgi/pt?id=uc1.b120149</v>
      </c>
      <c r="H4359" t="str">
        <f>HYPERLINK("http://catalog.hathitrust.org/Record/006611734")</f>
        <v>http://catalog.hathitrust.org/Record/006611734</v>
      </c>
      <c r="J4359" s="1">
        <v>1859</v>
      </c>
      <c r="K4359" t="s">
        <v>10714</v>
      </c>
      <c r="L4359" t="s">
        <v>10715</v>
      </c>
    </row>
    <row r="4360" spans="1:12">
      <c r="A4360" t="s">
        <v>10716</v>
      </c>
      <c r="B4360" s="1" t="s">
        <v>10713</v>
      </c>
      <c r="F4360">
        <v>1</v>
      </c>
      <c r="G4360" t="str">
        <f>HYPERLINK("http://babel.hathitrust.org/cgi/pt?id=uc2.ark:/13960/t5gb20z65")</f>
        <v>http://babel.hathitrust.org/cgi/pt?id=uc2.ark:/13960/t5gb20z65</v>
      </c>
      <c r="H4360" t="str">
        <f>HYPERLINK("http://catalog.hathitrust.org/Record/006611734")</f>
        <v>http://catalog.hathitrust.org/Record/006611734</v>
      </c>
      <c r="J4360" s="1">
        <v>1859</v>
      </c>
      <c r="K4360" t="s">
        <v>10714</v>
      </c>
      <c r="L4360" t="s">
        <v>10715</v>
      </c>
    </row>
    <row r="4361" spans="1:12">
      <c r="A4361" t="s">
        <v>10717</v>
      </c>
      <c r="B4361" s="1" t="s">
        <v>10718</v>
      </c>
      <c r="F4361">
        <v>1</v>
      </c>
      <c r="G4361" t="str">
        <f>HYPERLINK("http://babel.hathitrust.org/cgi/pt?id=uc1.b127913")</f>
        <v>http://babel.hathitrust.org/cgi/pt?id=uc1.b127913</v>
      </c>
      <c r="H4361" t="str">
        <f>HYPERLINK("http://catalog.hathitrust.org/Record/006616600")</f>
        <v>http://catalog.hathitrust.org/Record/006616600</v>
      </c>
      <c r="J4361" s="1">
        <v>1899</v>
      </c>
      <c r="K4361" t="s">
        <v>10719</v>
      </c>
      <c r="L4361" t="s">
        <v>11905</v>
      </c>
    </row>
    <row r="4362" spans="1:12">
      <c r="A4362" t="s">
        <v>10720</v>
      </c>
      <c r="B4362" s="1" t="s">
        <v>10718</v>
      </c>
      <c r="F4362">
        <v>1</v>
      </c>
      <c r="G4362" t="str">
        <f>HYPERLINK("http://babel.hathitrust.org/cgi/pt?id=uc2.ark:/13960/t6rx95x05")</f>
        <v>http://babel.hathitrust.org/cgi/pt?id=uc2.ark:/13960/t6rx95x05</v>
      </c>
      <c r="H4362" t="str">
        <f>HYPERLINK("http://catalog.hathitrust.org/Record/006616600")</f>
        <v>http://catalog.hathitrust.org/Record/006616600</v>
      </c>
      <c r="J4362" s="1">
        <v>1899</v>
      </c>
      <c r="K4362" t="s">
        <v>10719</v>
      </c>
      <c r="L4362" t="s">
        <v>11905</v>
      </c>
    </row>
    <row r="4363" spans="1:12">
      <c r="A4363" t="s">
        <v>10721</v>
      </c>
      <c r="B4363" s="1" t="s">
        <v>10722</v>
      </c>
      <c r="F4363">
        <v>1</v>
      </c>
      <c r="G4363" t="str">
        <f>HYPERLINK("http://babel.hathitrust.org/cgi/pt?id=uc1.b131555")</f>
        <v>http://babel.hathitrust.org/cgi/pt?id=uc1.b131555</v>
      </c>
      <c r="H4363" t="str">
        <f>HYPERLINK("http://catalog.hathitrust.org/Record/006618773")</f>
        <v>http://catalog.hathitrust.org/Record/006618773</v>
      </c>
      <c r="J4363" s="1">
        <v>1853</v>
      </c>
      <c r="K4363" t="s">
        <v>10723</v>
      </c>
      <c r="L4363" t="s">
        <v>10620</v>
      </c>
    </row>
    <row r="4364" spans="1:12">
      <c r="A4364" t="s">
        <v>10621</v>
      </c>
      <c r="B4364" s="1" t="s">
        <v>10722</v>
      </c>
      <c r="F4364">
        <v>1</v>
      </c>
      <c r="G4364" t="str">
        <f>HYPERLINK("http://babel.hathitrust.org/cgi/pt?id=uc2.ark:/13960/t5p846b8g")</f>
        <v>http://babel.hathitrust.org/cgi/pt?id=uc2.ark:/13960/t5p846b8g</v>
      </c>
      <c r="H4364" t="str">
        <f>HYPERLINK("http://catalog.hathitrust.org/Record/006618773")</f>
        <v>http://catalog.hathitrust.org/Record/006618773</v>
      </c>
      <c r="J4364" s="1">
        <v>1853</v>
      </c>
      <c r="K4364" t="s">
        <v>10723</v>
      </c>
      <c r="L4364" t="s">
        <v>10620</v>
      </c>
    </row>
    <row r="4365" spans="1:12">
      <c r="A4365" t="s">
        <v>10622</v>
      </c>
      <c r="B4365" s="1" t="s">
        <v>10623</v>
      </c>
      <c r="E4365">
        <v>1</v>
      </c>
      <c r="G4365" t="str">
        <f>HYPERLINK("http://babel.hathitrust.org/cgi/pt?id=uc1.b133799")</f>
        <v>http://babel.hathitrust.org/cgi/pt?id=uc1.b133799</v>
      </c>
      <c r="H4365" t="str">
        <f>HYPERLINK("http://catalog.hathitrust.org/Record/006619797")</f>
        <v>http://catalog.hathitrust.org/Record/006619797</v>
      </c>
      <c r="J4365" s="1">
        <v>1898</v>
      </c>
      <c r="K4365" t="s">
        <v>10624</v>
      </c>
      <c r="L4365" t="s">
        <v>19778</v>
      </c>
    </row>
    <row r="4366" spans="1:12">
      <c r="A4366" t="s">
        <v>10625</v>
      </c>
      <c r="B4366" s="1" t="s">
        <v>10626</v>
      </c>
      <c r="F4366">
        <v>1</v>
      </c>
      <c r="G4366" t="str">
        <f>HYPERLINK("http://babel.hathitrust.org/cgi/pt?id=uc1.b135547")</f>
        <v>http://babel.hathitrust.org/cgi/pt?id=uc1.b135547</v>
      </c>
      <c r="H4366" t="str">
        <f>HYPERLINK("http://catalog.hathitrust.org/Record/006620907")</f>
        <v>http://catalog.hathitrust.org/Record/006620907</v>
      </c>
      <c r="J4366" s="1">
        <v>1832</v>
      </c>
      <c r="K4366" t="s">
        <v>10627</v>
      </c>
      <c r="L4366" t="s">
        <v>10628</v>
      </c>
    </row>
    <row r="4367" spans="1:12">
      <c r="A4367" t="s">
        <v>10629</v>
      </c>
      <c r="B4367" s="1" t="s">
        <v>10630</v>
      </c>
      <c r="F4367">
        <v>1</v>
      </c>
      <c r="G4367" t="str">
        <f>HYPERLINK("http://babel.hathitrust.org/cgi/pt?id=uc1.b152567")</f>
        <v>http://babel.hathitrust.org/cgi/pt?id=uc1.b152567</v>
      </c>
      <c r="H4367" t="str">
        <f>HYPERLINK("http://catalog.hathitrust.org/Record/006632375")</f>
        <v>http://catalog.hathitrust.org/Record/006632375</v>
      </c>
      <c r="J4367" s="1">
        <v>1881</v>
      </c>
      <c r="K4367" t="s">
        <v>10631</v>
      </c>
      <c r="L4367" t="s">
        <v>10632</v>
      </c>
    </row>
    <row r="4368" spans="1:12">
      <c r="A4368" t="s">
        <v>10633</v>
      </c>
      <c r="B4368" s="1" t="s">
        <v>10630</v>
      </c>
      <c r="F4368">
        <v>1</v>
      </c>
      <c r="G4368" t="str">
        <f>HYPERLINK("http://babel.hathitrust.org/cgi/pt?id=uc2.ark:/13960/t0vq2vf6m")</f>
        <v>http://babel.hathitrust.org/cgi/pt?id=uc2.ark:/13960/t0vq2vf6m</v>
      </c>
      <c r="H4368" t="str">
        <f>HYPERLINK("http://catalog.hathitrust.org/Record/006632375")</f>
        <v>http://catalog.hathitrust.org/Record/006632375</v>
      </c>
      <c r="J4368" s="1">
        <v>1881</v>
      </c>
      <c r="K4368" t="s">
        <v>10631</v>
      </c>
      <c r="L4368" t="s">
        <v>10632</v>
      </c>
    </row>
    <row r="4369" spans="1:12">
      <c r="A4369" t="s">
        <v>10634</v>
      </c>
      <c r="B4369" s="1" t="s">
        <v>10635</v>
      </c>
      <c r="F4369">
        <v>1</v>
      </c>
      <c r="G4369" t="str">
        <f>HYPERLINK("http://babel.hathitrust.org/cgi/pt?id=nyp.33433074834825")</f>
        <v>http://babel.hathitrust.org/cgi/pt?id=nyp.33433074834825</v>
      </c>
      <c r="H4369" t="str">
        <f>HYPERLINK("http://catalog.hathitrust.org/Record/006634798")</f>
        <v>http://catalog.hathitrust.org/Record/006634798</v>
      </c>
      <c r="J4369" s="1">
        <v>1909</v>
      </c>
      <c r="K4369" t="s">
        <v>10636</v>
      </c>
      <c r="L4369" t="s">
        <v>10637</v>
      </c>
    </row>
    <row r="4370" spans="1:12">
      <c r="A4370" t="s">
        <v>10638</v>
      </c>
      <c r="B4370" s="1" t="s">
        <v>10635</v>
      </c>
      <c r="F4370">
        <v>1</v>
      </c>
      <c r="G4370" t="str">
        <f>HYPERLINK("http://babel.hathitrust.org/cgi/pt?id=uc1.b156395")</f>
        <v>http://babel.hathitrust.org/cgi/pt?id=uc1.b156395</v>
      </c>
      <c r="H4370" t="str">
        <f>HYPERLINK("http://catalog.hathitrust.org/Record/006634798")</f>
        <v>http://catalog.hathitrust.org/Record/006634798</v>
      </c>
      <c r="J4370" s="1">
        <v>1909</v>
      </c>
      <c r="K4370" t="s">
        <v>10636</v>
      </c>
      <c r="L4370" t="s">
        <v>10637</v>
      </c>
    </row>
    <row r="4371" spans="1:12">
      <c r="A4371" t="s">
        <v>10639</v>
      </c>
      <c r="B4371" s="1" t="s">
        <v>10635</v>
      </c>
      <c r="F4371">
        <v>1</v>
      </c>
      <c r="G4371" t="str">
        <f>HYPERLINK("http://babel.hathitrust.org/cgi/pt?id=uc2.ark:/13960/t6639ns5b")</f>
        <v>http://babel.hathitrust.org/cgi/pt?id=uc2.ark:/13960/t6639ns5b</v>
      </c>
      <c r="H4371" t="str">
        <f>HYPERLINK("http://catalog.hathitrust.org/Record/006634798")</f>
        <v>http://catalog.hathitrust.org/Record/006634798</v>
      </c>
      <c r="J4371" s="1">
        <v>1909</v>
      </c>
      <c r="K4371" t="s">
        <v>10636</v>
      </c>
      <c r="L4371" t="s">
        <v>10637</v>
      </c>
    </row>
    <row r="4372" spans="1:12">
      <c r="A4372" t="s">
        <v>10640</v>
      </c>
      <c r="B4372" s="1" t="s">
        <v>10641</v>
      </c>
      <c r="E4372">
        <v>1</v>
      </c>
      <c r="G4372" t="str">
        <f>HYPERLINK("http://babel.hathitrust.org/cgi/pt?id=uc1.b157870")</f>
        <v>http://babel.hathitrust.org/cgi/pt?id=uc1.b157870</v>
      </c>
      <c r="H4372" t="str">
        <f>HYPERLINK("http://catalog.hathitrust.org/Record/006635808")</f>
        <v>http://catalog.hathitrust.org/Record/006635808</v>
      </c>
      <c r="J4372" s="1">
        <v>1868</v>
      </c>
      <c r="K4372" t="s">
        <v>13637</v>
      </c>
      <c r="L4372" t="s">
        <v>20904</v>
      </c>
    </row>
    <row r="4373" spans="1:12">
      <c r="A4373" t="s">
        <v>10642</v>
      </c>
      <c r="B4373" s="1" t="s">
        <v>10643</v>
      </c>
      <c r="F4373">
        <v>1</v>
      </c>
      <c r="G4373" t="str">
        <f>HYPERLINK("http://babel.hathitrust.org/cgi/pt?id=uc1.b157941")</f>
        <v>http://babel.hathitrust.org/cgi/pt?id=uc1.b157941</v>
      </c>
      <c r="H4373" t="str">
        <f>HYPERLINK("http://catalog.hathitrust.org/Record/006635850")</f>
        <v>http://catalog.hathitrust.org/Record/006635850</v>
      </c>
      <c r="J4373" s="1">
        <v>1867</v>
      </c>
      <c r="K4373" t="s">
        <v>10644</v>
      </c>
      <c r="L4373" t="s">
        <v>17914</v>
      </c>
    </row>
    <row r="4374" spans="1:12">
      <c r="A4374" t="s">
        <v>10645</v>
      </c>
      <c r="B4374" s="1" t="s">
        <v>10643</v>
      </c>
      <c r="F4374">
        <v>1</v>
      </c>
      <c r="G4374" t="str">
        <f>HYPERLINK("http://babel.hathitrust.org/cgi/pt?id=uc2.ark:/13960/t19k4827t")</f>
        <v>http://babel.hathitrust.org/cgi/pt?id=uc2.ark:/13960/t19k4827t</v>
      </c>
      <c r="H4374" t="str">
        <f>HYPERLINK("http://catalog.hathitrust.org/Record/006635850")</f>
        <v>http://catalog.hathitrust.org/Record/006635850</v>
      </c>
      <c r="J4374" s="1">
        <v>1867</v>
      </c>
      <c r="K4374" t="s">
        <v>10644</v>
      </c>
      <c r="L4374" t="s">
        <v>17914</v>
      </c>
    </row>
    <row r="4375" spans="1:12">
      <c r="A4375" t="s">
        <v>10646</v>
      </c>
      <c r="B4375" s="1" t="s">
        <v>10647</v>
      </c>
      <c r="F4375">
        <v>1</v>
      </c>
      <c r="G4375" t="str">
        <f>HYPERLINK("http://babel.hathitrust.org/cgi/pt?id=uc1.b157948")</f>
        <v>http://babel.hathitrust.org/cgi/pt?id=uc1.b157948</v>
      </c>
      <c r="H4375" t="str">
        <f>HYPERLINK("http://catalog.hathitrust.org/Record/006635853")</f>
        <v>http://catalog.hathitrust.org/Record/006635853</v>
      </c>
      <c r="J4375" s="1">
        <v>1914</v>
      </c>
      <c r="K4375" t="s">
        <v>10648</v>
      </c>
      <c r="L4375" t="s">
        <v>10649</v>
      </c>
    </row>
    <row r="4376" spans="1:12">
      <c r="A4376" t="s">
        <v>10650</v>
      </c>
      <c r="B4376" s="1" t="s">
        <v>10647</v>
      </c>
      <c r="F4376">
        <v>1</v>
      </c>
      <c r="G4376" t="str">
        <f>HYPERLINK("http://babel.hathitrust.org/cgi/pt?id=uc2.ark:/13960/t6tx36f52")</f>
        <v>http://babel.hathitrust.org/cgi/pt?id=uc2.ark:/13960/t6tx36f52</v>
      </c>
      <c r="H4376" t="str">
        <f>HYPERLINK("http://catalog.hathitrust.org/Record/006635853")</f>
        <v>http://catalog.hathitrust.org/Record/006635853</v>
      </c>
      <c r="J4376" s="1">
        <v>1914</v>
      </c>
      <c r="K4376" t="s">
        <v>10648</v>
      </c>
      <c r="L4376" t="s">
        <v>10649</v>
      </c>
    </row>
    <row r="4377" spans="1:12">
      <c r="A4377" t="s">
        <v>10651</v>
      </c>
      <c r="B4377" s="1" t="s">
        <v>10652</v>
      </c>
      <c r="E4377">
        <v>1</v>
      </c>
      <c r="G4377" t="str">
        <f>HYPERLINK("http://babel.hathitrust.org/cgi/pt?id=nyp.33433087359539")</f>
        <v>http://babel.hathitrust.org/cgi/pt?id=nyp.33433087359539</v>
      </c>
      <c r="H4377" t="str">
        <f>HYPERLINK("http://catalog.hathitrust.org/Record/006635856")</f>
        <v>http://catalog.hathitrust.org/Record/006635856</v>
      </c>
      <c r="J4377" s="1">
        <v>1907</v>
      </c>
      <c r="K4377" t="s">
        <v>10653</v>
      </c>
      <c r="L4377" t="s">
        <v>19690</v>
      </c>
    </row>
    <row r="4378" spans="1:12">
      <c r="A4378" t="s">
        <v>10654</v>
      </c>
      <c r="B4378" s="1" t="s">
        <v>10655</v>
      </c>
      <c r="F4378">
        <v>1</v>
      </c>
      <c r="G4378" t="str">
        <f>HYPERLINK("http://babel.hathitrust.org/cgi/pt?id=uc1.b158041")</f>
        <v>http://babel.hathitrust.org/cgi/pt?id=uc1.b158041</v>
      </c>
      <c r="H4378" t="str">
        <f>HYPERLINK("http://catalog.hathitrust.org/Record/006635913")</f>
        <v>http://catalog.hathitrust.org/Record/006635913</v>
      </c>
      <c r="J4378" s="1">
        <v>1892</v>
      </c>
      <c r="K4378" t="s">
        <v>10656</v>
      </c>
      <c r="L4378" t="s">
        <v>10657</v>
      </c>
    </row>
    <row r="4379" spans="1:12">
      <c r="A4379" t="s">
        <v>10658</v>
      </c>
      <c r="B4379" s="1" t="s">
        <v>10659</v>
      </c>
      <c r="F4379">
        <v>1</v>
      </c>
      <c r="G4379" t="str">
        <f>HYPERLINK("http://babel.hathitrust.org/cgi/pt?id=uc1.b158049")</f>
        <v>http://babel.hathitrust.org/cgi/pt?id=uc1.b158049</v>
      </c>
      <c r="H4379" t="str">
        <f>HYPERLINK("http://catalog.hathitrust.org/Record/006635917")</f>
        <v>http://catalog.hathitrust.org/Record/006635917</v>
      </c>
      <c r="J4379" s="1">
        <v>1920</v>
      </c>
      <c r="K4379" t="s">
        <v>10660</v>
      </c>
      <c r="L4379" t="s">
        <v>17875</v>
      </c>
    </row>
    <row r="4380" spans="1:12">
      <c r="A4380" t="s">
        <v>10661</v>
      </c>
      <c r="B4380" s="1" t="s">
        <v>10662</v>
      </c>
      <c r="C4380">
        <v>1</v>
      </c>
      <c r="D4380">
        <v>1</v>
      </c>
      <c r="G4380" t="str">
        <f>HYPERLINK("http://babel.hathitrust.org/cgi/pt?id=uc1.b158050")</f>
        <v>http://babel.hathitrust.org/cgi/pt?id=uc1.b158050</v>
      </c>
      <c r="H4380" t="str">
        <f>HYPERLINK("http://catalog.hathitrust.org/Record/006635918")</f>
        <v>http://catalog.hathitrust.org/Record/006635918</v>
      </c>
      <c r="J4380" s="1">
        <v>1848</v>
      </c>
      <c r="K4380" t="s">
        <v>10663</v>
      </c>
      <c r="L4380" t="s">
        <v>10664</v>
      </c>
    </row>
    <row r="4381" spans="1:12">
      <c r="A4381" t="s">
        <v>10665</v>
      </c>
      <c r="B4381" s="1" t="s">
        <v>10662</v>
      </c>
      <c r="F4381">
        <v>1</v>
      </c>
      <c r="G4381" t="str">
        <f>HYPERLINK("http://babel.hathitrust.org/cgi/pt?id=uc2.ark:/13960/t3513w01w")</f>
        <v>http://babel.hathitrust.org/cgi/pt?id=uc2.ark:/13960/t3513w01w</v>
      </c>
      <c r="H4381" t="str">
        <f>HYPERLINK("http://catalog.hathitrust.org/Record/006635918")</f>
        <v>http://catalog.hathitrust.org/Record/006635918</v>
      </c>
      <c r="J4381" s="1">
        <v>1848</v>
      </c>
      <c r="K4381" t="s">
        <v>10663</v>
      </c>
      <c r="L4381" t="s">
        <v>10664</v>
      </c>
    </row>
    <row r="4382" spans="1:12">
      <c r="A4382" t="s">
        <v>10666</v>
      </c>
      <c r="B4382" s="1" t="s">
        <v>10667</v>
      </c>
      <c r="F4382">
        <v>1</v>
      </c>
      <c r="G4382" t="str">
        <f>HYPERLINK("http://babel.hathitrust.org/cgi/pt?id=uc1.b158067")</f>
        <v>http://babel.hathitrust.org/cgi/pt?id=uc1.b158067</v>
      </c>
      <c r="H4382" t="str">
        <f>HYPERLINK("http://catalog.hathitrust.org/Record/006635927")</f>
        <v>http://catalog.hathitrust.org/Record/006635927</v>
      </c>
      <c r="J4382" s="1">
        <v>1919</v>
      </c>
      <c r="K4382" t="s">
        <v>10668</v>
      </c>
      <c r="L4382" t="s">
        <v>10669</v>
      </c>
    </row>
    <row r="4383" spans="1:12">
      <c r="A4383" t="s">
        <v>10670</v>
      </c>
      <c r="B4383" s="1" t="s">
        <v>10667</v>
      </c>
      <c r="F4383">
        <v>1</v>
      </c>
      <c r="G4383" t="str">
        <f>HYPERLINK("http://babel.hathitrust.org/cgi/pt?id=uc2.ark:/13960/t8mc8v65v")</f>
        <v>http://babel.hathitrust.org/cgi/pt?id=uc2.ark:/13960/t8mc8v65v</v>
      </c>
      <c r="H4383" t="str">
        <f>HYPERLINK("http://catalog.hathitrust.org/Record/006635927")</f>
        <v>http://catalog.hathitrust.org/Record/006635927</v>
      </c>
      <c r="J4383" s="1">
        <v>1919</v>
      </c>
      <c r="K4383" t="s">
        <v>10668</v>
      </c>
      <c r="L4383" t="s">
        <v>10669</v>
      </c>
    </row>
    <row r="4384" spans="1:12">
      <c r="A4384" t="s">
        <v>10671</v>
      </c>
      <c r="B4384" s="1" t="s">
        <v>10672</v>
      </c>
      <c r="F4384">
        <v>1</v>
      </c>
      <c r="G4384" t="str">
        <f>HYPERLINK("http://babel.hathitrust.org/cgi/pt?id=uc1.b158068")</f>
        <v>http://babel.hathitrust.org/cgi/pt?id=uc1.b158068</v>
      </c>
      <c r="H4384" t="str">
        <f>HYPERLINK("http://catalog.hathitrust.org/Record/006635928")</f>
        <v>http://catalog.hathitrust.org/Record/006635928</v>
      </c>
      <c r="J4384" s="1">
        <v>1945</v>
      </c>
      <c r="K4384" t="s">
        <v>10673</v>
      </c>
      <c r="L4384" t="s">
        <v>10674</v>
      </c>
    </row>
    <row r="4385" spans="1:12">
      <c r="A4385" t="s">
        <v>10675</v>
      </c>
      <c r="B4385" s="1" t="s">
        <v>10676</v>
      </c>
      <c r="F4385">
        <v>1</v>
      </c>
      <c r="G4385" t="str">
        <f>HYPERLINK("http://babel.hathitrust.org/cgi/pt?id=uc1.b158086")</f>
        <v>http://babel.hathitrust.org/cgi/pt?id=uc1.b158086</v>
      </c>
      <c r="H4385" t="str">
        <f>HYPERLINK("http://catalog.hathitrust.org/Record/006635936")</f>
        <v>http://catalog.hathitrust.org/Record/006635936</v>
      </c>
      <c r="J4385" s="1">
        <v>1913</v>
      </c>
      <c r="K4385" t="s">
        <v>10568</v>
      </c>
      <c r="L4385" t="s">
        <v>10569</v>
      </c>
    </row>
    <row r="4386" spans="1:12">
      <c r="A4386" t="s">
        <v>10570</v>
      </c>
      <c r="B4386" s="1" t="s">
        <v>10676</v>
      </c>
      <c r="F4386">
        <v>1</v>
      </c>
      <c r="G4386" t="str">
        <f>HYPERLINK("http://babel.hathitrust.org/cgi/pt?id=uc2.ark:/13960/t3xs5mv1z")</f>
        <v>http://babel.hathitrust.org/cgi/pt?id=uc2.ark:/13960/t3xs5mv1z</v>
      </c>
      <c r="H4386" t="str">
        <f>HYPERLINK("http://catalog.hathitrust.org/Record/006635936")</f>
        <v>http://catalog.hathitrust.org/Record/006635936</v>
      </c>
      <c r="J4386" s="1">
        <v>1913</v>
      </c>
      <c r="K4386" t="s">
        <v>10568</v>
      </c>
      <c r="L4386" t="s">
        <v>10569</v>
      </c>
    </row>
    <row r="4387" spans="1:12">
      <c r="A4387" t="s">
        <v>10571</v>
      </c>
      <c r="B4387" s="1" t="s">
        <v>10572</v>
      </c>
      <c r="F4387">
        <v>1</v>
      </c>
      <c r="G4387" t="str">
        <f>HYPERLINK("http://babel.hathitrust.org/cgi/pt?id=uc1.b161719")</f>
        <v>http://babel.hathitrust.org/cgi/pt?id=uc1.b161719</v>
      </c>
      <c r="H4387" t="str">
        <f>HYPERLINK("http://catalog.hathitrust.org/Record/006638557")</f>
        <v>http://catalog.hathitrust.org/Record/006638557</v>
      </c>
      <c r="J4387" s="1">
        <v>1920</v>
      </c>
      <c r="K4387" t="s">
        <v>10573</v>
      </c>
      <c r="L4387" t="s">
        <v>11008</v>
      </c>
    </row>
    <row r="4388" spans="1:12">
      <c r="A4388" t="s">
        <v>10574</v>
      </c>
      <c r="B4388" s="1" t="s">
        <v>10572</v>
      </c>
      <c r="F4388">
        <v>1</v>
      </c>
      <c r="G4388" t="str">
        <f>HYPERLINK("http://babel.hathitrust.org/cgi/pt?id=uc2.ark:/13960/t77s7mg7k")</f>
        <v>http://babel.hathitrust.org/cgi/pt?id=uc2.ark:/13960/t77s7mg7k</v>
      </c>
      <c r="H4388" t="str">
        <f>HYPERLINK("http://catalog.hathitrust.org/Record/006638557")</f>
        <v>http://catalog.hathitrust.org/Record/006638557</v>
      </c>
      <c r="J4388" s="1">
        <v>1920</v>
      </c>
      <c r="K4388" t="s">
        <v>10573</v>
      </c>
      <c r="L4388" t="s">
        <v>11008</v>
      </c>
    </row>
    <row r="4389" spans="1:12">
      <c r="A4389" t="s">
        <v>10575</v>
      </c>
      <c r="B4389" s="1" t="s">
        <v>10576</v>
      </c>
      <c r="D4389">
        <v>1</v>
      </c>
      <c r="G4389" t="str">
        <f>HYPERLINK("http://babel.hathitrust.org/cgi/pt?id=uc1.b161790")</f>
        <v>http://babel.hathitrust.org/cgi/pt?id=uc1.b161790</v>
      </c>
      <c r="H4389" t="str">
        <f>HYPERLINK("http://catalog.hathitrust.org/Record/006638621")</f>
        <v>http://catalog.hathitrust.org/Record/006638621</v>
      </c>
      <c r="J4389" s="1">
        <v>1891</v>
      </c>
      <c r="K4389" t="s">
        <v>10577</v>
      </c>
      <c r="L4389" t="s">
        <v>19491</v>
      </c>
    </row>
    <row r="4390" spans="1:12">
      <c r="A4390" t="s">
        <v>10578</v>
      </c>
      <c r="B4390" s="1" t="s">
        <v>10579</v>
      </c>
      <c r="E4390">
        <v>1</v>
      </c>
      <c r="F4390">
        <v>1</v>
      </c>
      <c r="G4390" t="str">
        <f>HYPERLINK("http://babel.hathitrust.org/cgi/pt?id=uc1.b167714")</f>
        <v>http://babel.hathitrust.org/cgi/pt?id=uc1.b167714</v>
      </c>
      <c r="H4390" t="str">
        <f>HYPERLINK("http://catalog.hathitrust.org/Record/006642585")</f>
        <v>http://catalog.hathitrust.org/Record/006642585</v>
      </c>
      <c r="J4390" s="1">
        <v>1878</v>
      </c>
      <c r="K4390" t="s">
        <v>10580</v>
      </c>
      <c r="L4390" t="s">
        <v>19796</v>
      </c>
    </row>
    <row r="4391" spans="1:12">
      <c r="A4391" t="s">
        <v>10581</v>
      </c>
      <c r="B4391" s="1" t="s">
        <v>10582</v>
      </c>
      <c r="E4391">
        <v>1</v>
      </c>
      <c r="G4391" t="str">
        <f>HYPERLINK("http://babel.hathitrust.org/cgi/pt?id=uc1.b174145")</f>
        <v>http://babel.hathitrust.org/cgi/pt?id=uc1.b174145</v>
      </c>
      <c r="H4391" t="str">
        <f>HYPERLINK("http://catalog.hathitrust.org/Record/006646471")</f>
        <v>http://catalog.hathitrust.org/Record/006646471</v>
      </c>
      <c r="J4391" s="1">
        <v>1916</v>
      </c>
      <c r="K4391" t="s">
        <v>10583</v>
      </c>
      <c r="L4391" t="s">
        <v>20629</v>
      </c>
    </row>
    <row r="4392" spans="1:12">
      <c r="A4392" t="s">
        <v>10584</v>
      </c>
      <c r="B4392" s="1" t="s">
        <v>10585</v>
      </c>
      <c r="F4392">
        <v>1</v>
      </c>
      <c r="G4392" t="str">
        <f>HYPERLINK("http://babel.hathitrust.org/cgi/pt?id=uc1.b183151")</f>
        <v>http://babel.hathitrust.org/cgi/pt?id=uc1.b183151</v>
      </c>
      <c r="H4392" t="str">
        <f>HYPERLINK("http://catalog.hathitrust.org/Record/006652177")</f>
        <v>http://catalog.hathitrust.org/Record/006652177</v>
      </c>
      <c r="J4392" s="1">
        <v>1820</v>
      </c>
      <c r="K4392" t="s">
        <v>10586</v>
      </c>
      <c r="L4392" t="s">
        <v>10587</v>
      </c>
    </row>
    <row r="4393" spans="1:12">
      <c r="A4393" t="s">
        <v>10588</v>
      </c>
      <c r="B4393" s="1" t="s">
        <v>10589</v>
      </c>
      <c r="F4393">
        <v>1</v>
      </c>
      <c r="G4393" t="str">
        <f>HYPERLINK("http://babel.hathitrust.org/cgi/pt?id=uc1.b190570")</f>
        <v>http://babel.hathitrust.org/cgi/pt?id=uc1.b190570</v>
      </c>
      <c r="H4393" t="str">
        <f>HYPERLINK("http://catalog.hathitrust.org/Record/006656408")</f>
        <v>http://catalog.hathitrust.org/Record/006656408</v>
      </c>
      <c r="J4393" s="1">
        <v>1915</v>
      </c>
      <c r="K4393" t="s">
        <v>10590</v>
      </c>
      <c r="L4393" t="s">
        <v>12431</v>
      </c>
    </row>
    <row r="4394" spans="1:12">
      <c r="A4394" t="s">
        <v>10591</v>
      </c>
      <c r="B4394" s="1" t="s">
        <v>10589</v>
      </c>
      <c r="F4394">
        <v>1</v>
      </c>
      <c r="G4394" t="str">
        <f>HYPERLINK("http://babel.hathitrust.org/cgi/pt?id=uc2.ark:/13960/t6vx08q9k")</f>
        <v>http://babel.hathitrust.org/cgi/pt?id=uc2.ark:/13960/t6vx08q9k</v>
      </c>
      <c r="H4394" t="str">
        <f>HYPERLINK("http://catalog.hathitrust.org/Record/006656408")</f>
        <v>http://catalog.hathitrust.org/Record/006656408</v>
      </c>
      <c r="J4394" s="1">
        <v>1915</v>
      </c>
      <c r="K4394" t="s">
        <v>10590</v>
      </c>
      <c r="L4394" t="s">
        <v>12431</v>
      </c>
    </row>
    <row r="4395" spans="1:12">
      <c r="A4395" t="s">
        <v>10592</v>
      </c>
      <c r="B4395" s="1" t="s">
        <v>10593</v>
      </c>
      <c r="F4395">
        <v>1</v>
      </c>
      <c r="G4395" t="str">
        <f>HYPERLINK("http://babel.hathitrust.org/cgi/pt?id=uc1.b192108")</f>
        <v>http://babel.hathitrust.org/cgi/pt?id=uc1.b192108</v>
      </c>
      <c r="H4395" t="str">
        <f>HYPERLINK("http://catalog.hathitrust.org/Record/006657112")</f>
        <v>http://catalog.hathitrust.org/Record/006657112</v>
      </c>
      <c r="J4395" s="1">
        <v>1906</v>
      </c>
      <c r="K4395" t="s">
        <v>10594</v>
      </c>
      <c r="L4395" t="s">
        <v>10595</v>
      </c>
    </row>
    <row r="4396" spans="1:12">
      <c r="A4396" t="s">
        <v>10596</v>
      </c>
      <c r="B4396" s="1" t="s">
        <v>10597</v>
      </c>
      <c r="E4396">
        <v>1</v>
      </c>
      <c r="F4396">
        <v>1</v>
      </c>
      <c r="G4396" t="str">
        <f>HYPERLINK("http://babel.hathitrust.org/cgi/pt?id=uc1.b3491185")</f>
        <v>http://babel.hathitrust.org/cgi/pt?id=uc1.b3491185</v>
      </c>
      <c r="H4396" t="str">
        <f>HYPERLINK("http://catalog.hathitrust.org/Record/006664638")</f>
        <v>http://catalog.hathitrust.org/Record/006664638</v>
      </c>
      <c r="I4396" s="1" t="s">
        <v>19240</v>
      </c>
      <c r="J4396" s="1">
        <v>1908</v>
      </c>
      <c r="K4396" t="s">
        <v>10598</v>
      </c>
      <c r="L4396" t="s">
        <v>20707</v>
      </c>
    </row>
    <row r="4397" spans="1:12">
      <c r="A4397" t="s">
        <v>10599</v>
      </c>
      <c r="B4397" s="1" t="s">
        <v>10600</v>
      </c>
      <c r="F4397">
        <v>1</v>
      </c>
      <c r="G4397" t="str">
        <f>HYPERLINK("http://babel.hathitrust.org/cgi/pt?id=uc1.b3512888")</f>
        <v>http://babel.hathitrust.org/cgi/pt?id=uc1.b3512888</v>
      </c>
      <c r="H4397" t="str">
        <f>HYPERLINK("http://catalog.hathitrust.org/Record/006666005")</f>
        <v>http://catalog.hathitrust.org/Record/006666005</v>
      </c>
      <c r="J4397" s="1">
        <v>1910</v>
      </c>
      <c r="K4397" t="s">
        <v>10601</v>
      </c>
      <c r="L4397" t="s">
        <v>10602</v>
      </c>
    </row>
    <row r="4398" spans="1:12">
      <c r="A4398" t="s">
        <v>10603</v>
      </c>
      <c r="B4398" s="1" t="s">
        <v>10604</v>
      </c>
      <c r="F4398">
        <v>1</v>
      </c>
      <c r="G4398" t="str">
        <f>HYPERLINK("http://babel.hathitrust.org/cgi/pt?id=uc1.b3514742")</f>
        <v>http://babel.hathitrust.org/cgi/pt?id=uc1.b3514742</v>
      </c>
      <c r="H4398" t="str">
        <f>HYPERLINK("http://catalog.hathitrust.org/Record/006666275")</f>
        <v>http://catalog.hathitrust.org/Record/006666275</v>
      </c>
      <c r="J4398" s="1">
        <v>1916</v>
      </c>
      <c r="K4398" t="s">
        <v>19190</v>
      </c>
      <c r="L4398" t="s">
        <v>19191</v>
      </c>
    </row>
    <row r="4399" spans="1:12">
      <c r="A4399" t="s">
        <v>10605</v>
      </c>
      <c r="B4399" s="1" t="s">
        <v>10606</v>
      </c>
      <c r="F4399">
        <v>1</v>
      </c>
      <c r="G4399" t="str">
        <f>HYPERLINK("http://babel.hathitrust.org/cgi/pt?id=uc1.b3514745")</f>
        <v>http://babel.hathitrust.org/cgi/pt?id=uc1.b3514745</v>
      </c>
      <c r="H4399" t="str">
        <f>HYPERLINK("http://catalog.hathitrust.org/Record/006666277")</f>
        <v>http://catalog.hathitrust.org/Record/006666277</v>
      </c>
      <c r="J4399" s="1">
        <v>1875</v>
      </c>
      <c r="K4399" t="s">
        <v>10607</v>
      </c>
      <c r="L4399" t="s">
        <v>17875</v>
      </c>
    </row>
    <row r="4400" spans="1:12">
      <c r="A4400" t="s">
        <v>10608</v>
      </c>
      <c r="B4400" s="1" t="s">
        <v>10606</v>
      </c>
      <c r="F4400">
        <v>1</v>
      </c>
      <c r="G4400" t="str">
        <f>HYPERLINK("http://babel.hathitrust.org/cgi/pt?id=uc2.ark:/13960/t5x63mb15")</f>
        <v>http://babel.hathitrust.org/cgi/pt?id=uc2.ark:/13960/t5x63mb15</v>
      </c>
      <c r="H4400" t="str">
        <f>HYPERLINK("http://catalog.hathitrust.org/Record/006666277")</f>
        <v>http://catalog.hathitrust.org/Record/006666277</v>
      </c>
      <c r="J4400" s="1">
        <v>1875</v>
      </c>
      <c r="K4400" t="s">
        <v>10607</v>
      </c>
      <c r="L4400" t="s">
        <v>17875</v>
      </c>
    </row>
    <row r="4401" spans="1:12">
      <c r="A4401" t="s">
        <v>10609</v>
      </c>
      <c r="B4401" s="1" t="s">
        <v>10610</v>
      </c>
      <c r="E4401">
        <v>1</v>
      </c>
      <c r="F4401">
        <v>1</v>
      </c>
      <c r="G4401" t="str">
        <f>HYPERLINK("http://babel.hathitrust.org/cgi/pt?id=uc1.b3514837")</f>
        <v>http://babel.hathitrust.org/cgi/pt?id=uc1.b3514837</v>
      </c>
      <c r="H4401" t="str">
        <f>HYPERLINK("http://catalog.hathitrust.org/Record/006666282")</f>
        <v>http://catalog.hathitrust.org/Record/006666282</v>
      </c>
      <c r="J4401" s="1">
        <v>1928</v>
      </c>
      <c r="K4401" t="s">
        <v>14596</v>
      </c>
      <c r="L4401" t="s">
        <v>14597</v>
      </c>
    </row>
    <row r="4402" spans="1:12">
      <c r="A4402" t="s">
        <v>10611</v>
      </c>
      <c r="B4402" s="1" t="s">
        <v>10612</v>
      </c>
      <c r="F4402">
        <v>1</v>
      </c>
      <c r="G4402" t="str">
        <f>HYPERLINK("http://babel.hathitrust.org/cgi/pt?id=inu.39000005847061")</f>
        <v>http://babel.hathitrust.org/cgi/pt?id=inu.39000005847061</v>
      </c>
      <c r="H4402" t="str">
        <f>HYPERLINK("http://catalog.hathitrust.org/Record/006666290")</f>
        <v>http://catalog.hathitrust.org/Record/006666290</v>
      </c>
      <c r="J4402" s="1">
        <v>1910</v>
      </c>
      <c r="K4402" t="s">
        <v>10613</v>
      </c>
      <c r="L4402" t="s">
        <v>10897</v>
      </c>
    </row>
    <row r="4403" spans="1:12">
      <c r="A4403" t="s">
        <v>10614</v>
      </c>
      <c r="B4403" s="1" t="s">
        <v>10612</v>
      </c>
      <c r="F4403">
        <v>1</v>
      </c>
      <c r="G4403" t="str">
        <f>HYPERLINK("http://babel.hathitrust.org/cgi/pt?id=nyp.33433068184294")</f>
        <v>http://babel.hathitrust.org/cgi/pt?id=nyp.33433068184294</v>
      </c>
      <c r="H4403" t="str">
        <f>HYPERLINK("http://catalog.hathitrust.org/Record/006666290")</f>
        <v>http://catalog.hathitrust.org/Record/006666290</v>
      </c>
      <c r="J4403" s="1">
        <v>1910</v>
      </c>
      <c r="K4403" t="s">
        <v>10613</v>
      </c>
      <c r="L4403" t="s">
        <v>10897</v>
      </c>
    </row>
    <row r="4404" spans="1:12">
      <c r="A4404" t="s">
        <v>10615</v>
      </c>
      <c r="B4404" s="1" t="s">
        <v>10612</v>
      </c>
      <c r="F4404">
        <v>1</v>
      </c>
      <c r="G4404" t="str">
        <f>HYPERLINK("http://babel.hathitrust.org/cgi/pt?id=uc1.b3514894")</f>
        <v>http://babel.hathitrust.org/cgi/pt?id=uc1.b3514894</v>
      </c>
      <c r="H4404" t="str">
        <f>HYPERLINK("http://catalog.hathitrust.org/Record/006666290")</f>
        <v>http://catalog.hathitrust.org/Record/006666290</v>
      </c>
      <c r="J4404" s="1">
        <v>1910</v>
      </c>
      <c r="K4404" t="s">
        <v>10613</v>
      </c>
      <c r="L4404" t="s">
        <v>10897</v>
      </c>
    </row>
    <row r="4405" spans="1:12">
      <c r="A4405" t="s">
        <v>10616</v>
      </c>
      <c r="B4405" s="1" t="s">
        <v>10617</v>
      </c>
      <c r="D4405">
        <v>1</v>
      </c>
      <c r="G4405" t="str">
        <f>HYPERLINK("http://babel.hathitrust.org/cgi/pt?id=uc1.b3514903")</f>
        <v>http://babel.hathitrust.org/cgi/pt?id=uc1.b3514903</v>
      </c>
      <c r="H4405" t="str">
        <f>HYPERLINK("http://catalog.hathitrust.org/Record/006666295")</f>
        <v>http://catalog.hathitrust.org/Record/006666295</v>
      </c>
      <c r="I4405" s="1" t="s">
        <v>19240</v>
      </c>
      <c r="J4405" s="1">
        <v>1933</v>
      </c>
      <c r="K4405" t="s">
        <v>16043</v>
      </c>
      <c r="L4405" t="s">
        <v>19727</v>
      </c>
    </row>
    <row r="4406" spans="1:12">
      <c r="A4406" t="s">
        <v>10618</v>
      </c>
      <c r="B4406" s="1" t="s">
        <v>10619</v>
      </c>
      <c r="D4406">
        <v>1</v>
      </c>
      <c r="G4406" t="str">
        <f>HYPERLINK("http://babel.hathitrust.org/cgi/pt?id=njp.32101074759885")</f>
        <v>http://babel.hathitrust.org/cgi/pt?id=njp.32101074759885</v>
      </c>
      <c r="H4406" t="str">
        <f>HYPERLINK("http://catalog.hathitrust.org/Record/006666302")</f>
        <v>http://catalog.hathitrust.org/Record/006666302</v>
      </c>
      <c r="J4406" s="1">
        <v>1921</v>
      </c>
      <c r="K4406" t="s">
        <v>10506</v>
      </c>
      <c r="L4406" t="s">
        <v>19253</v>
      </c>
    </row>
    <row r="4407" spans="1:12">
      <c r="A4407" t="s">
        <v>10507</v>
      </c>
      <c r="B4407" s="1" t="s">
        <v>10619</v>
      </c>
      <c r="F4407">
        <v>1</v>
      </c>
      <c r="G4407" t="str">
        <f>HYPERLINK("http://babel.hathitrust.org/cgi/pt?id=uc1.b3514913")</f>
        <v>http://babel.hathitrust.org/cgi/pt?id=uc1.b3514913</v>
      </c>
      <c r="H4407" t="str">
        <f>HYPERLINK("http://catalog.hathitrust.org/Record/006666302")</f>
        <v>http://catalog.hathitrust.org/Record/006666302</v>
      </c>
      <c r="J4407" s="1">
        <v>1921</v>
      </c>
      <c r="K4407" t="s">
        <v>10506</v>
      </c>
      <c r="L4407" t="s">
        <v>19253</v>
      </c>
    </row>
    <row r="4408" spans="1:12">
      <c r="A4408" t="s">
        <v>10508</v>
      </c>
      <c r="B4408" s="1" t="s">
        <v>10619</v>
      </c>
      <c r="F4408">
        <v>1</v>
      </c>
      <c r="G4408" t="str">
        <f>HYPERLINK("http://babel.hathitrust.org/cgi/pt?id=uc2.ark:/13960/t3st7px40")</f>
        <v>http://babel.hathitrust.org/cgi/pt?id=uc2.ark:/13960/t3st7px40</v>
      </c>
      <c r="H4408" t="str">
        <f>HYPERLINK("http://catalog.hathitrust.org/Record/006666302")</f>
        <v>http://catalog.hathitrust.org/Record/006666302</v>
      </c>
      <c r="J4408" s="1">
        <v>1921</v>
      </c>
      <c r="K4408" t="s">
        <v>10506</v>
      </c>
      <c r="L4408" t="s">
        <v>19253</v>
      </c>
    </row>
    <row r="4409" spans="1:12">
      <c r="A4409" t="s">
        <v>10509</v>
      </c>
      <c r="B4409" s="1" t="s">
        <v>10510</v>
      </c>
      <c r="F4409">
        <v>1</v>
      </c>
      <c r="G4409" t="str">
        <f>HYPERLINK("http://babel.hathitrust.org/cgi/pt?id=uc1.b3515121")</f>
        <v>http://babel.hathitrust.org/cgi/pt?id=uc1.b3515121</v>
      </c>
      <c r="H4409" t="str">
        <f>HYPERLINK("http://catalog.hathitrust.org/Record/006666312")</f>
        <v>http://catalog.hathitrust.org/Record/006666312</v>
      </c>
      <c r="I4409" s="1" t="s">
        <v>20916</v>
      </c>
      <c r="J4409" s="1">
        <v>1806</v>
      </c>
      <c r="K4409" t="s">
        <v>10511</v>
      </c>
      <c r="L4409" t="s">
        <v>20960</v>
      </c>
    </row>
    <row r="4410" spans="1:12">
      <c r="A4410" t="s">
        <v>10512</v>
      </c>
      <c r="B4410" s="1" t="s">
        <v>10513</v>
      </c>
      <c r="F4410">
        <v>1</v>
      </c>
      <c r="G4410" t="str">
        <f>HYPERLINK("http://babel.hathitrust.org/cgi/pt?id=uc1.b3515385")</f>
        <v>http://babel.hathitrust.org/cgi/pt?id=uc1.b3515385</v>
      </c>
      <c r="H4410" t="str">
        <f>HYPERLINK("http://catalog.hathitrust.org/Record/006666504")</f>
        <v>http://catalog.hathitrust.org/Record/006666504</v>
      </c>
      <c r="I4410" s="1" t="s">
        <v>20183</v>
      </c>
      <c r="J4410" s="1">
        <v>1955</v>
      </c>
      <c r="K4410" t="s">
        <v>10514</v>
      </c>
      <c r="L4410" t="s">
        <v>10515</v>
      </c>
    </row>
    <row r="4411" spans="1:12">
      <c r="A4411" t="s">
        <v>10516</v>
      </c>
      <c r="B4411" s="1" t="s">
        <v>10517</v>
      </c>
      <c r="F4411">
        <v>1</v>
      </c>
      <c r="G4411" t="str">
        <f>HYPERLINK("http://babel.hathitrust.org/cgi/pt?id=uc1.b3515392")</f>
        <v>http://babel.hathitrust.org/cgi/pt?id=uc1.b3515392</v>
      </c>
      <c r="H4411" t="str">
        <f>HYPERLINK("http://catalog.hathitrust.org/Record/006666509")</f>
        <v>http://catalog.hathitrust.org/Record/006666509</v>
      </c>
      <c r="I4411" s="1" t="s">
        <v>20916</v>
      </c>
      <c r="J4411" s="1">
        <v>1871</v>
      </c>
      <c r="K4411" t="s">
        <v>10518</v>
      </c>
      <c r="L4411" t="s">
        <v>17879</v>
      </c>
    </row>
    <row r="4412" spans="1:12">
      <c r="A4412" t="s">
        <v>10519</v>
      </c>
      <c r="B4412" s="1" t="s">
        <v>10517</v>
      </c>
      <c r="F4412">
        <v>1</v>
      </c>
      <c r="G4412" t="str">
        <f>HYPERLINK("http://babel.hathitrust.org/cgi/pt?id=uc1.b3515393")</f>
        <v>http://babel.hathitrust.org/cgi/pt?id=uc1.b3515393</v>
      </c>
      <c r="H4412" t="str">
        <f>HYPERLINK("http://catalog.hathitrust.org/Record/006666509")</f>
        <v>http://catalog.hathitrust.org/Record/006666509</v>
      </c>
      <c r="I4412" s="1" t="s">
        <v>20755</v>
      </c>
      <c r="J4412" s="1">
        <v>1871</v>
      </c>
      <c r="K4412" t="s">
        <v>10518</v>
      </c>
      <c r="L4412" t="s">
        <v>17879</v>
      </c>
    </row>
    <row r="4413" spans="1:12">
      <c r="A4413" t="s">
        <v>10520</v>
      </c>
      <c r="B4413" s="1" t="s">
        <v>10517</v>
      </c>
      <c r="F4413">
        <v>1</v>
      </c>
      <c r="G4413" t="str">
        <f>HYPERLINK("http://babel.hathitrust.org/cgi/pt?id=uc1.b3515394")</f>
        <v>http://babel.hathitrust.org/cgi/pt?id=uc1.b3515394</v>
      </c>
      <c r="H4413" t="str">
        <f>HYPERLINK("http://catalog.hathitrust.org/Record/006666509")</f>
        <v>http://catalog.hathitrust.org/Record/006666509</v>
      </c>
      <c r="I4413" s="1" t="s">
        <v>20920</v>
      </c>
      <c r="J4413" s="1">
        <v>1871</v>
      </c>
      <c r="K4413" t="s">
        <v>10518</v>
      </c>
      <c r="L4413" t="s">
        <v>17879</v>
      </c>
    </row>
    <row r="4414" spans="1:12">
      <c r="A4414" t="s">
        <v>10521</v>
      </c>
      <c r="B4414" s="1" t="s">
        <v>10517</v>
      </c>
      <c r="F4414">
        <v>1</v>
      </c>
      <c r="G4414" t="str">
        <f>HYPERLINK("http://babel.hathitrust.org/cgi/pt?id=uc1.b3515395")</f>
        <v>http://babel.hathitrust.org/cgi/pt?id=uc1.b3515395</v>
      </c>
      <c r="H4414" t="str">
        <f>HYPERLINK("http://catalog.hathitrust.org/Record/006666509")</f>
        <v>http://catalog.hathitrust.org/Record/006666509</v>
      </c>
      <c r="I4414" s="1" t="s">
        <v>20679</v>
      </c>
      <c r="J4414" s="1">
        <v>1871</v>
      </c>
      <c r="K4414" t="s">
        <v>10518</v>
      </c>
      <c r="L4414" t="s">
        <v>17879</v>
      </c>
    </row>
    <row r="4415" spans="1:12">
      <c r="A4415" t="s">
        <v>10522</v>
      </c>
      <c r="B4415" s="1" t="s">
        <v>10523</v>
      </c>
      <c r="E4415">
        <v>1</v>
      </c>
      <c r="G4415" t="str">
        <f>HYPERLINK("http://babel.hathitrust.org/cgi/pt?id=uc1.b3539516")</f>
        <v>http://babel.hathitrust.org/cgi/pt?id=uc1.b3539516</v>
      </c>
      <c r="H4415" t="str">
        <f>HYPERLINK("http://catalog.hathitrust.org/Record/006671079")</f>
        <v>http://catalog.hathitrust.org/Record/006671079</v>
      </c>
      <c r="I4415" s="1" t="s">
        <v>20755</v>
      </c>
      <c r="J4415" s="1">
        <v>1866</v>
      </c>
      <c r="K4415" t="s">
        <v>10524</v>
      </c>
      <c r="L4415" t="s">
        <v>19675</v>
      </c>
    </row>
    <row r="4416" spans="1:12">
      <c r="A4416" t="s">
        <v>10525</v>
      </c>
      <c r="B4416" s="1" t="s">
        <v>10523</v>
      </c>
      <c r="E4416">
        <v>1</v>
      </c>
      <c r="G4416" t="str">
        <f>HYPERLINK("http://babel.hathitrust.org/cgi/pt?id=uc2.ark:/13960/t4gm8392q")</f>
        <v>http://babel.hathitrust.org/cgi/pt?id=uc2.ark:/13960/t4gm8392q</v>
      </c>
      <c r="H4416" t="str">
        <f>HYPERLINK("http://catalog.hathitrust.org/Record/006671079")</f>
        <v>http://catalog.hathitrust.org/Record/006671079</v>
      </c>
      <c r="I4416" s="1" t="s">
        <v>20916</v>
      </c>
      <c r="J4416" s="1">
        <v>1866</v>
      </c>
      <c r="K4416" t="s">
        <v>10524</v>
      </c>
      <c r="L4416" t="s">
        <v>19675</v>
      </c>
    </row>
    <row r="4417" spans="1:12">
      <c r="A4417" t="s">
        <v>10526</v>
      </c>
      <c r="B4417" s="1" t="s">
        <v>10527</v>
      </c>
      <c r="E4417">
        <v>1</v>
      </c>
      <c r="G4417" t="str">
        <f>HYPERLINK("http://babel.hathitrust.org/cgi/pt?id=uc1.b3539999")</f>
        <v>http://babel.hathitrust.org/cgi/pt?id=uc1.b3539999</v>
      </c>
      <c r="H4417" t="str">
        <f>HYPERLINK("http://catalog.hathitrust.org/Record/006671165")</f>
        <v>http://catalog.hathitrust.org/Record/006671165</v>
      </c>
      <c r="J4417" s="1">
        <v>1901</v>
      </c>
      <c r="K4417" t="s">
        <v>19686</v>
      </c>
      <c r="L4417" t="s">
        <v>19745</v>
      </c>
    </row>
    <row r="4418" spans="1:12">
      <c r="A4418" t="s">
        <v>10528</v>
      </c>
      <c r="B4418" s="1" t="s">
        <v>10529</v>
      </c>
      <c r="F4418">
        <v>1</v>
      </c>
      <c r="G4418" t="str">
        <f>HYPERLINK("http://babel.hathitrust.org/cgi/pt?id=uc1.b3541556")</f>
        <v>http://babel.hathitrust.org/cgi/pt?id=uc1.b3541556</v>
      </c>
      <c r="H4418" t="str">
        <f>HYPERLINK("http://catalog.hathitrust.org/Record/006671336")</f>
        <v>http://catalog.hathitrust.org/Record/006671336</v>
      </c>
      <c r="J4418" s="1">
        <v>1836</v>
      </c>
      <c r="K4418" t="s">
        <v>10530</v>
      </c>
      <c r="L4418" t="s">
        <v>10531</v>
      </c>
    </row>
    <row r="4419" spans="1:12">
      <c r="A4419" t="s">
        <v>10532</v>
      </c>
      <c r="B4419" s="1" t="s">
        <v>10529</v>
      </c>
      <c r="F4419">
        <v>1</v>
      </c>
      <c r="G4419" t="str">
        <f>HYPERLINK("http://babel.hathitrust.org/cgi/pt?id=uc2.ark:/13960/t9v12550f")</f>
        <v>http://babel.hathitrust.org/cgi/pt?id=uc2.ark:/13960/t9v12550f</v>
      </c>
      <c r="H4419" t="str">
        <f>HYPERLINK("http://catalog.hathitrust.org/Record/006671336")</f>
        <v>http://catalog.hathitrust.org/Record/006671336</v>
      </c>
      <c r="J4419" s="1">
        <v>1836</v>
      </c>
      <c r="K4419" t="s">
        <v>10530</v>
      </c>
      <c r="L4419" t="s">
        <v>10531</v>
      </c>
    </row>
    <row r="4420" spans="1:12">
      <c r="A4420" t="s">
        <v>10533</v>
      </c>
      <c r="B4420" s="1" t="s">
        <v>10534</v>
      </c>
      <c r="E4420">
        <v>1</v>
      </c>
      <c r="F4420">
        <v>1</v>
      </c>
      <c r="G4420" t="str">
        <f>HYPERLINK("http://babel.hathitrust.org/cgi/pt?id=uc1.b3543118")</f>
        <v>http://babel.hathitrust.org/cgi/pt?id=uc1.b3543118</v>
      </c>
      <c r="H4420" t="str">
        <f>HYPERLINK("http://catalog.hathitrust.org/Record/006671453")</f>
        <v>http://catalog.hathitrust.org/Record/006671453</v>
      </c>
      <c r="J4420" s="1">
        <v>1893</v>
      </c>
      <c r="K4420" t="s">
        <v>17741</v>
      </c>
      <c r="L4420" t="s">
        <v>19690</v>
      </c>
    </row>
    <row r="4421" spans="1:12">
      <c r="A4421" t="s">
        <v>10535</v>
      </c>
      <c r="B4421" s="1" t="s">
        <v>10534</v>
      </c>
      <c r="F4421">
        <v>1</v>
      </c>
      <c r="G4421" t="str">
        <f>HYPERLINK("http://babel.hathitrust.org/cgi/pt?id=uc2.ark:/13960/t4gm89v7s")</f>
        <v>http://babel.hathitrust.org/cgi/pt?id=uc2.ark:/13960/t4gm89v7s</v>
      </c>
      <c r="H4421" t="str">
        <f>HYPERLINK("http://catalog.hathitrust.org/Record/006671453")</f>
        <v>http://catalog.hathitrust.org/Record/006671453</v>
      </c>
      <c r="J4421" s="1">
        <v>1893</v>
      </c>
      <c r="K4421" t="s">
        <v>17741</v>
      </c>
      <c r="L4421" t="s">
        <v>19690</v>
      </c>
    </row>
    <row r="4422" spans="1:12">
      <c r="A4422" t="s">
        <v>10536</v>
      </c>
      <c r="B4422" s="1" t="s">
        <v>10537</v>
      </c>
      <c r="F4422">
        <v>1</v>
      </c>
      <c r="G4422" t="str">
        <f>HYPERLINK("http://babel.hathitrust.org/cgi/pt?id=hvd.hxg8jj")</f>
        <v>http://babel.hathitrust.org/cgi/pt?id=hvd.hxg8jj</v>
      </c>
      <c r="H4422" t="str">
        <f t="shared" ref="H4422:H4440" si="52">HYPERLINK("http://catalog.hathitrust.org/Record/006671540")</f>
        <v>http://catalog.hathitrust.org/Record/006671540</v>
      </c>
      <c r="I4422" s="1" t="s">
        <v>16574</v>
      </c>
      <c r="J4422" s="1">
        <v>1815</v>
      </c>
      <c r="K4422" t="s">
        <v>10538</v>
      </c>
      <c r="L4422" t="s">
        <v>18678</v>
      </c>
    </row>
    <row r="4423" spans="1:12">
      <c r="A4423" t="s">
        <v>10539</v>
      </c>
      <c r="B4423" s="1" t="s">
        <v>10537</v>
      </c>
      <c r="F4423">
        <v>1</v>
      </c>
      <c r="G4423" t="str">
        <f>HYPERLINK("http://babel.hathitrust.org/cgi/pt?id=hvd.hxg8jk")</f>
        <v>http://babel.hathitrust.org/cgi/pt?id=hvd.hxg8jk</v>
      </c>
      <c r="H4423" t="str">
        <f t="shared" si="52"/>
        <v>http://catalog.hathitrust.org/Record/006671540</v>
      </c>
      <c r="I4423" s="1" t="s">
        <v>16582</v>
      </c>
      <c r="J4423" s="1">
        <v>1815</v>
      </c>
      <c r="K4423" t="s">
        <v>10538</v>
      </c>
      <c r="L4423" t="s">
        <v>18678</v>
      </c>
    </row>
    <row r="4424" spans="1:12">
      <c r="A4424" t="s">
        <v>10540</v>
      </c>
      <c r="B4424" s="1" t="s">
        <v>10537</v>
      </c>
      <c r="F4424">
        <v>1</v>
      </c>
      <c r="G4424" t="str">
        <f>HYPERLINK("http://babel.hathitrust.org/cgi/pt?id=hvd.hxg8jl")</f>
        <v>http://babel.hathitrust.org/cgi/pt?id=hvd.hxg8jl</v>
      </c>
      <c r="H4424" t="str">
        <f t="shared" si="52"/>
        <v>http://catalog.hathitrust.org/Record/006671540</v>
      </c>
      <c r="I4424" s="1" t="s">
        <v>21021</v>
      </c>
      <c r="J4424" s="1">
        <v>1815</v>
      </c>
      <c r="K4424" t="s">
        <v>10538</v>
      </c>
      <c r="L4424" t="s">
        <v>18678</v>
      </c>
    </row>
    <row r="4425" spans="1:12">
      <c r="A4425" t="s">
        <v>10541</v>
      </c>
      <c r="B4425" s="1" t="s">
        <v>10537</v>
      </c>
      <c r="F4425">
        <v>1</v>
      </c>
      <c r="G4425" t="str">
        <f>HYPERLINK("http://babel.hathitrust.org/cgi/pt?id=hvd.hxg8jm")</f>
        <v>http://babel.hathitrust.org/cgi/pt?id=hvd.hxg8jm</v>
      </c>
      <c r="H4425" t="str">
        <f t="shared" si="52"/>
        <v>http://catalog.hathitrust.org/Record/006671540</v>
      </c>
      <c r="I4425" s="1" t="s">
        <v>16577</v>
      </c>
      <c r="J4425" s="1">
        <v>1815</v>
      </c>
      <c r="K4425" t="s">
        <v>10538</v>
      </c>
      <c r="L4425" t="s">
        <v>18678</v>
      </c>
    </row>
    <row r="4426" spans="1:12">
      <c r="A4426" t="s">
        <v>10542</v>
      </c>
      <c r="B4426" s="1" t="s">
        <v>10537</v>
      </c>
      <c r="F4426">
        <v>1</v>
      </c>
      <c r="G4426" t="str">
        <f>HYPERLINK("http://babel.hathitrust.org/cgi/pt?id=hvd.hxg8jn")</f>
        <v>http://babel.hathitrust.org/cgi/pt?id=hvd.hxg8jn</v>
      </c>
      <c r="H4426" t="str">
        <f t="shared" si="52"/>
        <v>http://catalog.hathitrust.org/Record/006671540</v>
      </c>
      <c r="I4426" s="1" t="s">
        <v>21018</v>
      </c>
      <c r="J4426" s="1">
        <v>1815</v>
      </c>
      <c r="K4426" t="s">
        <v>10538</v>
      </c>
      <c r="L4426" t="s">
        <v>18678</v>
      </c>
    </row>
    <row r="4427" spans="1:12">
      <c r="A4427" t="s">
        <v>10543</v>
      </c>
      <c r="B4427" s="1" t="s">
        <v>10537</v>
      </c>
      <c r="F4427">
        <v>1</v>
      </c>
      <c r="G4427" t="str">
        <f>HYPERLINK("http://babel.hathitrust.org/cgi/pt?id=hvd.hxg8jp")</f>
        <v>http://babel.hathitrust.org/cgi/pt?id=hvd.hxg8jp</v>
      </c>
      <c r="H4427" t="str">
        <f t="shared" si="52"/>
        <v>http://catalog.hathitrust.org/Record/006671540</v>
      </c>
      <c r="I4427" s="1" t="s">
        <v>20681</v>
      </c>
      <c r="J4427" s="1">
        <v>1815</v>
      </c>
      <c r="K4427" t="s">
        <v>10538</v>
      </c>
      <c r="L4427" t="s">
        <v>18678</v>
      </c>
    </row>
    <row r="4428" spans="1:12">
      <c r="A4428" t="s">
        <v>10544</v>
      </c>
      <c r="B4428" s="1" t="s">
        <v>10537</v>
      </c>
      <c r="F4428">
        <v>1</v>
      </c>
      <c r="G4428" t="str">
        <f>HYPERLINK("http://babel.hathitrust.org/cgi/pt?id=hvd.hxg8jq")</f>
        <v>http://babel.hathitrust.org/cgi/pt?id=hvd.hxg8jq</v>
      </c>
      <c r="H4428" t="str">
        <f t="shared" si="52"/>
        <v>http://catalog.hathitrust.org/Record/006671540</v>
      </c>
      <c r="I4428" s="1" t="s">
        <v>20679</v>
      </c>
      <c r="J4428" s="1">
        <v>1815</v>
      </c>
      <c r="K4428" t="s">
        <v>10538</v>
      </c>
      <c r="L4428" t="s">
        <v>18678</v>
      </c>
    </row>
    <row r="4429" spans="1:12">
      <c r="A4429" t="s">
        <v>10545</v>
      </c>
      <c r="B4429" s="1" t="s">
        <v>10537</v>
      </c>
      <c r="F4429">
        <v>1</v>
      </c>
      <c r="G4429" t="str">
        <f>HYPERLINK("http://babel.hathitrust.org/cgi/pt?id=hvd.hxg8jr")</f>
        <v>http://babel.hathitrust.org/cgi/pt?id=hvd.hxg8jr</v>
      </c>
      <c r="H4429" t="str">
        <f t="shared" si="52"/>
        <v>http://catalog.hathitrust.org/Record/006671540</v>
      </c>
      <c r="I4429" s="1" t="s">
        <v>20920</v>
      </c>
      <c r="J4429" s="1">
        <v>1815</v>
      </c>
      <c r="K4429" t="s">
        <v>10538</v>
      </c>
      <c r="L4429" t="s">
        <v>18678</v>
      </c>
    </row>
    <row r="4430" spans="1:12">
      <c r="A4430" t="s">
        <v>10546</v>
      </c>
      <c r="B4430" s="1" t="s">
        <v>10537</v>
      </c>
      <c r="F4430">
        <v>1</v>
      </c>
      <c r="G4430" t="str">
        <f>HYPERLINK("http://babel.hathitrust.org/cgi/pt?id=hvd.hxg8js")</f>
        <v>http://babel.hathitrust.org/cgi/pt?id=hvd.hxg8js</v>
      </c>
      <c r="H4430" t="str">
        <f t="shared" si="52"/>
        <v>http://catalog.hathitrust.org/Record/006671540</v>
      </c>
      <c r="I4430" s="1" t="s">
        <v>20755</v>
      </c>
      <c r="J4430" s="1">
        <v>1815</v>
      </c>
      <c r="K4430" t="s">
        <v>10538</v>
      </c>
      <c r="L4430" t="s">
        <v>18678</v>
      </c>
    </row>
    <row r="4431" spans="1:12">
      <c r="A4431" t="s">
        <v>10547</v>
      </c>
      <c r="B4431" s="1" t="s">
        <v>10537</v>
      </c>
      <c r="F4431">
        <v>1</v>
      </c>
      <c r="G4431" t="str">
        <f>HYPERLINK("http://babel.hathitrust.org/cgi/pt?id=hvd.hxg8jt")</f>
        <v>http://babel.hathitrust.org/cgi/pt?id=hvd.hxg8jt</v>
      </c>
      <c r="H4431" t="str">
        <f t="shared" si="52"/>
        <v>http://catalog.hathitrust.org/Record/006671540</v>
      </c>
      <c r="I4431" s="1" t="s">
        <v>20916</v>
      </c>
      <c r="J4431" s="1">
        <v>1815</v>
      </c>
      <c r="K4431" t="s">
        <v>10538</v>
      </c>
      <c r="L4431" t="s">
        <v>18678</v>
      </c>
    </row>
    <row r="4432" spans="1:12">
      <c r="A4432" t="s">
        <v>10548</v>
      </c>
      <c r="B4432" s="1" t="s">
        <v>10537</v>
      </c>
      <c r="F4432">
        <v>1</v>
      </c>
      <c r="G4432" t="str">
        <f>HYPERLINK("http://babel.hathitrust.org/cgi/pt?id=uc1.b3543568")</f>
        <v>http://babel.hathitrust.org/cgi/pt?id=uc1.b3543568</v>
      </c>
      <c r="H4432" t="str">
        <f t="shared" si="52"/>
        <v>http://catalog.hathitrust.org/Record/006671540</v>
      </c>
      <c r="I4432" s="1" t="s">
        <v>20916</v>
      </c>
      <c r="J4432" s="1">
        <v>1815</v>
      </c>
      <c r="K4432" t="s">
        <v>10538</v>
      </c>
      <c r="L4432" t="s">
        <v>18678</v>
      </c>
    </row>
    <row r="4433" spans="1:12">
      <c r="A4433" t="s">
        <v>10549</v>
      </c>
      <c r="B4433" s="1" t="s">
        <v>10537</v>
      </c>
      <c r="F4433">
        <v>1</v>
      </c>
      <c r="G4433" t="str">
        <f>HYPERLINK("http://babel.hathitrust.org/cgi/pt?id=uc1.b3543569")</f>
        <v>http://babel.hathitrust.org/cgi/pt?id=uc1.b3543569</v>
      </c>
      <c r="H4433" t="str">
        <f t="shared" si="52"/>
        <v>http://catalog.hathitrust.org/Record/006671540</v>
      </c>
      <c r="I4433" s="1" t="s">
        <v>20755</v>
      </c>
      <c r="J4433" s="1">
        <v>1815</v>
      </c>
      <c r="K4433" t="s">
        <v>10538</v>
      </c>
      <c r="L4433" t="s">
        <v>18678</v>
      </c>
    </row>
    <row r="4434" spans="1:12">
      <c r="A4434" t="s">
        <v>10550</v>
      </c>
      <c r="B4434" s="1" t="s">
        <v>10537</v>
      </c>
      <c r="F4434">
        <v>1</v>
      </c>
      <c r="G4434" t="str">
        <f>HYPERLINK("http://babel.hathitrust.org/cgi/pt?id=uc1.b3543570")</f>
        <v>http://babel.hathitrust.org/cgi/pt?id=uc1.b3543570</v>
      </c>
      <c r="H4434" t="str">
        <f t="shared" si="52"/>
        <v>http://catalog.hathitrust.org/Record/006671540</v>
      </c>
      <c r="I4434" s="1" t="s">
        <v>20920</v>
      </c>
      <c r="J4434" s="1">
        <v>1815</v>
      </c>
      <c r="K4434" t="s">
        <v>10538</v>
      </c>
      <c r="L4434" t="s">
        <v>18678</v>
      </c>
    </row>
    <row r="4435" spans="1:12">
      <c r="A4435" t="s">
        <v>10551</v>
      </c>
      <c r="B4435" s="1" t="s">
        <v>10537</v>
      </c>
      <c r="F4435">
        <v>1</v>
      </c>
      <c r="G4435" t="str">
        <f>HYPERLINK("http://babel.hathitrust.org/cgi/pt?id=uc1.b3543571")</f>
        <v>http://babel.hathitrust.org/cgi/pt?id=uc1.b3543571</v>
      </c>
      <c r="H4435" t="str">
        <f t="shared" si="52"/>
        <v>http://catalog.hathitrust.org/Record/006671540</v>
      </c>
      <c r="I4435" s="1" t="s">
        <v>20679</v>
      </c>
      <c r="J4435" s="1">
        <v>1815</v>
      </c>
      <c r="K4435" t="s">
        <v>10538</v>
      </c>
      <c r="L4435" t="s">
        <v>18678</v>
      </c>
    </row>
    <row r="4436" spans="1:12">
      <c r="A4436" t="s">
        <v>10552</v>
      </c>
      <c r="B4436" s="1" t="s">
        <v>10537</v>
      </c>
      <c r="F4436">
        <v>1</v>
      </c>
      <c r="G4436" t="str">
        <f>HYPERLINK("http://babel.hathitrust.org/cgi/pt?id=uc1.b3543572")</f>
        <v>http://babel.hathitrust.org/cgi/pt?id=uc1.b3543572</v>
      </c>
      <c r="H4436" t="str">
        <f t="shared" si="52"/>
        <v>http://catalog.hathitrust.org/Record/006671540</v>
      </c>
      <c r="I4436" s="1" t="s">
        <v>20681</v>
      </c>
      <c r="J4436" s="1">
        <v>1815</v>
      </c>
      <c r="K4436" t="s">
        <v>10538</v>
      </c>
      <c r="L4436" t="s">
        <v>18678</v>
      </c>
    </row>
    <row r="4437" spans="1:12">
      <c r="A4437" t="s">
        <v>10553</v>
      </c>
      <c r="B4437" s="1" t="s">
        <v>10537</v>
      </c>
      <c r="F4437">
        <v>1</v>
      </c>
      <c r="G4437" t="str">
        <f>HYPERLINK("http://babel.hathitrust.org/cgi/pt?id=uc1.b3543573")</f>
        <v>http://babel.hathitrust.org/cgi/pt?id=uc1.b3543573</v>
      </c>
      <c r="H4437" t="str">
        <f t="shared" si="52"/>
        <v>http://catalog.hathitrust.org/Record/006671540</v>
      </c>
      <c r="I4437" s="1" t="s">
        <v>21018</v>
      </c>
      <c r="J4437" s="1">
        <v>1815</v>
      </c>
      <c r="K4437" t="s">
        <v>10538</v>
      </c>
      <c r="L4437" t="s">
        <v>18678</v>
      </c>
    </row>
    <row r="4438" spans="1:12">
      <c r="A4438" t="s">
        <v>10554</v>
      </c>
      <c r="B4438" s="1" t="s">
        <v>10537</v>
      </c>
      <c r="F4438">
        <v>1</v>
      </c>
      <c r="G4438" t="str">
        <f>HYPERLINK("http://babel.hathitrust.org/cgi/pt?id=uc1.b3543574")</f>
        <v>http://babel.hathitrust.org/cgi/pt?id=uc1.b3543574</v>
      </c>
      <c r="H4438" t="str">
        <f t="shared" si="52"/>
        <v>http://catalog.hathitrust.org/Record/006671540</v>
      </c>
      <c r="I4438" s="1" t="s">
        <v>16577</v>
      </c>
      <c r="J4438" s="1">
        <v>1815</v>
      </c>
      <c r="K4438" t="s">
        <v>10538</v>
      </c>
      <c r="L4438" t="s">
        <v>18678</v>
      </c>
    </row>
    <row r="4439" spans="1:12">
      <c r="A4439" t="s">
        <v>10555</v>
      </c>
      <c r="B4439" s="1" t="s">
        <v>10537</v>
      </c>
      <c r="F4439">
        <v>1</v>
      </c>
      <c r="G4439" t="str">
        <f>HYPERLINK("http://babel.hathitrust.org/cgi/pt?id=uc1.b3543575")</f>
        <v>http://babel.hathitrust.org/cgi/pt?id=uc1.b3543575</v>
      </c>
      <c r="H4439" t="str">
        <f t="shared" si="52"/>
        <v>http://catalog.hathitrust.org/Record/006671540</v>
      </c>
      <c r="I4439" s="1" t="s">
        <v>16582</v>
      </c>
      <c r="J4439" s="1">
        <v>1815</v>
      </c>
      <c r="K4439" t="s">
        <v>10538</v>
      </c>
      <c r="L4439" t="s">
        <v>18678</v>
      </c>
    </row>
    <row r="4440" spans="1:12">
      <c r="A4440" t="s">
        <v>10556</v>
      </c>
      <c r="B4440" s="1" t="s">
        <v>10537</v>
      </c>
      <c r="F4440">
        <v>1</v>
      </c>
      <c r="G4440" t="str">
        <f>HYPERLINK("http://babel.hathitrust.org/cgi/pt?id=uc1.b3543576")</f>
        <v>http://babel.hathitrust.org/cgi/pt?id=uc1.b3543576</v>
      </c>
      <c r="H4440" t="str">
        <f t="shared" si="52"/>
        <v>http://catalog.hathitrust.org/Record/006671540</v>
      </c>
      <c r="I4440" s="1" t="s">
        <v>16574</v>
      </c>
      <c r="J4440" s="1">
        <v>1815</v>
      </c>
      <c r="K4440" t="s">
        <v>10538</v>
      </c>
      <c r="L4440" t="s">
        <v>18678</v>
      </c>
    </row>
    <row r="4441" spans="1:12">
      <c r="A4441" t="s">
        <v>10557</v>
      </c>
      <c r="B4441" s="1" t="s">
        <v>10558</v>
      </c>
      <c r="E4441">
        <v>1</v>
      </c>
      <c r="G4441" t="str">
        <f>HYPERLINK("http://babel.hathitrust.org/cgi/pt?id=uc2.ark:/13960/t3zs2vh3h")</f>
        <v>http://babel.hathitrust.org/cgi/pt?id=uc2.ark:/13960/t3zs2vh3h</v>
      </c>
      <c r="H4441" t="str">
        <f>HYPERLINK("http://catalog.hathitrust.org/Record/006673072")</f>
        <v>http://catalog.hathitrust.org/Record/006673072</v>
      </c>
      <c r="J4441" s="1">
        <v>1889</v>
      </c>
      <c r="K4441" t="s">
        <v>10559</v>
      </c>
      <c r="L4441" t="s">
        <v>20675</v>
      </c>
    </row>
    <row r="4442" spans="1:12">
      <c r="A4442" t="s">
        <v>10560</v>
      </c>
      <c r="B4442" s="1" t="s">
        <v>10561</v>
      </c>
      <c r="F4442">
        <v>1</v>
      </c>
      <c r="G4442" t="str">
        <f>HYPERLINK("http://babel.hathitrust.org/cgi/pt?id=uc1.b3550672")</f>
        <v>http://babel.hathitrust.org/cgi/pt?id=uc1.b3550672</v>
      </c>
      <c r="H4442" t="str">
        <f>HYPERLINK("http://catalog.hathitrust.org/Record/006673131")</f>
        <v>http://catalog.hathitrust.org/Record/006673131</v>
      </c>
      <c r="J4442" s="1">
        <v>1920</v>
      </c>
      <c r="K4442" t="s">
        <v>20840</v>
      </c>
      <c r="L4442" t="s">
        <v>20841</v>
      </c>
    </row>
    <row r="4443" spans="1:12">
      <c r="A4443" t="s">
        <v>10562</v>
      </c>
      <c r="B4443" s="1" t="s">
        <v>10561</v>
      </c>
      <c r="F4443">
        <v>1</v>
      </c>
      <c r="G4443" t="str">
        <f>HYPERLINK("http://babel.hathitrust.org/cgi/pt?id=uc2.ark:/13960/t24b36953")</f>
        <v>http://babel.hathitrust.org/cgi/pt?id=uc2.ark:/13960/t24b36953</v>
      </c>
      <c r="H4443" t="str">
        <f>HYPERLINK("http://catalog.hathitrust.org/Record/006673131")</f>
        <v>http://catalog.hathitrust.org/Record/006673131</v>
      </c>
      <c r="J4443" s="1">
        <v>1920</v>
      </c>
      <c r="K4443" t="s">
        <v>20840</v>
      </c>
      <c r="L4443" t="s">
        <v>20841</v>
      </c>
    </row>
    <row r="4444" spans="1:12">
      <c r="A4444" t="s">
        <v>10563</v>
      </c>
      <c r="B4444" s="1" t="s">
        <v>10564</v>
      </c>
      <c r="F4444">
        <v>1</v>
      </c>
      <c r="G4444" t="str">
        <f>HYPERLINK("http://babel.hathitrust.org/cgi/pt?id=uc1.b3556247")</f>
        <v>http://babel.hathitrust.org/cgi/pt?id=uc1.b3556247</v>
      </c>
      <c r="H4444" t="str">
        <f>HYPERLINK("http://catalog.hathitrust.org/Record/006674009")</f>
        <v>http://catalog.hathitrust.org/Record/006674009</v>
      </c>
      <c r="J4444" s="1">
        <v>1901</v>
      </c>
      <c r="K4444" t="s">
        <v>10565</v>
      </c>
      <c r="L4444" t="s">
        <v>17835</v>
      </c>
    </row>
    <row r="4445" spans="1:12">
      <c r="A4445" t="s">
        <v>10566</v>
      </c>
      <c r="B4445" s="1" t="s">
        <v>10564</v>
      </c>
      <c r="F4445">
        <v>1</v>
      </c>
      <c r="G4445" t="str">
        <f>HYPERLINK("http://babel.hathitrust.org/cgi/pt?id=uc2.ark:/13960/t8jd5073k")</f>
        <v>http://babel.hathitrust.org/cgi/pt?id=uc2.ark:/13960/t8jd5073k</v>
      </c>
      <c r="H4445" t="str">
        <f>HYPERLINK("http://catalog.hathitrust.org/Record/006674009")</f>
        <v>http://catalog.hathitrust.org/Record/006674009</v>
      </c>
      <c r="J4445" s="1">
        <v>1901</v>
      </c>
      <c r="K4445" t="s">
        <v>10565</v>
      </c>
      <c r="L4445" t="s">
        <v>17835</v>
      </c>
    </row>
    <row r="4446" spans="1:12">
      <c r="A4446" t="s">
        <v>10567</v>
      </c>
      <c r="B4446" s="1" t="s">
        <v>10445</v>
      </c>
      <c r="F4446">
        <v>1</v>
      </c>
      <c r="G4446" t="str">
        <f>HYPERLINK("http://babel.hathitrust.org/cgi/pt?id=uc1.b3563119")</f>
        <v>http://babel.hathitrust.org/cgi/pt?id=uc1.b3563119</v>
      </c>
      <c r="H4446" t="str">
        <f>HYPERLINK("http://catalog.hathitrust.org/Record/006674844")</f>
        <v>http://catalog.hathitrust.org/Record/006674844</v>
      </c>
      <c r="J4446" s="1">
        <v>1923</v>
      </c>
      <c r="K4446" t="s">
        <v>10446</v>
      </c>
      <c r="L4446" t="s">
        <v>10447</v>
      </c>
    </row>
    <row r="4447" spans="1:12">
      <c r="A4447" t="s">
        <v>10448</v>
      </c>
      <c r="B4447" s="1" t="s">
        <v>10449</v>
      </c>
      <c r="E4447">
        <v>1</v>
      </c>
      <c r="F4447">
        <v>1</v>
      </c>
      <c r="G4447" t="str">
        <f>HYPERLINK("http://babel.hathitrust.org/cgi/pt?id=uc1.b3564915")</f>
        <v>http://babel.hathitrust.org/cgi/pt?id=uc1.b3564915</v>
      </c>
      <c r="H4447" t="str">
        <f>HYPERLINK("http://catalog.hathitrust.org/Record/006675300")</f>
        <v>http://catalog.hathitrust.org/Record/006675300</v>
      </c>
      <c r="J4447" s="1">
        <v>1900</v>
      </c>
      <c r="K4447" t="s">
        <v>10450</v>
      </c>
      <c r="L4447" t="s">
        <v>16431</v>
      </c>
    </row>
    <row r="4448" spans="1:12">
      <c r="A4448" t="s">
        <v>10451</v>
      </c>
      <c r="B4448" s="1" t="s">
        <v>10449</v>
      </c>
      <c r="F4448">
        <v>1</v>
      </c>
      <c r="G4448" t="str">
        <f>HYPERLINK("http://babel.hathitrust.org/cgi/pt?id=uc2.ark:/13960/t4th8mw33")</f>
        <v>http://babel.hathitrust.org/cgi/pt?id=uc2.ark:/13960/t4th8mw33</v>
      </c>
      <c r="H4448" t="str">
        <f>HYPERLINK("http://catalog.hathitrust.org/Record/006675300")</f>
        <v>http://catalog.hathitrust.org/Record/006675300</v>
      </c>
      <c r="J4448" s="1">
        <v>1900</v>
      </c>
      <c r="K4448" t="s">
        <v>10450</v>
      </c>
      <c r="L4448" t="s">
        <v>16431</v>
      </c>
    </row>
    <row r="4449" spans="1:12">
      <c r="A4449" t="s">
        <v>10452</v>
      </c>
      <c r="B4449" s="1" t="s">
        <v>10453</v>
      </c>
      <c r="E4449">
        <v>1</v>
      </c>
      <c r="G4449" t="str">
        <f>HYPERLINK("http://babel.hathitrust.org/cgi/pt?id=uc1.b3575582")</f>
        <v>http://babel.hathitrust.org/cgi/pt?id=uc1.b3575582</v>
      </c>
      <c r="H4449" t="str">
        <f>HYPERLINK("http://catalog.hathitrust.org/Record/006677505")</f>
        <v>http://catalog.hathitrust.org/Record/006677505</v>
      </c>
      <c r="J4449" s="1">
        <v>1895</v>
      </c>
      <c r="K4449" t="s">
        <v>10454</v>
      </c>
      <c r="L4449" t="s">
        <v>19690</v>
      </c>
    </row>
    <row r="4450" spans="1:12">
      <c r="A4450" t="s">
        <v>10455</v>
      </c>
      <c r="B4450" s="1" t="s">
        <v>10456</v>
      </c>
      <c r="F4450">
        <v>1</v>
      </c>
      <c r="G4450" t="str">
        <f>HYPERLINK("http://babel.hathitrust.org/cgi/pt?id=hvd.32044038422127")</f>
        <v>http://babel.hathitrust.org/cgi/pt?id=hvd.32044038422127</v>
      </c>
      <c r="H4450" t="str">
        <f t="shared" ref="H4450:H4456" si="53">HYPERLINK("http://catalog.hathitrust.org/Record/006677587")</f>
        <v>http://catalog.hathitrust.org/Record/006677587</v>
      </c>
      <c r="I4450" s="1" t="s">
        <v>20916</v>
      </c>
      <c r="J4450" s="1">
        <v>1853</v>
      </c>
      <c r="K4450" t="s">
        <v>10457</v>
      </c>
      <c r="L4450" t="s">
        <v>20395</v>
      </c>
    </row>
    <row r="4451" spans="1:12">
      <c r="A4451" t="s">
        <v>10458</v>
      </c>
      <c r="B4451" s="1" t="s">
        <v>10456</v>
      </c>
      <c r="F4451">
        <v>1</v>
      </c>
      <c r="G4451" t="str">
        <f>HYPERLINK("http://babel.hathitrust.org/cgi/pt?id=hvd.32044038422135")</f>
        <v>http://babel.hathitrust.org/cgi/pt?id=hvd.32044038422135</v>
      </c>
      <c r="H4451" t="str">
        <f t="shared" si="53"/>
        <v>http://catalog.hathitrust.org/Record/006677587</v>
      </c>
      <c r="I4451" s="1" t="s">
        <v>20755</v>
      </c>
      <c r="J4451" s="1">
        <v>1853</v>
      </c>
      <c r="K4451" t="s">
        <v>10457</v>
      </c>
      <c r="L4451" t="s">
        <v>20395</v>
      </c>
    </row>
    <row r="4452" spans="1:12">
      <c r="A4452" t="s">
        <v>10459</v>
      </c>
      <c r="B4452" s="1" t="s">
        <v>10456</v>
      </c>
      <c r="F4452">
        <v>1</v>
      </c>
      <c r="G4452" t="str">
        <f>HYPERLINK("http://babel.hathitrust.org/cgi/pt?id=hvd.32044090309444")</f>
        <v>http://babel.hathitrust.org/cgi/pt?id=hvd.32044090309444</v>
      </c>
      <c r="H4452" t="str">
        <f t="shared" si="53"/>
        <v>http://catalog.hathitrust.org/Record/006677587</v>
      </c>
      <c r="I4452" s="1" t="s">
        <v>20755</v>
      </c>
      <c r="J4452" s="1">
        <v>1853</v>
      </c>
      <c r="K4452" t="s">
        <v>10457</v>
      </c>
      <c r="L4452" t="s">
        <v>20395</v>
      </c>
    </row>
    <row r="4453" spans="1:12">
      <c r="A4453" t="s">
        <v>10460</v>
      </c>
      <c r="B4453" s="1" t="s">
        <v>10456</v>
      </c>
      <c r="F4453">
        <v>1</v>
      </c>
      <c r="G4453" t="str">
        <f>HYPERLINK("http://babel.hathitrust.org/cgi/pt?id=hvd.32044090309618")</f>
        <v>http://babel.hathitrust.org/cgi/pt?id=hvd.32044090309618</v>
      </c>
      <c r="H4453" t="str">
        <f t="shared" si="53"/>
        <v>http://catalog.hathitrust.org/Record/006677587</v>
      </c>
      <c r="I4453" s="1" t="s">
        <v>20916</v>
      </c>
      <c r="J4453" s="1">
        <v>1853</v>
      </c>
      <c r="K4453" t="s">
        <v>10457</v>
      </c>
      <c r="L4453" t="s">
        <v>20395</v>
      </c>
    </row>
    <row r="4454" spans="1:12">
      <c r="A4454" t="s">
        <v>10461</v>
      </c>
      <c r="B4454" s="1" t="s">
        <v>10456</v>
      </c>
      <c r="F4454">
        <v>1</v>
      </c>
      <c r="G4454" t="str">
        <f>HYPERLINK("http://babel.hathitrust.org/cgi/pt?id=hvd.hwjvjs")</f>
        <v>http://babel.hathitrust.org/cgi/pt?id=hvd.hwjvjs</v>
      </c>
      <c r="H4454" t="str">
        <f t="shared" si="53"/>
        <v>http://catalog.hathitrust.org/Record/006677587</v>
      </c>
      <c r="I4454" s="1" t="s">
        <v>20916</v>
      </c>
      <c r="J4454" s="1">
        <v>1853</v>
      </c>
      <c r="K4454" t="s">
        <v>10457</v>
      </c>
      <c r="L4454" t="s">
        <v>20395</v>
      </c>
    </row>
    <row r="4455" spans="1:12">
      <c r="A4455" t="s">
        <v>10462</v>
      </c>
      <c r="B4455" s="1" t="s">
        <v>10456</v>
      </c>
      <c r="F4455">
        <v>1</v>
      </c>
      <c r="G4455" t="str">
        <f>HYPERLINK("http://babel.hathitrust.org/cgi/pt?id=uc1.b3575764")</f>
        <v>http://babel.hathitrust.org/cgi/pt?id=uc1.b3575764</v>
      </c>
      <c r="H4455" t="str">
        <f t="shared" si="53"/>
        <v>http://catalog.hathitrust.org/Record/006677587</v>
      </c>
      <c r="I4455" s="1" t="s">
        <v>10463</v>
      </c>
      <c r="J4455" s="1">
        <v>1853</v>
      </c>
      <c r="K4455" t="s">
        <v>10457</v>
      </c>
      <c r="L4455" t="s">
        <v>20395</v>
      </c>
    </row>
    <row r="4456" spans="1:12">
      <c r="A4456" t="s">
        <v>10464</v>
      </c>
      <c r="B4456" s="1" t="s">
        <v>10456</v>
      </c>
      <c r="F4456">
        <v>1</v>
      </c>
      <c r="G4456" t="str">
        <f>HYPERLINK("http://babel.hathitrust.org/cgi/pt?id=uva.x000858966")</f>
        <v>http://babel.hathitrust.org/cgi/pt?id=uva.x000858966</v>
      </c>
      <c r="H4456" t="str">
        <f t="shared" si="53"/>
        <v>http://catalog.hathitrust.org/Record/006677587</v>
      </c>
      <c r="I4456" s="1" t="s">
        <v>10465</v>
      </c>
      <c r="J4456" s="1">
        <v>1853</v>
      </c>
      <c r="K4456" t="s">
        <v>10457</v>
      </c>
      <c r="L4456" t="s">
        <v>20395</v>
      </c>
    </row>
    <row r="4457" spans="1:12">
      <c r="A4457" t="s">
        <v>10466</v>
      </c>
      <c r="B4457" s="1" t="s">
        <v>10467</v>
      </c>
      <c r="F4457">
        <v>1</v>
      </c>
      <c r="G4457" t="str">
        <f>HYPERLINK("http://babel.hathitrust.org/cgi/pt?id=uc1.$b661472")</f>
        <v>http://babel.hathitrust.org/cgi/pt?id=uc1.$b661472</v>
      </c>
      <c r="H4457" t="str">
        <f>HYPERLINK("http://catalog.hathitrust.org/Record/006677709")</f>
        <v>http://catalog.hathitrust.org/Record/006677709</v>
      </c>
      <c r="J4457" s="1">
        <v>1919</v>
      </c>
      <c r="K4457" t="s">
        <v>10468</v>
      </c>
      <c r="L4457" t="s">
        <v>10469</v>
      </c>
    </row>
    <row r="4458" spans="1:12">
      <c r="A4458" t="s">
        <v>10470</v>
      </c>
      <c r="B4458" s="1" t="s">
        <v>10467</v>
      </c>
      <c r="F4458">
        <v>1</v>
      </c>
      <c r="G4458" t="str">
        <f>HYPERLINK("http://babel.hathitrust.org/cgi/pt?id=uc1.b3576128")</f>
        <v>http://babel.hathitrust.org/cgi/pt?id=uc1.b3576128</v>
      </c>
      <c r="H4458" t="str">
        <f>HYPERLINK("http://catalog.hathitrust.org/Record/006677709")</f>
        <v>http://catalog.hathitrust.org/Record/006677709</v>
      </c>
      <c r="J4458" s="1">
        <v>1919</v>
      </c>
      <c r="K4458" t="s">
        <v>10468</v>
      </c>
      <c r="L4458" t="s">
        <v>10469</v>
      </c>
    </row>
    <row r="4459" spans="1:12">
      <c r="A4459" t="s">
        <v>10471</v>
      </c>
      <c r="B4459" s="1" t="s">
        <v>10467</v>
      </c>
      <c r="F4459">
        <v>1</v>
      </c>
      <c r="G4459" t="str">
        <f>HYPERLINK("http://babel.hathitrust.org/cgi/pt?id=uc2.ark:/13960/t6251j17m")</f>
        <v>http://babel.hathitrust.org/cgi/pt?id=uc2.ark:/13960/t6251j17m</v>
      </c>
      <c r="H4459" t="str">
        <f>HYPERLINK("http://catalog.hathitrust.org/Record/006677709")</f>
        <v>http://catalog.hathitrust.org/Record/006677709</v>
      </c>
      <c r="J4459" s="1">
        <v>1919</v>
      </c>
      <c r="K4459" t="s">
        <v>10468</v>
      </c>
      <c r="L4459" t="s">
        <v>10469</v>
      </c>
    </row>
    <row r="4460" spans="1:12">
      <c r="A4460" t="s">
        <v>10472</v>
      </c>
      <c r="B4460" s="1" t="s">
        <v>10473</v>
      </c>
      <c r="D4460">
        <v>1</v>
      </c>
      <c r="G4460" t="str">
        <f>HYPERLINK("http://babel.hathitrust.org/cgi/pt?id=uc1.b3576175")</f>
        <v>http://babel.hathitrust.org/cgi/pt?id=uc1.b3576175</v>
      </c>
      <c r="H4460" t="str">
        <f>HYPERLINK("http://catalog.hathitrust.org/Record/006677733")</f>
        <v>http://catalog.hathitrust.org/Record/006677733</v>
      </c>
      <c r="J4460" s="1">
        <v>1848</v>
      </c>
      <c r="K4460" t="s">
        <v>10474</v>
      </c>
      <c r="L4460" t="s">
        <v>10475</v>
      </c>
    </row>
    <row r="4461" spans="1:12">
      <c r="A4461" t="s">
        <v>10476</v>
      </c>
      <c r="B4461" s="1" t="s">
        <v>10477</v>
      </c>
      <c r="E4461">
        <v>1</v>
      </c>
      <c r="G4461" t="str">
        <f>HYPERLINK("http://babel.hathitrust.org/cgi/pt?id=uc1.b3576214")</f>
        <v>http://babel.hathitrust.org/cgi/pt?id=uc1.b3576214</v>
      </c>
      <c r="H4461" t="str">
        <f>HYPERLINK("http://catalog.hathitrust.org/Record/006677747")</f>
        <v>http://catalog.hathitrust.org/Record/006677747</v>
      </c>
      <c r="J4461" s="1">
        <v>1913</v>
      </c>
      <c r="K4461" t="s">
        <v>10478</v>
      </c>
      <c r="L4461" t="s">
        <v>19796</v>
      </c>
    </row>
    <row r="4462" spans="1:12">
      <c r="A4462" t="s">
        <v>10479</v>
      </c>
      <c r="B4462" s="1" t="s">
        <v>10480</v>
      </c>
      <c r="F4462">
        <v>1</v>
      </c>
      <c r="G4462" t="str">
        <f>HYPERLINK("http://babel.hathitrust.org/cgi/pt?id=uc1.b3579402")</f>
        <v>http://babel.hathitrust.org/cgi/pt?id=uc1.b3579402</v>
      </c>
      <c r="H4462" t="str">
        <f>HYPERLINK("http://catalog.hathitrust.org/Record/006678480")</f>
        <v>http://catalog.hathitrust.org/Record/006678480</v>
      </c>
      <c r="J4462" s="1">
        <v>1876</v>
      </c>
      <c r="K4462" t="s">
        <v>10481</v>
      </c>
      <c r="L4462" t="s">
        <v>10482</v>
      </c>
    </row>
    <row r="4463" spans="1:12">
      <c r="A4463" t="s">
        <v>10483</v>
      </c>
      <c r="B4463" s="1" t="s">
        <v>10484</v>
      </c>
      <c r="F4463">
        <v>1</v>
      </c>
      <c r="G4463" t="str">
        <f>HYPERLINK("http://babel.hathitrust.org/cgi/pt?id=uc1.b3826626")</f>
        <v>http://babel.hathitrust.org/cgi/pt?id=uc1.b3826626</v>
      </c>
      <c r="H4463" t="str">
        <f>HYPERLINK("http://catalog.hathitrust.org/Record/006727701")</f>
        <v>http://catalog.hathitrust.org/Record/006727701</v>
      </c>
      <c r="I4463" s="1" t="s">
        <v>20796</v>
      </c>
      <c r="J4463" s="1">
        <v>1885</v>
      </c>
      <c r="K4463" t="s">
        <v>14532</v>
      </c>
      <c r="L4463" t="s">
        <v>17516</v>
      </c>
    </row>
    <row r="4464" spans="1:12">
      <c r="A4464" t="s">
        <v>10485</v>
      </c>
      <c r="B4464" s="1" t="s">
        <v>10484</v>
      </c>
      <c r="F4464">
        <v>1</v>
      </c>
      <c r="G4464" t="str">
        <f>HYPERLINK("http://babel.hathitrust.org/cgi/pt?id=uc1.b3826627")</f>
        <v>http://babel.hathitrust.org/cgi/pt?id=uc1.b3826627</v>
      </c>
      <c r="H4464" t="str">
        <f>HYPERLINK("http://catalog.hathitrust.org/Record/006727701")</f>
        <v>http://catalog.hathitrust.org/Record/006727701</v>
      </c>
      <c r="I4464" s="1" t="s">
        <v>10486</v>
      </c>
      <c r="J4464" s="1">
        <v>1885</v>
      </c>
      <c r="K4464" t="s">
        <v>14532</v>
      </c>
      <c r="L4464" t="s">
        <v>17516</v>
      </c>
    </row>
    <row r="4465" spans="1:12">
      <c r="A4465" t="s">
        <v>10487</v>
      </c>
      <c r="B4465" s="1" t="s">
        <v>10484</v>
      </c>
      <c r="F4465">
        <v>1</v>
      </c>
      <c r="G4465" t="str">
        <f>HYPERLINK("http://babel.hathitrust.org/cgi/pt?id=uc1.b3826628")</f>
        <v>http://babel.hathitrust.org/cgi/pt?id=uc1.b3826628</v>
      </c>
      <c r="H4465" t="str">
        <f>HYPERLINK("http://catalog.hathitrust.org/Record/006727701")</f>
        <v>http://catalog.hathitrust.org/Record/006727701</v>
      </c>
      <c r="I4465" s="1" t="s">
        <v>20801</v>
      </c>
      <c r="J4465" s="1">
        <v>1885</v>
      </c>
      <c r="K4465" t="s">
        <v>14532</v>
      </c>
      <c r="L4465" t="s">
        <v>17516</v>
      </c>
    </row>
    <row r="4466" spans="1:12">
      <c r="A4466" t="s">
        <v>10488</v>
      </c>
      <c r="B4466" s="1" t="s">
        <v>10489</v>
      </c>
      <c r="F4466">
        <v>1</v>
      </c>
      <c r="G4466" t="str">
        <f>HYPERLINK("http://babel.hathitrust.org/cgi/pt?id=uc1.b3827722")</f>
        <v>http://babel.hathitrust.org/cgi/pt?id=uc1.b3827722</v>
      </c>
      <c r="H4466" t="str">
        <f>HYPERLINK("http://catalog.hathitrust.org/Record/006728029")</f>
        <v>http://catalog.hathitrust.org/Record/006728029</v>
      </c>
      <c r="J4466" s="1">
        <v>1902</v>
      </c>
      <c r="K4466" t="s">
        <v>10490</v>
      </c>
      <c r="L4466" t="s">
        <v>10491</v>
      </c>
    </row>
    <row r="4467" spans="1:12">
      <c r="A4467" t="s">
        <v>10492</v>
      </c>
      <c r="B4467" s="1" t="s">
        <v>10489</v>
      </c>
      <c r="F4467">
        <v>1</v>
      </c>
      <c r="G4467" t="str">
        <f>HYPERLINK("http://babel.hathitrust.org/cgi/pt?id=uc2.ark:/13960/t9b56gz6m")</f>
        <v>http://babel.hathitrust.org/cgi/pt?id=uc2.ark:/13960/t9b56gz6m</v>
      </c>
      <c r="H4467" t="str">
        <f>HYPERLINK("http://catalog.hathitrust.org/Record/006728029")</f>
        <v>http://catalog.hathitrust.org/Record/006728029</v>
      </c>
      <c r="J4467" s="1">
        <v>1902</v>
      </c>
      <c r="K4467" t="s">
        <v>10490</v>
      </c>
      <c r="L4467" t="s">
        <v>10491</v>
      </c>
    </row>
    <row r="4468" spans="1:12">
      <c r="A4468" t="s">
        <v>10493</v>
      </c>
      <c r="B4468" s="1" t="s">
        <v>10494</v>
      </c>
      <c r="F4468">
        <v>1</v>
      </c>
      <c r="G4468" t="str">
        <f>HYPERLINK("http://babel.hathitrust.org/cgi/pt?id=uc1.b3861089")</f>
        <v>http://babel.hathitrust.org/cgi/pt?id=uc1.b3861089</v>
      </c>
      <c r="H4468" t="str">
        <f>HYPERLINK("http://catalog.hathitrust.org/Record/006736843")</f>
        <v>http://catalog.hathitrust.org/Record/006736843</v>
      </c>
      <c r="J4468" s="1">
        <v>1915</v>
      </c>
      <c r="K4468" t="s">
        <v>10495</v>
      </c>
      <c r="L4468" t="s">
        <v>15226</v>
      </c>
    </row>
    <row r="4469" spans="1:12">
      <c r="A4469" t="s">
        <v>10496</v>
      </c>
      <c r="B4469" s="1" t="s">
        <v>10494</v>
      </c>
      <c r="F4469">
        <v>1</v>
      </c>
      <c r="G4469" t="str">
        <f>HYPERLINK("http://babel.hathitrust.org/cgi/pt?id=uc2.ark:/13960/t5x63n19d")</f>
        <v>http://babel.hathitrust.org/cgi/pt?id=uc2.ark:/13960/t5x63n19d</v>
      </c>
      <c r="H4469" t="str">
        <f>HYPERLINK("http://catalog.hathitrust.org/Record/006736843")</f>
        <v>http://catalog.hathitrust.org/Record/006736843</v>
      </c>
      <c r="J4469" s="1">
        <v>1915</v>
      </c>
      <c r="K4469" t="s">
        <v>10495</v>
      </c>
      <c r="L4469" t="s">
        <v>15226</v>
      </c>
    </row>
    <row r="4470" spans="1:12">
      <c r="A4470" t="s">
        <v>10497</v>
      </c>
      <c r="B4470" s="1" t="s">
        <v>10498</v>
      </c>
      <c r="F4470">
        <v>1</v>
      </c>
      <c r="G4470" t="str">
        <f>HYPERLINK("http://babel.hathitrust.org/cgi/pt?id=uc1.b3889813")</f>
        <v>http://babel.hathitrust.org/cgi/pt?id=uc1.b3889813</v>
      </c>
      <c r="H4470" t="str">
        <f>HYPERLINK("http://catalog.hathitrust.org/Record/006743224")</f>
        <v>http://catalog.hathitrust.org/Record/006743224</v>
      </c>
      <c r="I4470" s="1" t="s">
        <v>10500</v>
      </c>
      <c r="J4470" s="1">
        <v>1943</v>
      </c>
      <c r="K4470" t="s">
        <v>10499</v>
      </c>
      <c r="L4470" t="s">
        <v>10501</v>
      </c>
    </row>
    <row r="4471" spans="1:12">
      <c r="A4471" t="s">
        <v>10502</v>
      </c>
      <c r="B4471" s="1" t="s">
        <v>10503</v>
      </c>
      <c r="C4471">
        <v>1</v>
      </c>
      <c r="E4471">
        <v>1</v>
      </c>
      <c r="F4471">
        <v>1</v>
      </c>
      <c r="G4471" t="str">
        <f>HYPERLINK("http://babel.hathitrust.org/cgi/pt?id=uc1.b3891210")</f>
        <v>http://babel.hathitrust.org/cgi/pt?id=uc1.b3891210</v>
      </c>
      <c r="H4471" t="str">
        <f>HYPERLINK("http://catalog.hathitrust.org/Record/006743523")</f>
        <v>http://catalog.hathitrust.org/Record/006743523</v>
      </c>
      <c r="J4471" s="1">
        <v>1867</v>
      </c>
      <c r="K4471" t="s">
        <v>10504</v>
      </c>
      <c r="L4471" t="s">
        <v>20629</v>
      </c>
    </row>
    <row r="4472" spans="1:12">
      <c r="A4472" t="s">
        <v>10505</v>
      </c>
      <c r="B4472" s="1" t="s">
        <v>10384</v>
      </c>
      <c r="F4472">
        <v>1</v>
      </c>
      <c r="G4472" t="str">
        <f>HYPERLINK("http://babel.hathitrust.org/cgi/pt?id=uc1.b3895375")</f>
        <v>http://babel.hathitrust.org/cgi/pt?id=uc1.b3895375</v>
      </c>
      <c r="H4472" t="str">
        <f>HYPERLINK("http://catalog.hathitrust.org/Record/006745078")</f>
        <v>http://catalog.hathitrust.org/Record/006745078</v>
      </c>
      <c r="I4472" s="1" t="s">
        <v>20439</v>
      </c>
      <c r="J4472" s="1">
        <v>1885</v>
      </c>
      <c r="K4472" t="s">
        <v>10385</v>
      </c>
      <c r="L4472" t="s">
        <v>10386</v>
      </c>
    </row>
    <row r="4473" spans="1:12">
      <c r="A4473" t="s">
        <v>10387</v>
      </c>
      <c r="B4473" s="1" t="s">
        <v>10388</v>
      </c>
      <c r="E4473">
        <v>1</v>
      </c>
      <c r="F4473">
        <v>1</v>
      </c>
      <c r="G4473" t="str">
        <f>HYPERLINK("http://babel.hathitrust.org/cgi/pt?id=mdp.39015080733960")</f>
        <v>http://babel.hathitrust.org/cgi/pt?id=mdp.39015080733960</v>
      </c>
      <c r="H4473" t="str">
        <f>HYPERLINK("http://catalog.hathitrust.org/Record/006780696")</f>
        <v>http://catalog.hathitrust.org/Record/006780696</v>
      </c>
      <c r="J4473" s="1">
        <v>1870</v>
      </c>
      <c r="K4473" t="s">
        <v>10389</v>
      </c>
      <c r="L4473" t="s">
        <v>10390</v>
      </c>
    </row>
    <row r="4474" spans="1:12">
      <c r="A4474" t="s">
        <v>10391</v>
      </c>
      <c r="B4474" s="1" t="s">
        <v>10392</v>
      </c>
      <c r="F4474">
        <v>1</v>
      </c>
      <c r="G4474" t="str">
        <f>HYPERLINK("http://babel.hathitrust.org/cgi/pt?id=inu.32000013166832")</f>
        <v>http://babel.hathitrust.org/cgi/pt?id=inu.32000013166832</v>
      </c>
      <c r="H4474" t="str">
        <f>HYPERLINK("http://catalog.hathitrust.org/Record/006785920")</f>
        <v>http://catalog.hathitrust.org/Record/006785920</v>
      </c>
      <c r="J4474" s="1">
        <v>1899</v>
      </c>
      <c r="K4474" t="s">
        <v>10393</v>
      </c>
      <c r="L4474" t="s">
        <v>20872</v>
      </c>
    </row>
    <row r="4475" spans="1:12">
      <c r="A4475" t="s">
        <v>10394</v>
      </c>
      <c r="B4475" s="1" t="s">
        <v>10395</v>
      </c>
      <c r="F4475">
        <v>1</v>
      </c>
      <c r="G4475" t="str">
        <f>HYPERLINK("http://babel.hathitrust.org/cgi/pt?id=inu.30000100203904")</f>
        <v>http://babel.hathitrust.org/cgi/pt?id=inu.30000100203904</v>
      </c>
      <c r="H4475" t="str">
        <f>HYPERLINK("http://catalog.hathitrust.org/Record/006792313")</f>
        <v>http://catalog.hathitrust.org/Record/006792313</v>
      </c>
      <c r="J4475" s="1">
        <v>1891</v>
      </c>
      <c r="K4475" t="s">
        <v>10396</v>
      </c>
      <c r="L4475" t="s">
        <v>10397</v>
      </c>
    </row>
    <row r="4476" spans="1:12">
      <c r="A4476" t="s">
        <v>10398</v>
      </c>
      <c r="B4476" s="1" t="s">
        <v>10399</v>
      </c>
      <c r="F4476">
        <v>1</v>
      </c>
      <c r="G4476" t="str">
        <f>HYPERLINK("http://babel.hathitrust.org/cgi/pt?id=inu.30000061604785")</f>
        <v>http://babel.hathitrust.org/cgi/pt?id=inu.30000061604785</v>
      </c>
      <c r="H4476" t="str">
        <f>HYPERLINK("http://catalog.hathitrust.org/Record/006793096")</f>
        <v>http://catalog.hathitrust.org/Record/006793096</v>
      </c>
      <c r="J4476" s="1">
        <v>1915</v>
      </c>
      <c r="K4476" t="s">
        <v>10400</v>
      </c>
      <c r="L4476" t="s">
        <v>10401</v>
      </c>
    </row>
    <row r="4477" spans="1:12">
      <c r="A4477" t="s">
        <v>10402</v>
      </c>
      <c r="B4477" s="1" t="s">
        <v>10399</v>
      </c>
      <c r="F4477">
        <v>1</v>
      </c>
      <c r="G4477" t="str">
        <f>HYPERLINK("http://babel.hathitrust.org/cgi/pt?id=uc2.ark:/13960/t3jw8f89w")</f>
        <v>http://babel.hathitrust.org/cgi/pt?id=uc2.ark:/13960/t3jw8f89w</v>
      </c>
      <c r="H4477" t="str">
        <f>HYPERLINK("http://catalog.hathitrust.org/Record/006793096")</f>
        <v>http://catalog.hathitrust.org/Record/006793096</v>
      </c>
      <c r="J4477" s="1">
        <v>1915</v>
      </c>
      <c r="K4477" t="s">
        <v>10400</v>
      </c>
      <c r="L4477" t="s">
        <v>10401</v>
      </c>
    </row>
    <row r="4478" spans="1:12">
      <c r="A4478" t="s">
        <v>10403</v>
      </c>
      <c r="B4478" s="1" t="s">
        <v>10404</v>
      </c>
      <c r="F4478">
        <v>1</v>
      </c>
      <c r="G4478" t="str">
        <f>HYPERLINK("http://babel.hathitrust.org/cgi/pt?id=inu.32000001887936")</f>
        <v>http://babel.hathitrust.org/cgi/pt?id=inu.32000001887936</v>
      </c>
      <c r="H4478" t="str">
        <f>HYPERLINK("http://catalog.hathitrust.org/Record/006793130")</f>
        <v>http://catalog.hathitrust.org/Record/006793130</v>
      </c>
      <c r="J4478" s="1">
        <v>1906</v>
      </c>
      <c r="K4478" t="s">
        <v>10405</v>
      </c>
      <c r="L4478" t="s">
        <v>10406</v>
      </c>
    </row>
    <row r="4479" spans="1:12">
      <c r="A4479" t="s">
        <v>10407</v>
      </c>
      <c r="B4479" s="1" t="s">
        <v>10408</v>
      </c>
      <c r="F4479">
        <v>1</v>
      </c>
      <c r="G4479" t="str">
        <f>HYPERLINK("http://babel.hathitrust.org/cgi/pt?id=inu.32000001887944")</f>
        <v>http://babel.hathitrust.org/cgi/pt?id=inu.32000001887944</v>
      </c>
      <c r="H4479" t="str">
        <f>HYPERLINK("http://catalog.hathitrust.org/Record/006793131")</f>
        <v>http://catalog.hathitrust.org/Record/006793131</v>
      </c>
      <c r="J4479" s="1">
        <v>1906</v>
      </c>
      <c r="K4479" t="s">
        <v>10409</v>
      </c>
      <c r="L4479" t="s">
        <v>10406</v>
      </c>
    </row>
    <row r="4480" spans="1:12">
      <c r="A4480" t="s">
        <v>10410</v>
      </c>
      <c r="B4480" s="1" t="s">
        <v>10411</v>
      </c>
      <c r="F4480">
        <v>1</v>
      </c>
      <c r="G4480" t="str">
        <f>HYPERLINK("http://babel.hathitrust.org/cgi/pt?id=inu.32000007957766")</f>
        <v>http://babel.hathitrust.org/cgi/pt?id=inu.32000007957766</v>
      </c>
      <c r="H4480" t="str">
        <f>HYPERLINK("http://catalog.hathitrust.org/Record/006793187")</f>
        <v>http://catalog.hathitrust.org/Record/006793187</v>
      </c>
      <c r="J4480" s="1">
        <v>1905</v>
      </c>
      <c r="K4480" t="s">
        <v>10412</v>
      </c>
      <c r="L4480" t="s">
        <v>10413</v>
      </c>
    </row>
    <row r="4481" spans="1:12">
      <c r="A4481" t="s">
        <v>10414</v>
      </c>
      <c r="B4481" s="1" t="s">
        <v>10415</v>
      </c>
      <c r="F4481">
        <v>1</v>
      </c>
      <c r="G4481" t="str">
        <f>HYPERLINK("http://babel.hathitrust.org/cgi/pt?id=njp.32101013963010")</f>
        <v>http://babel.hathitrust.org/cgi/pt?id=njp.32101013963010</v>
      </c>
      <c r="H4481" t="str">
        <f>HYPERLINK("http://catalog.hathitrust.org/Record/006793190")</f>
        <v>http://catalog.hathitrust.org/Record/006793190</v>
      </c>
      <c r="J4481" s="1">
        <v>1887</v>
      </c>
      <c r="K4481" t="s">
        <v>10416</v>
      </c>
      <c r="L4481" t="s">
        <v>20448</v>
      </c>
    </row>
    <row r="4482" spans="1:12">
      <c r="A4482" t="s">
        <v>10417</v>
      </c>
      <c r="B4482" s="1" t="s">
        <v>10418</v>
      </c>
      <c r="F4482">
        <v>1</v>
      </c>
      <c r="G4482" t="str">
        <f>HYPERLINK("http://babel.hathitrust.org/cgi/pt?id=inu.32000006449849")</f>
        <v>http://babel.hathitrust.org/cgi/pt?id=inu.32000006449849</v>
      </c>
      <c r="H4482" t="str">
        <f>HYPERLINK("http://catalog.hathitrust.org/Record/006793191")</f>
        <v>http://catalog.hathitrust.org/Record/006793191</v>
      </c>
      <c r="J4482" s="1">
        <v>1912</v>
      </c>
      <c r="K4482" t="s">
        <v>10419</v>
      </c>
      <c r="L4482" t="s">
        <v>10420</v>
      </c>
    </row>
    <row r="4483" spans="1:12">
      <c r="A4483" t="s">
        <v>10421</v>
      </c>
      <c r="B4483" s="1" t="s">
        <v>10422</v>
      </c>
      <c r="F4483">
        <v>1</v>
      </c>
      <c r="G4483" t="str">
        <f>HYPERLINK("http://babel.hathitrust.org/cgi/pt?id=inu.32000007957980")</f>
        <v>http://babel.hathitrust.org/cgi/pt?id=inu.32000007957980</v>
      </c>
      <c r="H4483" t="str">
        <f>HYPERLINK("http://catalog.hathitrust.org/Record/006793192")</f>
        <v>http://catalog.hathitrust.org/Record/006793192</v>
      </c>
      <c r="J4483" s="1">
        <v>1914</v>
      </c>
      <c r="K4483" t="s">
        <v>10423</v>
      </c>
      <c r="L4483" t="s">
        <v>10424</v>
      </c>
    </row>
    <row r="4484" spans="1:12">
      <c r="A4484" t="s">
        <v>10425</v>
      </c>
      <c r="B4484" s="1" t="s">
        <v>10426</v>
      </c>
      <c r="F4484">
        <v>1</v>
      </c>
      <c r="G4484" t="str">
        <f>HYPERLINK("http://babel.hathitrust.org/cgi/pt?id=njp.32101072898867")</f>
        <v>http://babel.hathitrust.org/cgi/pt?id=njp.32101072898867</v>
      </c>
      <c r="H4484" t="str">
        <f>HYPERLINK("http://catalog.hathitrust.org/Record/006793194")</f>
        <v>http://catalog.hathitrust.org/Record/006793194</v>
      </c>
      <c r="J4484" s="1">
        <v>1905</v>
      </c>
      <c r="K4484" t="s">
        <v>10427</v>
      </c>
      <c r="L4484" t="s">
        <v>18982</v>
      </c>
    </row>
    <row r="4485" spans="1:12">
      <c r="A4485" t="s">
        <v>10428</v>
      </c>
      <c r="B4485" s="1" t="s">
        <v>10429</v>
      </c>
      <c r="F4485">
        <v>1</v>
      </c>
      <c r="G4485" t="str">
        <f>HYPERLINK("http://babel.hathitrust.org/cgi/pt?id=inu.32000007774815")</f>
        <v>http://babel.hathitrust.org/cgi/pt?id=inu.32000007774815</v>
      </c>
      <c r="H4485" t="str">
        <f>HYPERLINK("http://catalog.hathitrust.org/Record/006793217")</f>
        <v>http://catalog.hathitrust.org/Record/006793217</v>
      </c>
      <c r="J4485" s="1">
        <v>1935</v>
      </c>
      <c r="K4485" t="s">
        <v>10430</v>
      </c>
      <c r="L4485" t="s">
        <v>18247</v>
      </c>
    </row>
    <row r="4486" spans="1:12">
      <c r="A4486" t="s">
        <v>10431</v>
      </c>
      <c r="B4486" s="1" t="s">
        <v>10432</v>
      </c>
      <c r="D4486">
        <v>1</v>
      </c>
      <c r="G4486" t="str">
        <f>HYPERLINK("http://babel.hathitrust.org/cgi/pt?id=inu.32000003291913")</f>
        <v>http://babel.hathitrust.org/cgi/pt?id=inu.32000003291913</v>
      </c>
      <c r="H4486" t="str">
        <f>HYPERLINK("http://catalog.hathitrust.org/Record/006794157")</f>
        <v>http://catalog.hathitrust.org/Record/006794157</v>
      </c>
      <c r="J4486" s="1">
        <v>1888</v>
      </c>
      <c r="K4486" t="s">
        <v>10433</v>
      </c>
      <c r="L4486" t="s">
        <v>14549</v>
      </c>
    </row>
    <row r="4487" spans="1:12">
      <c r="A4487" t="s">
        <v>10434</v>
      </c>
      <c r="B4487" s="1" t="s">
        <v>10435</v>
      </c>
      <c r="F4487">
        <v>1</v>
      </c>
      <c r="G4487" t="str">
        <f>HYPERLINK("http://babel.hathitrust.org/cgi/pt?id=inu.39000005835280")</f>
        <v>http://babel.hathitrust.org/cgi/pt?id=inu.39000005835280</v>
      </c>
      <c r="H4487" t="str">
        <f>HYPERLINK("http://catalog.hathitrust.org/Record/006810249")</f>
        <v>http://catalog.hathitrust.org/Record/006810249</v>
      </c>
      <c r="J4487" s="1">
        <v>1790</v>
      </c>
      <c r="K4487" t="s">
        <v>10436</v>
      </c>
      <c r="L4487" t="s">
        <v>10437</v>
      </c>
    </row>
    <row r="4488" spans="1:12">
      <c r="A4488" t="s">
        <v>10438</v>
      </c>
      <c r="B4488" s="1" t="s">
        <v>10435</v>
      </c>
      <c r="F4488">
        <v>1</v>
      </c>
      <c r="G4488" t="str">
        <f>HYPERLINK("http://babel.hathitrust.org/cgi/pt?id=nyp.33433074838057")</f>
        <v>http://babel.hathitrust.org/cgi/pt?id=nyp.33433074838057</v>
      </c>
      <c r="H4488" t="str">
        <f>HYPERLINK("http://catalog.hathitrust.org/Record/006810249")</f>
        <v>http://catalog.hathitrust.org/Record/006810249</v>
      </c>
      <c r="J4488" s="1">
        <v>1790</v>
      </c>
      <c r="K4488" t="s">
        <v>10436</v>
      </c>
      <c r="L4488" t="s">
        <v>10437</v>
      </c>
    </row>
    <row r="4489" spans="1:12">
      <c r="A4489" t="s">
        <v>10439</v>
      </c>
      <c r="B4489" s="1" t="s">
        <v>10440</v>
      </c>
      <c r="E4489">
        <v>1</v>
      </c>
      <c r="G4489" t="str">
        <f>HYPERLINK("http://babel.hathitrust.org/cgi/pt?id=inu.39000005909762")</f>
        <v>http://babel.hathitrust.org/cgi/pt?id=inu.39000005909762</v>
      </c>
      <c r="H4489" t="str">
        <f>HYPERLINK("http://catalog.hathitrust.org/Record/006810296")</f>
        <v>http://catalog.hathitrust.org/Record/006810296</v>
      </c>
      <c r="J4489" s="1">
        <v>1959</v>
      </c>
      <c r="K4489" t="s">
        <v>10441</v>
      </c>
      <c r="L4489" t="s">
        <v>20416</v>
      </c>
    </row>
    <row r="4490" spans="1:12">
      <c r="A4490" t="s">
        <v>10442</v>
      </c>
      <c r="B4490" s="1" t="s">
        <v>10443</v>
      </c>
      <c r="F4490">
        <v>1</v>
      </c>
      <c r="G4490" t="str">
        <f>HYPERLINK("http://babel.hathitrust.org/cgi/pt?id=wu.89096981899")</f>
        <v>http://babel.hathitrust.org/cgi/pt?id=wu.89096981899</v>
      </c>
      <c r="H4490" t="str">
        <f>HYPERLINK("http://catalog.hathitrust.org/Record/006830037")</f>
        <v>http://catalog.hathitrust.org/Record/006830037</v>
      </c>
      <c r="J4490" s="1">
        <v>1819</v>
      </c>
      <c r="K4490" t="s">
        <v>10444</v>
      </c>
      <c r="L4490" t="s">
        <v>10323</v>
      </c>
    </row>
    <row r="4491" spans="1:12">
      <c r="A4491" t="s">
        <v>10324</v>
      </c>
      <c r="B4491" s="1" t="s">
        <v>10325</v>
      </c>
      <c r="F4491">
        <v>1</v>
      </c>
      <c r="G4491" t="str">
        <f>HYPERLINK("http://babel.hathitrust.org/cgi/pt?id=wu.89097135362")</f>
        <v>http://babel.hathitrust.org/cgi/pt?id=wu.89097135362</v>
      </c>
      <c r="H4491" t="str">
        <f>HYPERLINK("http://catalog.hathitrust.org/Record/006848314")</f>
        <v>http://catalog.hathitrust.org/Record/006848314</v>
      </c>
      <c r="J4491" s="1">
        <v>1920</v>
      </c>
      <c r="K4491" t="s">
        <v>10326</v>
      </c>
      <c r="L4491" t="s">
        <v>11082</v>
      </c>
    </row>
    <row r="4492" spans="1:12">
      <c r="A4492" t="s">
        <v>10327</v>
      </c>
      <c r="B4492" s="1" t="s">
        <v>10328</v>
      </c>
      <c r="F4492">
        <v>1</v>
      </c>
      <c r="G4492" t="str">
        <f>HYPERLINK("http://babel.hathitrust.org/cgi/pt?id=uc1.b3113633")</f>
        <v>http://babel.hathitrust.org/cgi/pt?id=uc1.b3113633</v>
      </c>
      <c r="H4492" t="str">
        <f>HYPERLINK("http://catalog.hathitrust.org/Record/006857980")</f>
        <v>http://catalog.hathitrust.org/Record/006857980</v>
      </c>
      <c r="J4492" s="1">
        <v>1908</v>
      </c>
      <c r="K4492" t="s">
        <v>10329</v>
      </c>
      <c r="L4492" t="s">
        <v>10330</v>
      </c>
    </row>
    <row r="4493" spans="1:12">
      <c r="A4493" t="s">
        <v>10331</v>
      </c>
      <c r="B4493" s="1" t="s">
        <v>10332</v>
      </c>
      <c r="E4493">
        <v>1</v>
      </c>
      <c r="G4493" t="str">
        <f>HYPERLINK("http://babel.hathitrust.org/cgi/pt?id=wu.89098680929")</f>
        <v>http://babel.hathitrust.org/cgi/pt?id=wu.89098680929</v>
      </c>
      <c r="H4493" t="str">
        <f>HYPERLINK("http://catalog.hathitrust.org/Record/006908102")</f>
        <v>http://catalog.hathitrust.org/Record/006908102</v>
      </c>
      <c r="J4493" s="1">
        <v>1899</v>
      </c>
      <c r="K4493" t="s">
        <v>15704</v>
      </c>
      <c r="L4493" t="s">
        <v>12263</v>
      </c>
    </row>
    <row r="4494" spans="1:12">
      <c r="A4494" t="s">
        <v>10333</v>
      </c>
      <c r="B4494" s="1" t="s">
        <v>10334</v>
      </c>
      <c r="E4494">
        <v>1</v>
      </c>
      <c r="G4494" t="str">
        <f>HYPERLINK("http://babel.hathitrust.org/cgi/pt?id=wu.89098703408")</f>
        <v>http://babel.hathitrust.org/cgi/pt?id=wu.89098703408</v>
      </c>
      <c r="H4494" t="str">
        <f>HYPERLINK("http://catalog.hathitrust.org/Record/006908135")</f>
        <v>http://catalog.hathitrust.org/Record/006908135</v>
      </c>
      <c r="J4494" s="1">
        <v>1926</v>
      </c>
      <c r="K4494" t="s">
        <v>10335</v>
      </c>
      <c r="L4494" t="s">
        <v>20327</v>
      </c>
    </row>
    <row r="4495" spans="1:12">
      <c r="A4495" t="s">
        <v>10336</v>
      </c>
      <c r="B4495" s="1" t="s">
        <v>10337</v>
      </c>
      <c r="D4495">
        <v>1</v>
      </c>
      <c r="G4495" t="str">
        <f>HYPERLINK("http://babel.hathitrust.org/cgi/pt?id=wu.89098727209")</f>
        <v>http://babel.hathitrust.org/cgi/pt?id=wu.89098727209</v>
      </c>
      <c r="H4495" t="str">
        <f>HYPERLINK("http://catalog.hathitrust.org/Record/006908469")</f>
        <v>http://catalog.hathitrust.org/Record/006908469</v>
      </c>
      <c r="J4495" s="1">
        <v>1913</v>
      </c>
      <c r="K4495" t="s">
        <v>10338</v>
      </c>
      <c r="L4495" t="s">
        <v>14549</v>
      </c>
    </row>
    <row r="4496" spans="1:12">
      <c r="A4496" t="s">
        <v>10339</v>
      </c>
      <c r="B4496" s="1" t="s">
        <v>10340</v>
      </c>
      <c r="F4496">
        <v>1</v>
      </c>
      <c r="G4496" t="str">
        <f>HYPERLINK("http://babel.hathitrust.org/cgi/pt?id=wu.89098727910")</f>
        <v>http://babel.hathitrust.org/cgi/pt?id=wu.89098727910</v>
      </c>
      <c r="H4496" t="str">
        <f>HYPERLINK("http://catalog.hathitrust.org/Record/006908498")</f>
        <v>http://catalog.hathitrust.org/Record/006908498</v>
      </c>
      <c r="J4496" s="1">
        <v>1860</v>
      </c>
      <c r="K4496" t="s">
        <v>10341</v>
      </c>
      <c r="L4496" t="s">
        <v>10342</v>
      </c>
    </row>
    <row r="4497" spans="1:12">
      <c r="A4497" t="s">
        <v>10343</v>
      </c>
      <c r="B4497" s="1" t="s">
        <v>10344</v>
      </c>
      <c r="F4497">
        <v>1</v>
      </c>
      <c r="G4497" t="str">
        <f>HYPERLINK("http://babel.hathitrust.org/cgi/pt?id=wu.89097127401")</f>
        <v>http://babel.hathitrust.org/cgi/pt?id=wu.89097127401</v>
      </c>
      <c r="H4497" t="str">
        <f>HYPERLINK("http://catalog.hathitrust.org/Record/006908720")</f>
        <v>http://catalog.hathitrust.org/Record/006908720</v>
      </c>
      <c r="J4497" s="1">
        <v>1917</v>
      </c>
      <c r="K4497" t="s">
        <v>10345</v>
      </c>
    </row>
    <row r="4498" spans="1:12">
      <c r="A4498" t="s">
        <v>10346</v>
      </c>
      <c r="B4498" s="1" t="s">
        <v>10347</v>
      </c>
      <c r="E4498">
        <v>1</v>
      </c>
      <c r="G4498" t="str">
        <f>HYPERLINK("http://babel.hathitrust.org/cgi/pt?id=wu.89097363642")</f>
        <v>http://babel.hathitrust.org/cgi/pt?id=wu.89097363642</v>
      </c>
      <c r="H4498" t="str">
        <f>HYPERLINK("http://catalog.hathitrust.org/Record/006913319")</f>
        <v>http://catalog.hathitrust.org/Record/006913319</v>
      </c>
      <c r="J4498" s="1">
        <v>1886</v>
      </c>
      <c r="K4498" t="s">
        <v>10348</v>
      </c>
      <c r="L4498" t="s">
        <v>18991</v>
      </c>
    </row>
    <row r="4499" spans="1:12">
      <c r="A4499" t="s">
        <v>10349</v>
      </c>
      <c r="B4499" s="1" t="s">
        <v>10350</v>
      </c>
      <c r="F4499">
        <v>1</v>
      </c>
      <c r="G4499" t="str">
        <f>HYPERLINK("http://babel.hathitrust.org/cgi/pt?id=wu.89102068293")</f>
        <v>http://babel.hathitrust.org/cgi/pt?id=wu.89102068293</v>
      </c>
      <c r="H4499" t="str">
        <f>HYPERLINK("http://catalog.hathitrust.org/Record/006913775")</f>
        <v>http://catalog.hathitrust.org/Record/006913775</v>
      </c>
      <c r="J4499" s="1">
        <v>1936</v>
      </c>
      <c r="K4499" t="s">
        <v>10351</v>
      </c>
      <c r="L4499" t="s">
        <v>10352</v>
      </c>
    </row>
    <row r="4500" spans="1:12">
      <c r="A4500" t="s">
        <v>10353</v>
      </c>
      <c r="B4500" s="1" t="s">
        <v>10354</v>
      </c>
      <c r="F4500">
        <v>1</v>
      </c>
      <c r="G4500" t="str">
        <f>HYPERLINK("http://babel.hathitrust.org/cgi/pt?id=wu.89097626915")</f>
        <v>http://babel.hathitrust.org/cgi/pt?id=wu.89097626915</v>
      </c>
      <c r="H4500" t="str">
        <f>HYPERLINK("http://catalog.hathitrust.org/Record/006913882")</f>
        <v>http://catalog.hathitrust.org/Record/006913882</v>
      </c>
      <c r="J4500" s="1">
        <v>1930</v>
      </c>
      <c r="K4500" t="s">
        <v>10355</v>
      </c>
    </row>
    <row r="4501" spans="1:12">
      <c r="A4501" t="s">
        <v>10356</v>
      </c>
      <c r="B4501" s="1" t="s">
        <v>10357</v>
      </c>
      <c r="F4501">
        <v>1</v>
      </c>
      <c r="G4501" t="str">
        <f>HYPERLINK("http://babel.hathitrust.org/cgi/pt?id=wu.89056925142")</f>
        <v>http://babel.hathitrust.org/cgi/pt?id=wu.89056925142</v>
      </c>
      <c r="H4501" t="str">
        <f>HYPERLINK("http://catalog.hathitrust.org/Record/006913883")</f>
        <v>http://catalog.hathitrust.org/Record/006913883</v>
      </c>
      <c r="J4501" s="1">
        <v>1934</v>
      </c>
      <c r="K4501" t="s">
        <v>10358</v>
      </c>
    </row>
    <row r="4502" spans="1:12">
      <c r="A4502" t="s">
        <v>10359</v>
      </c>
      <c r="B4502" s="1" t="s">
        <v>10360</v>
      </c>
      <c r="F4502">
        <v>1</v>
      </c>
      <c r="G4502" t="str">
        <f>HYPERLINK("http://babel.hathitrust.org/cgi/pt?id=wu.89097627392")</f>
        <v>http://babel.hathitrust.org/cgi/pt?id=wu.89097627392</v>
      </c>
      <c r="H4502" t="str">
        <f>HYPERLINK("http://catalog.hathitrust.org/Record/006913891")</f>
        <v>http://catalog.hathitrust.org/Record/006913891</v>
      </c>
      <c r="J4502" s="1">
        <v>1951</v>
      </c>
      <c r="K4502" t="s">
        <v>10361</v>
      </c>
    </row>
    <row r="4503" spans="1:12">
      <c r="A4503" t="s">
        <v>10362</v>
      </c>
      <c r="B4503" s="1" t="s">
        <v>10363</v>
      </c>
      <c r="F4503">
        <v>1</v>
      </c>
      <c r="G4503" t="str">
        <f>HYPERLINK("http://babel.hathitrust.org/cgi/pt?id=wu.89097627467")</f>
        <v>http://babel.hathitrust.org/cgi/pt?id=wu.89097627467</v>
      </c>
      <c r="H4503" t="str">
        <f>HYPERLINK("http://catalog.hathitrust.org/Record/006913894")</f>
        <v>http://catalog.hathitrust.org/Record/006913894</v>
      </c>
      <c r="J4503" s="1">
        <v>1924</v>
      </c>
      <c r="K4503" t="s">
        <v>10364</v>
      </c>
      <c r="L4503" t="s">
        <v>10365</v>
      </c>
    </row>
    <row r="4504" spans="1:12">
      <c r="A4504" t="s">
        <v>10366</v>
      </c>
      <c r="B4504" s="1" t="s">
        <v>10367</v>
      </c>
      <c r="F4504">
        <v>1</v>
      </c>
      <c r="G4504" t="str">
        <f>HYPERLINK("http://babel.hathitrust.org/cgi/pt?id=wu.89097627475")</f>
        <v>http://babel.hathitrust.org/cgi/pt?id=wu.89097627475</v>
      </c>
      <c r="H4504" t="str">
        <f>HYPERLINK("http://catalog.hathitrust.org/Record/006913895")</f>
        <v>http://catalog.hathitrust.org/Record/006913895</v>
      </c>
      <c r="J4504" s="1">
        <v>1924</v>
      </c>
      <c r="K4504" t="s">
        <v>10368</v>
      </c>
      <c r="L4504" t="s">
        <v>10369</v>
      </c>
    </row>
    <row r="4505" spans="1:12">
      <c r="A4505" t="s">
        <v>10370</v>
      </c>
      <c r="B4505" s="1" t="s">
        <v>10371</v>
      </c>
      <c r="F4505">
        <v>1</v>
      </c>
      <c r="G4505" t="str">
        <f>HYPERLINK("http://babel.hathitrust.org/cgi/pt?id=wu.89097627517")</f>
        <v>http://babel.hathitrust.org/cgi/pt?id=wu.89097627517</v>
      </c>
      <c r="H4505" t="str">
        <f>HYPERLINK("http://catalog.hathitrust.org/Record/006913896")</f>
        <v>http://catalog.hathitrust.org/Record/006913896</v>
      </c>
      <c r="J4505" s="1">
        <v>1923</v>
      </c>
      <c r="K4505" t="s">
        <v>10372</v>
      </c>
      <c r="L4505" t="s">
        <v>10373</v>
      </c>
    </row>
    <row r="4506" spans="1:12">
      <c r="A4506" t="s">
        <v>10374</v>
      </c>
      <c r="B4506" s="1" t="s">
        <v>10375</v>
      </c>
      <c r="F4506">
        <v>1</v>
      </c>
      <c r="G4506" t="str">
        <f>HYPERLINK("http://babel.hathitrust.org/cgi/pt?id=wu.89097627673")</f>
        <v>http://babel.hathitrust.org/cgi/pt?id=wu.89097627673</v>
      </c>
      <c r="H4506" t="str">
        <f>HYPERLINK("http://catalog.hathitrust.org/Record/006913899")</f>
        <v>http://catalog.hathitrust.org/Record/006913899</v>
      </c>
      <c r="I4506" s="1" t="s">
        <v>20916</v>
      </c>
      <c r="J4506" s="1">
        <v>1911</v>
      </c>
      <c r="K4506" t="s">
        <v>13685</v>
      </c>
      <c r="L4506" t="s">
        <v>10376</v>
      </c>
    </row>
    <row r="4507" spans="1:12">
      <c r="A4507" t="s">
        <v>10377</v>
      </c>
      <c r="B4507" s="1" t="s">
        <v>10375</v>
      </c>
      <c r="F4507">
        <v>1</v>
      </c>
      <c r="G4507" t="str">
        <f>HYPERLINK("http://babel.hathitrust.org/cgi/pt?id=wu.89097627681")</f>
        <v>http://babel.hathitrust.org/cgi/pt?id=wu.89097627681</v>
      </c>
      <c r="H4507" t="str">
        <f>HYPERLINK("http://catalog.hathitrust.org/Record/006913899")</f>
        <v>http://catalog.hathitrust.org/Record/006913899</v>
      </c>
      <c r="I4507" s="1" t="s">
        <v>20755</v>
      </c>
      <c r="J4507" s="1">
        <v>1911</v>
      </c>
      <c r="K4507" t="s">
        <v>13685</v>
      </c>
      <c r="L4507" t="s">
        <v>10376</v>
      </c>
    </row>
    <row r="4508" spans="1:12">
      <c r="A4508" t="s">
        <v>10378</v>
      </c>
      <c r="B4508" s="1" t="s">
        <v>10379</v>
      </c>
      <c r="F4508">
        <v>1</v>
      </c>
      <c r="G4508" t="str">
        <f>HYPERLINK("http://babel.hathitrust.org/cgi/pt?id=wu.89002084515")</f>
        <v>http://babel.hathitrust.org/cgi/pt?id=wu.89002084515</v>
      </c>
      <c r="H4508" t="str">
        <f>HYPERLINK("http://catalog.hathitrust.org/Record/006920864")</f>
        <v>http://catalog.hathitrust.org/Record/006920864</v>
      </c>
      <c r="J4508" s="1">
        <v>1889</v>
      </c>
      <c r="K4508" t="s">
        <v>10380</v>
      </c>
      <c r="L4508" t="s">
        <v>10381</v>
      </c>
    </row>
    <row r="4509" spans="1:12">
      <c r="A4509" t="s">
        <v>10382</v>
      </c>
      <c r="B4509" s="1" t="s">
        <v>10383</v>
      </c>
      <c r="F4509">
        <v>1</v>
      </c>
      <c r="G4509" t="str">
        <f>HYPERLINK("http://babel.hathitrust.org/cgi/pt?id=inu.39000005762732")</f>
        <v>http://babel.hathitrust.org/cgi/pt?id=inu.39000005762732</v>
      </c>
      <c r="H4509" t="str">
        <f>HYPERLINK("http://catalog.hathitrust.org/Record/006934429")</f>
        <v>http://catalog.hathitrust.org/Record/006934429</v>
      </c>
      <c r="J4509" s="1">
        <v>1912</v>
      </c>
      <c r="K4509" t="s">
        <v>10279</v>
      </c>
      <c r="L4509" t="s">
        <v>10280</v>
      </c>
    </row>
    <row r="4510" spans="1:12">
      <c r="A4510" t="s">
        <v>10281</v>
      </c>
      <c r="B4510" s="1" t="s">
        <v>10383</v>
      </c>
      <c r="F4510">
        <v>1</v>
      </c>
      <c r="G4510" t="str">
        <f>HYPERLINK("http://babel.hathitrust.org/cgi/pt?id=uc2.ark:/13960/t0qr4px37")</f>
        <v>http://babel.hathitrust.org/cgi/pt?id=uc2.ark:/13960/t0qr4px37</v>
      </c>
      <c r="H4510" t="str">
        <f>HYPERLINK("http://catalog.hathitrust.org/Record/006934429")</f>
        <v>http://catalog.hathitrust.org/Record/006934429</v>
      </c>
      <c r="J4510" s="1">
        <v>1912</v>
      </c>
      <c r="K4510" t="s">
        <v>10279</v>
      </c>
      <c r="L4510" t="s">
        <v>10280</v>
      </c>
    </row>
    <row r="4511" spans="1:12">
      <c r="A4511" t="s">
        <v>10282</v>
      </c>
      <c r="B4511" s="1" t="s">
        <v>10283</v>
      </c>
      <c r="E4511">
        <v>1</v>
      </c>
      <c r="G4511" t="str">
        <f>HYPERLINK("http://babel.hathitrust.org/cgi/pt?id=inu.30000084048762")</f>
        <v>http://babel.hathitrust.org/cgi/pt?id=inu.30000084048762</v>
      </c>
      <c r="H4511" t="str">
        <f>HYPERLINK("http://catalog.hathitrust.org/Record/007009724")</f>
        <v>http://catalog.hathitrust.org/Record/007009724</v>
      </c>
      <c r="J4511" s="1">
        <v>1850</v>
      </c>
      <c r="K4511" t="s">
        <v>10284</v>
      </c>
      <c r="L4511" t="s">
        <v>12960</v>
      </c>
    </row>
    <row r="4512" spans="1:12">
      <c r="A4512" t="s">
        <v>10285</v>
      </c>
      <c r="B4512" s="1" t="s">
        <v>10286</v>
      </c>
      <c r="F4512">
        <v>1</v>
      </c>
      <c r="G4512" t="str">
        <f>HYPERLINK("http://babel.hathitrust.org/cgi/pt?id=inu.30000047781228")</f>
        <v>http://babel.hathitrust.org/cgi/pt?id=inu.30000047781228</v>
      </c>
      <c r="H4512" t="str">
        <f>HYPERLINK("http://catalog.hathitrust.org/Record/007010465")</f>
        <v>http://catalog.hathitrust.org/Record/007010465</v>
      </c>
      <c r="J4512" s="1">
        <v>1956</v>
      </c>
      <c r="K4512" t="s">
        <v>10287</v>
      </c>
      <c r="L4512" t="s">
        <v>10288</v>
      </c>
    </row>
    <row r="4513" spans="1:12">
      <c r="A4513" t="s">
        <v>10289</v>
      </c>
      <c r="B4513" s="1" t="s">
        <v>10290</v>
      </c>
      <c r="F4513">
        <v>1</v>
      </c>
      <c r="G4513" t="str">
        <f>HYPERLINK("http://babel.hathitrust.org/cgi/pt?id=inu.30000003130378")</f>
        <v>http://babel.hathitrust.org/cgi/pt?id=inu.30000003130378</v>
      </c>
      <c r="H4513" t="str">
        <f>HYPERLINK("http://catalog.hathitrust.org/Record/007010611")</f>
        <v>http://catalog.hathitrust.org/Record/007010611</v>
      </c>
      <c r="J4513" s="1">
        <v>1897</v>
      </c>
      <c r="K4513" t="s">
        <v>10291</v>
      </c>
      <c r="L4513" t="s">
        <v>16984</v>
      </c>
    </row>
    <row r="4514" spans="1:12">
      <c r="A4514" t="s">
        <v>10292</v>
      </c>
      <c r="B4514" s="1" t="s">
        <v>10293</v>
      </c>
      <c r="F4514">
        <v>1</v>
      </c>
      <c r="G4514" t="str">
        <f>HYPERLINK("http://babel.hathitrust.org/cgi/pt?id=inu.30000010388977")</f>
        <v>http://babel.hathitrust.org/cgi/pt?id=inu.30000010388977</v>
      </c>
      <c r="H4514" t="str">
        <f>HYPERLINK("http://catalog.hathitrust.org/Record/007010618")</f>
        <v>http://catalog.hathitrust.org/Record/007010618</v>
      </c>
      <c r="J4514" s="1">
        <v>1928</v>
      </c>
      <c r="K4514" t="s">
        <v>10752</v>
      </c>
      <c r="L4514" t="s">
        <v>15190</v>
      </c>
    </row>
    <row r="4515" spans="1:12">
      <c r="A4515" t="s">
        <v>10294</v>
      </c>
      <c r="B4515" s="1" t="s">
        <v>10295</v>
      </c>
      <c r="D4515">
        <v>1</v>
      </c>
      <c r="G4515" t="str">
        <f>HYPERLINK("http://babel.hathitrust.org/cgi/pt?id=inu.32000000888307")</f>
        <v>http://babel.hathitrust.org/cgi/pt?id=inu.32000000888307</v>
      </c>
      <c r="H4515" t="str">
        <f>HYPERLINK("http://catalog.hathitrust.org/Record/007010644")</f>
        <v>http://catalog.hathitrust.org/Record/007010644</v>
      </c>
      <c r="J4515" s="1">
        <v>1968</v>
      </c>
      <c r="K4515" t="s">
        <v>10296</v>
      </c>
      <c r="L4515" t="s">
        <v>10907</v>
      </c>
    </row>
    <row r="4516" spans="1:12">
      <c r="A4516" t="s">
        <v>10297</v>
      </c>
      <c r="B4516" s="1" t="s">
        <v>10298</v>
      </c>
      <c r="D4516">
        <v>1</v>
      </c>
      <c r="G4516" t="str">
        <f>HYPERLINK("http://babel.hathitrust.org/cgi/pt?id=pst.000003850084")</f>
        <v>http://babel.hathitrust.org/cgi/pt?id=pst.000003850084</v>
      </c>
      <c r="H4516" t="str">
        <f>HYPERLINK("http://catalog.hathitrust.org/Record/007025278")</f>
        <v>http://catalog.hathitrust.org/Record/007025278</v>
      </c>
      <c r="J4516" s="1">
        <v>1841</v>
      </c>
      <c r="K4516" t="s">
        <v>10299</v>
      </c>
      <c r="L4516" t="s">
        <v>15473</v>
      </c>
    </row>
    <row r="4517" spans="1:12">
      <c r="A4517" t="s">
        <v>10300</v>
      </c>
      <c r="B4517" s="1" t="s">
        <v>10301</v>
      </c>
      <c r="E4517">
        <v>1</v>
      </c>
      <c r="G4517" t="str">
        <f>HYPERLINK("http://babel.hathitrust.org/cgi/pt?id=pst.000004513841")</f>
        <v>http://babel.hathitrust.org/cgi/pt?id=pst.000004513841</v>
      </c>
      <c r="H4517" t="str">
        <f>HYPERLINK("http://catalog.hathitrust.org/Record/007025329")</f>
        <v>http://catalog.hathitrust.org/Record/007025329</v>
      </c>
      <c r="J4517" s="1">
        <v>1922</v>
      </c>
      <c r="K4517" t="s">
        <v>10302</v>
      </c>
      <c r="L4517" t="s">
        <v>20467</v>
      </c>
    </row>
    <row r="4518" spans="1:12">
      <c r="A4518" t="s">
        <v>10303</v>
      </c>
      <c r="B4518" s="1" t="s">
        <v>10304</v>
      </c>
      <c r="D4518">
        <v>1</v>
      </c>
      <c r="G4518" t="str">
        <f>HYPERLINK("http://babel.hathitrust.org/cgi/pt?id=pst.000006356118")</f>
        <v>http://babel.hathitrust.org/cgi/pt?id=pst.000006356118</v>
      </c>
      <c r="H4518" t="str">
        <f>HYPERLINK("http://catalog.hathitrust.org/Record/007025518")</f>
        <v>http://catalog.hathitrust.org/Record/007025518</v>
      </c>
      <c r="J4518" s="1">
        <v>1853</v>
      </c>
      <c r="K4518" t="s">
        <v>10305</v>
      </c>
      <c r="L4518" t="s">
        <v>15833</v>
      </c>
    </row>
    <row r="4519" spans="1:12">
      <c r="A4519" t="s">
        <v>10306</v>
      </c>
      <c r="B4519" s="1" t="s">
        <v>10307</v>
      </c>
      <c r="F4519">
        <v>1</v>
      </c>
      <c r="G4519" t="str">
        <f>HYPERLINK("http://babel.hathitrust.org/cgi/pt?id=pst.000006537708")</f>
        <v>http://babel.hathitrust.org/cgi/pt?id=pst.000006537708</v>
      </c>
      <c r="H4519" t="str">
        <f>HYPERLINK("http://catalog.hathitrust.org/Record/007025600")</f>
        <v>http://catalog.hathitrust.org/Record/007025600</v>
      </c>
      <c r="J4519" s="1">
        <v>1906</v>
      </c>
      <c r="K4519" t="s">
        <v>10308</v>
      </c>
      <c r="L4519" t="s">
        <v>19092</v>
      </c>
    </row>
    <row r="4520" spans="1:12">
      <c r="A4520" t="s">
        <v>10309</v>
      </c>
      <c r="B4520" s="1" t="s">
        <v>10310</v>
      </c>
      <c r="F4520">
        <v>1</v>
      </c>
      <c r="G4520" t="str">
        <f>HYPERLINK("http://babel.hathitrust.org/cgi/pt?id=pst.000022960368")</f>
        <v>http://babel.hathitrust.org/cgi/pt?id=pst.000022960368</v>
      </c>
      <c r="H4520" t="str">
        <f>HYPERLINK("http://catalog.hathitrust.org/Record/007026189")</f>
        <v>http://catalog.hathitrust.org/Record/007026189</v>
      </c>
      <c r="J4520" s="1">
        <v>1891</v>
      </c>
      <c r="K4520" t="s">
        <v>10311</v>
      </c>
      <c r="L4520" t="s">
        <v>16833</v>
      </c>
    </row>
    <row r="4521" spans="1:12">
      <c r="A4521" t="s">
        <v>10312</v>
      </c>
      <c r="B4521" s="1" t="s">
        <v>10313</v>
      </c>
      <c r="D4521">
        <v>1</v>
      </c>
      <c r="G4521" t="str">
        <f>HYPERLINK("http://babel.hathitrust.org/cgi/pt?id=pst.000015807007")</f>
        <v>http://babel.hathitrust.org/cgi/pt?id=pst.000015807007</v>
      </c>
      <c r="H4521" t="str">
        <f>HYPERLINK("http://catalog.hathitrust.org/Record/007027672")</f>
        <v>http://catalog.hathitrust.org/Record/007027672</v>
      </c>
      <c r="J4521" s="1">
        <v>1847</v>
      </c>
      <c r="K4521" t="s">
        <v>16161</v>
      </c>
      <c r="L4521" t="s">
        <v>19694</v>
      </c>
    </row>
    <row r="4522" spans="1:12">
      <c r="A4522" t="s">
        <v>10314</v>
      </c>
      <c r="B4522" s="1" t="s">
        <v>10315</v>
      </c>
      <c r="D4522">
        <v>1</v>
      </c>
      <c r="G4522" t="str">
        <f>HYPERLINK("http://babel.hathitrust.org/cgi/pt?id=pst.000005306442")</f>
        <v>http://babel.hathitrust.org/cgi/pt?id=pst.000005306442</v>
      </c>
      <c r="H4522" t="str">
        <f>HYPERLINK("http://catalog.hathitrust.org/Record/007031185")</f>
        <v>http://catalog.hathitrust.org/Record/007031185</v>
      </c>
      <c r="J4522" s="1">
        <v>1884</v>
      </c>
      <c r="K4522" t="s">
        <v>10316</v>
      </c>
      <c r="L4522" t="s">
        <v>20256</v>
      </c>
    </row>
    <row r="4523" spans="1:12">
      <c r="A4523" t="s">
        <v>10317</v>
      </c>
      <c r="B4523" s="1" t="s">
        <v>10318</v>
      </c>
      <c r="F4523">
        <v>1</v>
      </c>
      <c r="G4523" t="str">
        <f>HYPERLINK("http://babel.hathitrust.org/cgi/pt?id=pst.000012612925")</f>
        <v>http://babel.hathitrust.org/cgi/pt?id=pst.000012612925</v>
      </c>
      <c r="H4523" t="str">
        <f>HYPERLINK("http://catalog.hathitrust.org/Record/007033603")</f>
        <v>http://catalog.hathitrust.org/Record/007033603</v>
      </c>
      <c r="J4523" s="1">
        <v>1921</v>
      </c>
      <c r="K4523" t="s">
        <v>10319</v>
      </c>
      <c r="L4523" t="s">
        <v>10320</v>
      </c>
    </row>
    <row r="4524" spans="1:12">
      <c r="A4524" t="s">
        <v>10321</v>
      </c>
      <c r="B4524" s="1" t="s">
        <v>10322</v>
      </c>
      <c r="C4524">
        <v>1</v>
      </c>
      <c r="G4524" t="str">
        <f>HYPERLINK("http://babel.hathitrust.org/cgi/pt?id=pst.000005830688")</f>
        <v>http://babel.hathitrust.org/cgi/pt?id=pst.000005830688</v>
      </c>
      <c r="H4524" t="str">
        <f>HYPERLINK("http://catalog.hathitrust.org/Record/007037302")</f>
        <v>http://catalog.hathitrust.org/Record/007037302</v>
      </c>
      <c r="J4524" s="1">
        <v>1844</v>
      </c>
      <c r="K4524" t="s">
        <v>10238</v>
      </c>
      <c r="L4524" t="s">
        <v>20312</v>
      </c>
    </row>
    <row r="4525" spans="1:12">
      <c r="A4525" t="s">
        <v>10239</v>
      </c>
      <c r="B4525" s="1" t="s">
        <v>10240</v>
      </c>
      <c r="F4525">
        <v>1</v>
      </c>
      <c r="G4525" t="str">
        <f>HYPERLINK("http://babel.hathitrust.org/cgi/pt?id=nyp.33433082277298")</f>
        <v>http://babel.hathitrust.org/cgi/pt?id=nyp.33433082277298</v>
      </c>
      <c r="H4525" t="str">
        <f>HYPERLINK("http://catalog.hathitrust.org/Record/007037955")</f>
        <v>http://catalog.hathitrust.org/Record/007037955</v>
      </c>
      <c r="J4525" s="1">
        <v>1908</v>
      </c>
      <c r="K4525" t="s">
        <v>10241</v>
      </c>
      <c r="L4525" t="s">
        <v>10242</v>
      </c>
    </row>
    <row r="4526" spans="1:12">
      <c r="A4526" t="s">
        <v>10243</v>
      </c>
      <c r="B4526" s="1" t="s">
        <v>10240</v>
      </c>
      <c r="F4526">
        <v>1</v>
      </c>
      <c r="G4526" t="str">
        <f>HYPERLINK("http://babel.hathitrust.org/cgi/pt?id=pst.000001933987")</f>
        <v>http://babel.hathitrust.org/cgi/pt?id=pst.000001933987</v>
      </c>
      <c r="H4526" t="str">
        <f>HYPERLINK("http://catalog.hathitrust.org/Record/007037955")</f>
        <v>http://catalog.hathitrust.org/Record/007037955</v>
      </c>
      <c r="J4526" s="1">
        <v>1908</v>
      </c>
      <c r="K4526" t="s">
        <v>10241</v>
      </c>
      <c r="L4526" t="s">
        <v>10242</v>
      </c>
    </row>
    <row r="4527" spans="1:12">
      <c r="A4527" t="s">
        <v>10244</v>
      </c>
      <c r="B4527" s="1" t="s">
        <v>10245</v>
      </c>
      <c r="F4527">
        <v>1</v>
      </c>
      <c r="G4527" t="str">
        <f>HYPERLINK("http://babel.hathitrust.org/cgi/pt?id=pst.000005931750")</f>
        <v>http://babel.hathitrust.org/cgi/pt?id=pst.000005931750</v>
      </c>
      <c r="H4527" t="str">
        <f>HYPERLINK("http://catalog.hathitrust.org/Record/007037956")</f>
        <v>http://catalog.hathitrust.org/Record/007037956</v>
      </c>
      <c r="J4527" s="1">
        <v>1882</v>
      </c>
      <c r="K4527" t="s">
        <v>10246</v>
      </c>
      <c r="L4527" t="s">
        <v>19514</v>
      </c>
    </row>
    <row r="4528" spans="1:12">
      <c r="A4528" t="s">
        <v>10247</v>
      </c>
      <c r="B4528" s="1" t="s">
        <v>10248</v>
      </c>
      <c r="F4528">
        <v>1</v>
      </c>
      <c r="G4528" t="str">
        <f>HYPERLINK("http://babel.hathitrust.org/cgi/pt?id=pst.000001866643")</f>
        <v>http://babel.hathitrust.org/cgi/pt?id=pst.000001866643</v>
      </c>
      <c r="H4528" t="str">
        <f>HYPERLINK("http://catalog.hathitrust.org/Record/007037961")</f>
        <v>http://catalog.hathitrust.org/Record/007037961</v>
      </c>
      <c r="I4528" s="1" t="s">
        <v>20916</v>
      </c>
      <c r="J4528" s="1">
        <v>1902</v>
      </c>
      <c r="K4528" t="s">
        <v>10249</v>
      </c>
    </row>
    <row r="4529" spans="1:12">
      <c r="A4529" t="s">
        <v>10250</v>
      </c>
      <c r="B4529" s="1" t="s">
        <v>10251</v>
      </c>
      <c r="F4529">
        <v>1</v>
      </c>
      <c r="G4529" t="str">
        <f>HYPERLINK("http://babel.hathitrust.org/cgi/pt?id=pst.000005930852")</f>
        <v>http://babel.hathitrust.org/cgi/pt?id=pst.000005930852</v>
      </c>
      <c r="H4529" t="str">
        <f>HYPERLINK("http://catalog.hathitrust.org/Record/007037970")</f>
        <v>http://catalog.hathitrust.org/Record/007037970</v>
      </c>
      <c r="J4529" s="1">
        <v>1843</v>
      </c>
      <c r="K4529" t="s">
        <v>10252</v>
      </c>
      <c r="L4529" t="s">
        <v>19496</v>
      </c>
    </row>
    <row r="4530" spans="1:12">
      <c r="A4530" t="s">
        <v>10253</v>
      </c>
      <c r="B4530" s="1" t="s">
        <v>10254</v>
      </c>
      <c r="F4530">
        <v>1</v>
      </c>
      <c r="G4530" t="str">
        <f>HYPERLINK("http://babel.hathitrust.org/cgi/pt?id=pst.000029315130")</f>
        <v>http://babel.hathitrust.org/cgi/pt?id=pst.000029315130</v>
      </c>
      <c r="H4530" t="str">
        <f>HYPERLINK("http://catalog.hathitrust.org/Record/007061945")</f>
        <v>http://catalog.hathitrust.org/Record/007061945</v>
      </c>
      <c r="J4530" s="1">
        <v>1921</v>
      </c>
      <c r="K4530" t="s">
        <v>10255</v>
      </c>
      <c r="L4530" t="s">
        <v>10256</v>
      </c>
    </row>
    <row r="4531" spans="1:12">
      <c r="A4531" t="s">
        <v>10257</v>
      </c>
      <c r="B4531" s="1" t="s">
        <v>10258</v>
      </c>
      <c r="F4531">
        <v>1</v>
      </c>
      <c r="G4531" t="str">
        <f>HYPERLINK("http://babel.hathitrust.org/cgi/pt?id=uc1.32106016976661")</f>
        <v>http://babel.hathitrust.org/cgi/pt?id=uc1.32106016976661</v>
      </c>
      <c r="H4531" t="str">
        <f>HYPERLINK("http://catalog.hathitrust.org/Record/007105198")</f>
        <v>http://catalog.hathitrust.org/Record/007105198</v>
      </c>
      <c r="J4531" s="1">
        <v>1938</v>
      </c>
      <c r="K4531" t="s">
        <v>10259</v>
      </c>
      <c r="L4531" t="s">
        <v>10260</v>
      </c>
    </row>
    <row r="4532" spans="1:12">
      <c r="A4532" t="s">
        <v>10261</v>
      </c>
      <c r="B4532" s="1" t="s">
        <v>10262</v>
      </c>
      <c r="F4532">
        <v>1</v>
      </c>
      <c r="G4532" t="str">
        <f>HYPERLINK("http://babel.hathitrust.org/cgi/pt?id=uc1.32106001920849")</f>
        <v>http://babel.hathitrust.org/cgi/pt?id=uc1.32106001920849</v>
      </c>
      <c r="H4532" t="str">
        <f>HYPERLINK("http://catalog.hathitrust.org/Record/007112092")</f>
        <v>http://catalog.hathitrust.org/Record/007112092</v>
      </c>
      <c r="J4532" s="1">
        <v>1912</v>
      </c>
      <c r="K4532" t="s">
        <v>10263</v>
      </c>
      <c r="L4532" t="s">
        <v>20331</v>
      </c>
    </row>
    <row r="4533" spans="1:12">
      <c r="A4533" t="s">
        <v>10264</v>
      </c>
      <c r="B4533" s="1" t="s">
        <v>10265</v>
      </c>
      <c r="F4533">
        <v>1</v>
      </c>
      <c r="G4533" t="str">
        <f>HYPERLINK("http://babel.hathitrust.org/cgi/pt?id=uc1.32106001526083")</f>
        <v>http://babel.hathitrust.org/cgi/pt?id=uc1.32106001526083</v>
      </c>
      <c r="H4533" t="str">
        <f>HYPERLINK("http://catalog.hathitrust.org/Record/007114361")</f>
        <v>http://catalog.hathitrust.org/Record/007114361</v>
      </c>
      <c r="J4533" s="1">
        <v>1908</v>
      </c>
      <c r="K4533" t="s">
        <v>10266</v>
      </c>
      <c r="L4533" t="s">
        <v>10267</v>
      </c>
    </row>
    <row r="4534" spans="1:12">
      <c r="A4534" t="s">
        <v>10268</v>
      </c>
      <c r="B4534" s="1" t="s">
        <v>10269</v>
      </c>
      <c r="F4534">
        <v>1</v>
      </c>
      <c r="G4534" t="str">
        <f>HYPERLINK("http://babel.hathitrust.org/cgi/pt?id=uc1.32106002124664")</f>
        <v>http://babel.hathitrust.org/cgi/pt?id=uc1.32106002124664</v>
      </c>
      <c r="H4534" t="str">
        <f>HYPERLINK("http://catalog.hathitrust.org/Record/007120627")</f>
        <v>http://catalog.hathitrust.org/Record/007120627</v>
      </c>
      <c r="J4534" s="1">
        <v>1922</v>
      </c>
      <c r="K4534" t="s">
        <v>10270</v>
      </c>
      <c r="L4534" t="s">
        <v>18897</v>
      </c>
    </row>
    <row r="4535" spans="1:12">
      <c r="A4535" t="s">
        <v>10271</v>
      </c>
      <c r="B4535" s="1" t="s">
        <v>10272</v>
      </c>
      <c r="F4535">
        <v>1</v>
      </c>
      <c r="G4535" t="str">
        <f>HYPERLINK("http://babel.hathitrust.org/cgi/pt?id=uc1.32106001661542")</f>
        <v>http://babel.hathitrust.org/cgi/pt?id=uc1.32106001661542</v>
      </c>
      <c r="H4535" t="str">
        <f>HYPERLINK("http://catalog.hathitrust.org/Record/007122242")</f>
        <v>http://catalog.hathitrust.org/Record/007122242</v>
      </c>
      <c r="J4535" s="1">
        <v>1922</v>
      </c>
      <c r="K4535" t="s">
        <v>10273</v>
      </c>
      <c r="L4535" t="s">
        <v>19369</v>
      </c>
    </row>
    <row r="4536" spans="1:12">
      <c r="A4536" t="s">
        <v>10274</v>
      </c>
      <c r="B4536" s="1" t="s">
        <v>10275</v>
      </c>
      <c r="F4536">
        <v>1</v>
      </c>
      <c r="G4536" t="str">
        <f>HYPERLINK("http://babel.hathitrust.org/cgi/pt?id=uc1.32106015189290")</f>
        <v>http://babel.hathitrust.org/cgi/pt?id=uc1.32106015189290</v>
      </c>
      <c r="H4536" t="str">
        <f>HYPERLINK("http://catalog.hathitrust.org/Record/007122710")</f>
        <v>http://catalog.hathitrust.org/Record/007122710</v>
      </c>
      <c r="J4536" s="1">
        <v>1917</v>
      </c>
      <c r="K4536" t="s">
        <v>10276</v>
      </c>
      <c r="L4536" t="s">
        <v>18897</v>
      </c>
    </row>
    <row r="4537" spans="1:12">
      <c r="A4537" t="s">
        <v>10277</v>
      </c>
      <c r="B4537" s="1" t="s">
        <v>10278</v>
      </c>
      <c r="E4537">
        <v>1</v>
      </c>
      <c r="G4537" t="str">
        <f>HYPERLINK("http://babel.hathitrust.org/cgi/pt?id=uc1.32106007869586")</f>
        <v>http://babel.hathitrust.org/cgi/pt?id=uc1.32106007869586</v>
      </c>
      <c r="H4537" t="str">
        <f>HYPERLINK("http://catalog.hathitrust.org/Record/007123273")</f>
        <v>http://catalog.hathitrust.org/Record/007123273</v>
      </c>
      <c r="I4537" s="1" t="s">
        <v>20916</v>
      </c>
      <c r="J4537" s="1">
        <v>1882</v>
      </c>
      <c r="K4537" t="s">
        <v>14542</v>
      </c>
      <c r="L4537" t="s">
        <v>17963</v>
      </c>
    </row>
    <row r="4538" spans="1:12">
      <c r="A4538" t="s">
        <v>10171</v>
      </c>
      <c r="B4538" s="1" t="s">
        <v>10278</v>
      </c>
      <c r="E4538">
        <v>1</v>
      </c>
      <c r="G4538" t="str">
        <f>HYPERLINK("http://babel.hathitrust.org/cgi/pt?id=uc1.32106012471881")</f>
        <v>http://babel.hathitrust.org/cgi/pt?id=uc1.32106012471881</v>
      </c>
      <c r="H4538" t="str">
        <f>HYPERLINK("http://catalog.hathitrust.org/Record/007123273")</f>
        <v>http://catalog.hathitrust.org/Record/007123273</v>
      </c>
      <c r="I4538" s="1" t="s">
        <v>20920</v>
      </c>
      <c r="J4538" s="1">
        <v>1882</v>
      </c>
      <c r="K4538" t="s">
        <v>14542</v>
      </c>
      <c r="L4538" t="s">
        <v>17963</v>
      </c>
    </row>
    <row r="4539" spans="1:12">
      <c r="A4539" t="s">
        <v>10172</v>
      </c>
      <c r="B4539" s="1" t="s">
        <v>10278</v>
      </c>
      <c r="E4539">
        <v>1</v>
      </c>
      <c r="G4539" t="str">
        <f>HYPERLINK("http://babel.hathitrust.org/cgi/pt?id=uc1.32106019364121")</f>
        <v>http://babel.hathitrust.org/cgi/pt?id=uc1.32106019364121</v>
      </c>
      <c r="H4539" t="str">
        <f>HYPERLINK("http://catalog.hathitrust.org/Record/007123273")</f>
        <v>http://catalog.hathitrust.org/Record/007123273</v>
      </c>
      <c r="I4539" s="1" t="s">
        <v>20755</v>
      </c>
      <c r="J4539" s="1">
        <v>1882</v>
      </c>
      <c r="K4539" t="s">
        <v>14542</v>
      </c>
      <c r="L4539" t="s">
        <v>17963</v>
      </c>
    </row>
    <row r="4540" spans="1:12">
      <c r="A4540" t="s">
        <v>10173</v>
      </c>
      <c r="B4540" s="1" t="s">
        <v>10174</v>
      </c>
      <c r="F4540">
        <v>1</v>
      </c>
      <c r="G4540" t="str">
        <f>HYPERLINK("http://babel.hathitrust.org/cgi/pt?id=uc1.32106001572459")</f>
        <v>http://babel.hathitrust.org/cgi/pt?id=uc1.32106001572459</v>
      </c>
      <c r="H4540" t="str">
        <f>HYPERLINK("http://catalog.hathitrust.org/Record/007123483")</f>
        <v>http://catalog.hathitrust.org/Record/007123483</v>
      </c>
      <c r="J4540" s="1">
        <v>1956</v>
      </c>
      <c r="K4540" t="s">
        <v>10175</v>
      </c>
    </row>
    <row r="4541" spans="1:12">
      <c r="A4541" t="s">
        <v>10176</v>
      </c>
      <c r="B4541" s="1" t="s">
        <v>10177</v>
      </c>
      <c r="E4541">
        <v>1</v>
      </c>
      <c r="G4541" t="str">
        <f>HYPERLINK("http://babel.hathitrust.org/cgi/pt?id=uc1.32106001929204")</f>
        <v>http://babel.hathitrust.org/cgi/pt?id=uc1.32106001929204</v>
      </c>
      <c r="H4541" t="str">
        <f>HYPERLINK("http://catalog.hathitrust.org/Record/007123539")</f>
        <v>http://catalog.hathitrust.org/Record/007123539</v>
      </c>
      <c r="J4541" s="1">
        <v>1870</v>
      </c>
      <c r="K4541" t="s">
        <v>10178</v>
      </c>
      <c r="L4541" t="s">
        <v>20485</v>
      </c>
    </row>
    <row r="4542" spans="1:12">
      <c r="A4542" t="s">
        <v>10179</v>
      </c>
      <c r="B4542" s="1" t="s">
        <v>10180</v>
      </c>
      <c r="D4542">
        <v>1</v>
      </c>
      <c r="G4542" t="str">
        <f>HYPERLINK("http://babel.hathitrust.org/cgi/pt?id=uc1.32106007686642")</f>
        <v>http://babel.hathitrust.org/cgi/pt?id=uc1.32106007686642</v>
      </c>
      <c r="H4542" t="str">
        <f>HYPERLINK("http://catalog.hathitrust.org/Record/007123579")</f>
        <v>http://catalog.hathitrust.org/Record/007123579</v>
      </c>
      <c r="J4542" s="1">
        <v>1830</v>
      </c>
      <c r="K4542" t="s">
        <v>15472</v>
      </c>
      <c r="L4542" t="s">
        <v>15473</v>
      </c>
    </row>
    <row r="4543" spans="1:12">
      <c r="A4543" t="s">
        <v>10181</v>
      </c>
      <c r="B4543" s="1" t="s">
        <v>10182</v>
      </c>
      <c r="F4543">
        <v>1</v>
      </c>
      <c r="G4543" t="str">
        <f>HYPERLINK("http://babel.hathitrust.org/cgi/pt?id=uc1.32106002801725")</f>
        <v>http://babel.hathitrust.org/cgi/pt?id=uc1.32106002801725</v>
      </c>
      <c r="H4543" t="str">
        <f>HYPERLINK("http://catalog.hathitrust.org/Record/007124189")</f>
        <v>http://catalog.hathitrust.org/Record/007124189</v>
      </c>
      <c r="J4543" s="1">
        <v>1924</v>
      </c>
      <c r="K4543" t="s">
        <v>10183</v>
      </c>
      <c r="L4543" t="s">
        <v>10184</v>
      </c>
    </row>
    <row r="4544" spans="1:12">
      <c r="A4544" t="s">
        <v>10185</v>
      </c>
      <c r="B4544" s="1" t="s">
        <v>10186</v>
      </c>
      <c r="F4544">
        <v>1</v>
      </c>
      <c r="G4544" t="str">
        <f>HYPERLINK("http://babel.hathitrust.org/cgi/pt?id=uc1.32106001576252")</f>
        <v>http://babel.hathitrust.org/cgi/pt?id=uc1.32106001576252</v>
      </c>
      <c r="H4544" t="str">
        <f>HYPERLINK("http://catalog.hathitrust.org/Record/007126067")</f>
        <v>http://catalog.hathitrust.org/Record/007126067</v>
      </c>
      <c r="J4544" s="1">
        <v>1915</v>
      </c>
      <c r="K4544" t="s">
        <v>14396</v>
      </c>
      <c r="L4544" t="s">
        <v>14397</v>
      </c>
    </row>
    <row r="4545" spans="1:12">
      <c r="A4545" t="s">
        <v>10187</v>
      </c>
      <c r="B4545" s="1" t="s">
        <v>10188</v>
      </c>
      <c r="F4545">
        <v>1</v>
      </c>
      <c r="G4545" t="str">
        <f>HYPERLINK("http://babel.hathitrust.org/cgi/pt?id=uc1.32106011342802")</f>
        <v>http://babel.hathitrust.org/cgi/pt?id=uc1.32106011342802</v>
      </c>
      <c r="H4545" t="str">
        <f>HYPERLINK("http://catalog.hathitrust.org/Record/007126068")</f>
        <v>http://catalog.hathitrust.org/Record/007126068</v>
      </c>
      <c r="J4545" s="1">
        <v>1961</v>
      </c>
      <c r="K4545" t="s">
        <v>10189</v>
      </c>
      <c r="L4545" t="s">
        <v>10190</v>
      </c>
    </row>
    <row r="4546" spans="1:12">
      <c r="A4546" t="s">
        <v>10191</v>
      </c>
      <c r="B4546" s="1" t="s">
        <v>10192</v>
      </c>
      <c r="E4546">
        <v>1</v>
      </c>
      <c r="G4546" t="str">
        <f>HYPERLINK("http://babel.hathitrust.org/cgi/pt?id=uc1.32106001646485")</f>
        <v>http://babel.hathitrust.org/cgi/pt?id=uc1.32106001646485</v>
      </c>
      <c r="H4546" t="str">
        <f>HYPERLINK("http://catalog.hathitrust.org/Record/007126183")</f>
        <v>http://catalog.hathitrust.org/Record/007126183</v>
      </c>
      <c r="J4546" s="1">
        <v>1901</v>
      </c>
      <c r="K4546" t="s">
        <v>10193</v>
      </c>
      <c r="L4546" t="s">
        <v>19253</v>
      </c>
    </row>
    <row r="4547" spans="1:12">
      <c r="A4547" t="s">
        <v>10194</v>
      </c>
      <c r="B4547" s="1" t="s">
        <v>10195</v>
      </c>
      <c r="F4547">
        <v>1</v>
      </c>
      <c r="G4547" t="str">
        <f>HYPERLINK("http://babel.hathitrust.org/cgi/pt?id=uc1.32106001558375")</f>
        <v>http://babel.hathitrust.org/cgi/pt?id=uc1.32106001558375</v>
      </c>
      <c r="H4547" t="str">
        <f>HYPERLINK("http://catalog.hathitrust.org/Record/007126809")</f>
        <v>http://catalog.hathitrust.org/Record/007126809</v>
      </c>
      <c r="J4547" s="1">
        <v>1922</v>
      </c>
      <c r="K4547" t="s">
        <v>10196</v>
      </c>
      <c r="L4547" t="s">
        <v>10197</v>
      </c>
    </row>
    <row r="4548" spans="1:12">
      <c r="A4548" t="s">
        <v>10198</v>
      </c>
      <c r="B4548" s="1" t="s">
        <v>10199</v>
      </c>
      <c r="E4548">
        <v>1</v>
      </c>
      <c r="G4548" t="str">
        <f>HYPERLINK("http://babel.hathitrust.org/cgi/pt?id=uc1.32106001875688")</f>
        <v>http://babel.hathitrust.org/cgi/pt?id=uc1.32106001875688</v>
      </c>
      <c r="H4548" t="str">
        <f>HYPERLINK("http://catalog.hathitrust.org/Record/007127230")</f>
        <v>http://catalog.hathitrust.org/Record/007127230</v>
      </c>
      <c r="J4548" s="1">
        <v>1920</v>
      </c>
      <c r="K4548" t="s">
        <v>10200</v>
      </c>
      <c r="L4548" t="s">
        <v>19253</v>
      </c>
    </row>
    <row r="4549" spans="1:12">
      <c r="A4549" t="s">
        <v>10201</v>
      </c>
      <c r="B4549" s="1" t="s">
        <v>10202</v>
      </c>
      <c r="F4549">
        <v>1</v>
      </c>
      <c r="G4549" t="str">
        <f>HYPERLINK("http://babel.hathitrust.org/cgi/pt?id=uc1.32106001899191")</f>
        <v>http://babel.hathitrust.org/cgi/pt?id=uc1.32106001899191</v>
      </c>
      <c r="H4549" t="str">
        <f>HYPERLINK("http://catalog.hathitrust.org/Record/007127296")</f>
        <v>http://catalog.hathitrust.org/Record/007127296</v>
      </c>
      <c r="J4549" s="1">
        <v>1896</v>
      </c>
      <c r="K4549" t="s">
        <v>10203</v>
      </c>
      <c r="L4549" t="s">
        <v>19114</v>
      </c>
    </row>
    <row r="4550" spans="1:12">
      <c r="A4550" t="s">
        <v>10204</v>
      </c>
      <c r="B4550" s="1" t="s">
        <v>10205</v>
      </c>
      <c r="E4550">
        <v>1</v>
      </c>
      <c r="G4550" t="str">
        <f>HYPERLINK("http://babel.hathitrust.org/cgi/pt?id=uc1.32106002075734")</f>
        <v>http://babel.hathitrust.org/cgi/pt?id=uc1.32106002075734</v>
      </c>
      <c r="H4550" t="str">
        <f>HYPERLINK("http://catalog.hathitrust.org/Record/007127481")</f>
        <v>http://catalog.hathitrust.org/Record/007127481</v>
      </c>
      <c r="J4550" s="1">
        <v>1900</v>
      </c>
      <c r="K4550" t="s">
        <v>10206</v>
      </c>
      <c r="L4550" t="s">
        <v>20467</v>
      </c>
    </row>
    <row r="4551" spans="1:12">
      <c r="A4551" t="s">
        <v>10207</v>
      </c>
      <c r="B4551" s="1" t="s">
        <v>10208</v>
      </c>
      <c r="F4551">
        <v>1</v>
      </c>
      <c r="G4551" t="str">
        <f>HYPERLINK("http://babel.hathitrust.org/cgi/pt?id=uc1.32106001863296")</f>
        <v>http://babel.hathitrust.org/cgi/pt?id=uc1.32106001863296</v>
      </c>
      <c r="H4551" t="str">
        <f>HYPERLINK("http://catalog.hathitrust.org/Record/007128980")</f>
        <v>http://catalog.hathitrust.org/Record/007128980</v>
      </c>
      <c r="J4551" s="1">
        <v>1898</v>
      </c>
      <c r="K4551" t="s">
        <v>10209</v>
      </c>
      <c r="L4551" t="s">
        <v>14605</v>
      </c>
    </row>
    <row r="4552" spans="1:12">
      <c r="A4552" t="s">
        <v>10210</v>
      </c>
      <c r="B4552" s="1" t="s">
        <v>10211</v>
      </c>
      <c r="F4552">
        <v>1</v>
      </c>
      <c r="G4552" t="str">
        <f>HYPERLINK("http://babel.hathitrust.org/cgi/pt?id=uc1.32106009947422")</f>
        <v>http://babel.hathitrust.org/cgi/pt?id=uc1.32106009947422</v>
      </c>
      <c r="H4552" t="str">
        <f t="shared" ref="H4552:H4563" si="54">HYPERLINK("http://catalog.hathitrust.org/Record/007149112")</f>
        <v>http://catalog.hathitrust.org/Record/007149112</v>
      </c>
      <c r="I4552" s="1" t="s">
        <v>10213</v>
      </c>
      <c r="K4552" t="s">
        <v>10212</v>
      </c>
    </row>
    <row r="4553" spans="1:12">
      <c r="A4553" t="s">
        <v>10214</v>
      </c>
      <c r="B4553" s="1" t="s">
        <v>10211</v>
      </c>
      <c r="F4553">
        <v>1</v>
      </c>
      <c r="G4553" t="str">
        <f>HYPERLINK("http://babel.hathitrust.org/cgi/pt?id=uc1.32106009947430")</f>
        <v>http://babel.hathitrust.org/cgi/pt?id=uc1.32106009947430</v>
      </c>
      <c r="H4553" t="str">
        <f t="shared" si="54"/>
        <v>http://catalog.hathitrust.org/Record/007149112</v>
      </c>
      <c r="I4553" s="1" t="s">
        <v>10215</v>
      </c>
      <c r="K4553" t="s">
        <v>10212</v>
      </c>
    </row>
    <row r="4554" spans="1:12">
      <c r="A4554" t="s">
        <v>10216</v>
      </c>
      <c r="B4554" s="1" t="s">
        <v>10211</v>
      </c>
      <c r="F4554">
        <v>1</v>
      </c>
      <c r="G4554" t="str">
        <f>HYPERLINK("http://babel.hathitrust.org/cgi/pt?id=uc1.32106019313177")</f>
        <v>http://babel.hathitrust.org/cgi/pt?id=uc1.32106019313177</v>
      </c>
      <c r="H4554" t="str">
        <f t="shared" si="54"/>
        <v>http://catalog.hathitrust.org/Record/007149112</v>
      </c>
      <c r="I4554" s="1" t="s">
        <v>10217</v>
      </c>
      <c r="K4554" t="s">
        <v>10212</v>
      </c>
    </row>
    <row r="4555" spans="1:12">
      <c r="A4555" t="s">
        <v>10218</v>
      </c>
      <c r="B4555" s="1" t="s">
        <v>10211</v>
      </c>
      <c r="F4555">
        <v>1</v>
      </c>
      <c r="G4555" t="str">
        <f>HYPERLINK("http://babel.hathitrust.org/cgi/pt?id=uc1.32106019313193")</f>
        <v>http://babel.hathitrust.org/cgi/pt?id=uc1.32106019313193</v>
      </c>
      <c r="H4555" t="str">
        <f t="shared" si="54"/>
        <v>http://catalog.hathitrust.org/Record/007149112</v>
      </c>
      <c r="I4555" s="1" t="s">
        <v>10219</v>
      </c>
      <c r="K4555" t="s">
        <v>10212</v>
      </c>
    </row>
    <row r="4556" spans="1:12">
      <c r="A4556" t="s">
        <v>10220</v>
      </c>
      <c r="B4556" s="1" t="s">
        <v>10211</v>
      </c>
      <c r="F4556">
        <v>1</v>
      </c>
      <c r="G4556" t="str">
        <f>HYPERLINK("http://babel.hathitrust.org/cgi/pt?id=uc1.32106019313201")</f>
        <v>http://babel.hathitrust.org/cgi/pt?id=uc1.32106019313201</v>
      </c>
      <c r="H4556" t="str">
        <f t="shared" si="54"/>
        <v>http://catalog.hathitrust.org/Record/007149112</v>
      </c>
      <c r="I4556" s="1" t="s">
        <v>10221</v>
      </c>
      <c r="K4556" t="s">
        <v>10212</v>
      </c>
    </row>
    <row r="4557" spans="1:12">
      <c r="A4557" t="s">
        <v>10222</v>
      </c>
      <c r="B4557" s="1" t="s">
        <v>10211</v>
      </c>
      <c r="F4557">
        <v>1</v>
      </c>
      <c r="G4557" t="str">
        <f>HYPERLINK("http://babel.hathitrust.org/cgi/pt?id=uc1.32106019313219")</f>
        <v>http://babel.hathitrust.org/cgi/pt?id=uc1.32106019313219</v>
      </c>
      <c r="H4557" t="str">
        <f t="shared" si="54"/>
        <v>http://catalog.hathitrust.org/Record/007149112</v>
      </c>
      <c r="I4557" s="1" t="s">
        <v>10223</v>
      </c>
      <c r="K4557" t="s">
        <v>10212</v>
      </c>
    </row>
    <row r="4558" spans="1:12">
      <c r="A4558" t="s">
        <v>10224</v>
      </c>
      <c r="B4558" s="1" t="s">
        <v>10211</v>
      </c>
      <c r="F4558">
        <v>1</v>
      </c>
      <c r="G4558" t="str">
        <f>HYPERLINK("http://babel.hathitrust.org/cgi/pt?id=uc1.32106019313227")</f>
        <v>http://babel.hathitrust.org/cgi/pt?id=uc1.32106019313227</v>
      </c>
      <c r="H4558" t="str">
        <f t="shared" si="54"/>
        <v>http://catalog.hathitrust.org/Record/007149112</v>
      </c>
      <c r="I4558" s="1" t="s">
        <v>10225</v>
      </c>
      <c r="K4558" t="s">
        <v>10212</v>
      </c>
    </row>
    <row r="4559" spans="1:12">
      <c r="A4559" t="s">
        <v>10226</v>
      </c>
      <c r="B4559" s="1" t="s">
        <v>10211</v>
      </c>
      <c r="F4559">
        <v>1</v>
      </c>
      <c r="G4559" t="str">
        <f>HYPERLINK("http://babel.hathitrust.org/cgi/pt?id=uc1.32106019313235")</f>
        <v>http://babel.hathitrust.org/cgi/pt?id=uc1.32106019313235</v>
      </c>
      <c r="H4559" t="str">
        <f t="shared" si="54"/>
        <v>http://catalog.hathitrust.org/Record/007149112</v>
      </c>
      <c r="I4559" s="1" t="s">
        <v>10227</v>
      </c>
      <c r="K4559" t="s">
        <v>10212</v>
      </c>
    </row>
    <row r="4560" spans="1:12">
      <c r="A4560" t="s">
        <v>10228</v>
      </c>
      <c r="B4560" s="1" t="s">
        <v>10211</v>
      </c>
      <c r="F4560">
        <v>1</v>
      </c>
      <c r="G4560" t="str">
        <f>HYPERLINK("http://babel.hathitrust.org/cgi/pt?id=uc1.32106019313243")</f>
        <v>http://babel.hathitrust.org/cgi/pt?id=uc1.32106019313243</v>
      </c>
      <c r="H4560" t="str">
        <f t="shared" si="54"/>
        <v>http://catalog.hathitrust.org/Record/007149112</v>
      </c>
      <c r="I4560" s="1" t="s">
        <v>10229</v>
      </c>
      <c r="K4560" t="s">
        <v>10212</v>
      </c>
    </row>
    <row r="4561" spans="1:12">
      <c r="A4561" t="s">
        <v>10230</v>
      </c>
      <c r="B4561" s="1" t="s">
        <v>10211</v>
      </c>
      <c r="F4561">
        <v>1</v>
      </c>
      <c r="G4561" t="str">
        <f>HYPERLINK("http://babel.hathitrust.org/cgi/pt?id=uc1.32106019313250")</f>
        <v>http://babel.hathitrust.org/cgi/pt?id=uc1.32106019313250</v>
      </c>
      <c r="H4561" t="str">
        <f t="shared" si="54"/>
        <v>http://catalog.hathitrust.org/Record/007149112</v>
      </c>
      <c r="I4561" s="1" t="s">
        <v>10231</v>
      </c>
      <c r="K4561" t="s">
        <v>10212</v>
      </c>
    </row>
    <row r="4562" spans="1:12">
      <c r="A4562" t="s">
        <v>10232</v>
      </c>
      <c r="B4562" s="1" t="s">
        <v>10211</v>
      </c>
      <c r="F4562">
        <v>1</v>
      </c>
      <c r="G4562" t="str">
        <f>HYPERLINK("http://babel.hathitrust.org/cgi/pt?id=uc1.32106019313268")</f>
        <v>http://babel.hathitrust.org/cgi/pt?id=uc1.32106019313268</v>
      </c>
      <c r="H4562" t="str">
        <f t="shared" si="54"/>
        <v>http://catalog.hathitrust.org/Record/007149112</v>
      </c>
      <c r="I4562" s="1" t="s">
        <v>10233</v>
      </c>
      <c r="K4562" t="s">
        <v>10212</v>
      </c>
    </row>
    <row r="4563" spans="1:12">
      <c r="A4563" t="s">
        <v>10234</v>
      </c>
      <c r="B4563" s="1" t="s">
        <v>10211</v>
      </c>
      <c r="F4563">
        <v>1</v>
      </c>
      <c r="G4563" t="str">
        <f>HYPERLINK("http://babel.hathitrust.org/cgi/pt?id=uc1.32106020266638")</f>
        <v>http://babel.hathitrust.org/cgi/pt?id=uc1.32106020266638</v>
      </c>
      <c r="H4563" t="str">
        <f t="shared" si="54"/>
        <v>http://catalog.hathitrust.org/Record/007149112</v>
      </c>
      <c r="I4563" s="1" t="s">
        <v>10235</v>
      </c>
      <c r="K4563" t="s">
        <v>10212</v>
      </c>
    </row>
    <row r="4564" spans="1:12">
      <c r="A4564" t="s">
        <v>10236</v>
      </c>
      <c r="B4564" s="1" t="s">
        <v>10237</v>
      </c>
      <c r="D4564">
        <v>1</v>
      </c>
      <c r="G4564" t="str">
        <f>HYPERLINK("http://babel.hathitrust.org/cgi/pt?id=uc1.32106019364279")</f>
        <v>http://babel.hathitrust.org/cgi/pt?id=uc1.32106019364279</v>
      </c>
      <c r="H4564" t="str">
        <f>HYPERLINK("http://catalog.hathitrust.org/Record/007149646")</f>
        <v>http://catalog.hathitrust.org/Record/007149646</v>
      </c>
      <c r="I4564" s="1" t="s">
        <v>10137</v>
      </c>
      <c r="J4564" s="1">
        <v>1947</v>
      </c>
      <c r="K4564" t="s">
        <v>10136</v>
      </c>
      <c r="L4564" t="s">
        <v>20373</v>
      </c>
    </row>
    <row r="4565" spans="1:12">
      <c r="A4565" t="s">
        <v>10138</v>
      </c>
      <c r="B4565" s="1" t="s">
        <v>10139</v>
      </c>
      <c r="E4565">
        <v>1</v>
      </c>
      <c r="G4565" t="str">
        <f>HYPERLINK("http://babel.hathitrust.org/cgi/pt?id=uc1.b2839086")</f>
        <v>http://babel.hathitrust.org/cgi/pt?id=uc1.b2839086</v>
      </c>
      <c r="H4565" t="str">
        <f>HYPERLINK("http://catalog.hathitrust.org/Record/007322438")</f>
        <v>http://catalog.hathitrust.org/Record/007322438</v>
      </c>
      <c r="J4565" s="1">
        <v>1829</v>
      </c>
      <c r="K4565" t="s">
        <v>10140</v>
      </c>
      <c r="L4565" t="s">
        <v>20043</v>
      </c>
    </row>
    <row r="4566" spans="1:12">
      <c r="A4566" t="s">
        <v>10141</v>
      </c>
      <c r="B4566" s="1" t="s">
        <v>10142</v>
      </c>
      <c r="D4566">
        <v>1</v>
      </c>
      <c r="G4566" t="str">
        <f>HYPERLINK("http://babel.hathitrust.org/cgi/pt?id=uc1.b2796079")</f>
        <v>http://babel.hathitrust.org/cgi/pt?id=uc1.b2796079</v>
      </c>
      <c r="H4566" t="str">
        <f>HYPERLINK("http://catalog.hathitrust.org/Record/007341591")</f>
        <v>http://catalog.hathitrust.org/Record/007341591</v>
      </c>
      <c r="J4566" s="1">
        <v>1921</v>
      </c>
      <c r="K4566" t="s">
        <v>10143</v>
      </c>
      <c r="L4566" t="s">
        <v>20467</v>
      </c>
    </row>
    <row r="4567" spans="1:12">
      <c r="A4567" t="s">
        <v>10144</v>
      </c>
      <c r="B4567" s="1" t="s">
        <v>10145</v>
      </c>
      <c r="F4567">
        <v>1</v>
      </c>
      <c r="G4567" t="str">
        <f>HYPERLINK("http://babel.hathitrust.org/cgi/pt?id=uc2.ark:/13960/t3dz09p91")</f>
        <v>http://babel.hathitrust.org/cgi/pt?id=uc2.ark:/13960/t3dz09p91</v>
      </c>
      <c r="H4567" t="str">
        <f>HYPERLINK("http://catalog.hathitrust.org/Record/007356411")</f>
        <v>http://catalog.hathitrust.org/Record/007356411</v>
      </c>
      <c r="J4567" s="1">
        <v>1889</v>
      </c>
      <c r="K4567" t="s">
        <v>10146</v>
      </c>
      <c r="L4567" t="s">
        <v>10147</v>
      </c>
    </row>
    <row r="4568" spans="1:12">
      <c r="A4568" t="s">
        <v>10148</v>
      </c>
      <c r="B4568" s="1" t="s">
        <v>10149</v>
      </c>
      <c r="F4568">
        <v>1</v>
      </c>
      <c r="G4568" t="str">
        <f>HYPERLINK("http://babel.hathitrust.org/cgi/pt?id=njp.32101067938645")</f>
        <v>http://babel.hathitrust.org/cgi/pt?id=njp.32101067938645</v>
      </c>
      <c r="H4568" t="str">
        <f>HYPERLINK("http://catalog.hathitrust.org/Record/007357635")</f>
        <v>http://catalog.hathitrust.org/Record/007357635</v>
      </c>
      <c r="J4568" s="1">
        <v>1901</v>
      </c>
      <c r="K4568" t="s">
        <v>10150</v>
      </c>
      <c r="L4568" t="s">
        <v>10151</v>
      </c>
    </row>
    <row r="4569" spans="1:12">
      <c r="A4569" t="s">
        <v>10152</v>
      </c>
      <c r="B4569" s="1" t="s">
        <v>10149</v>
      </c>
      <c r="F4569">
        <v>1</v>
      </c>
      <c r="G4569" t="str">
        <f>HYPERLINK("http://babel.hathitrust.org/cgi/pt?id=uc2.ark:/13960/t8gf0w012")</f>
        <v>http://babel.hathitrust.org/cgi/pt?id=uc2.ark:/13960/t8gf0w012</v>
      </c>
      <c r="H4569" t="str">
        <f>HYPERLINK("http://catalog.hathitrust.org/Record/007357635")</f>
        <v>http://catalog.hathitrust.org/Record/007357635</v>
      </c>
      <c r="J4569" s="1">
        <v>1901</v>
      </c>
      <c r="K4569" t="s">
        <v>10150</v>
      </c>
      <c r="L4569" t="s">
        <v>10151</v>
      </c>
    </row>
    <row r="4570" spans="1:12">
      <c r="A4570" t="s">
        <v>10153</v>
      </c>
      <c r="B4570" s="1" t="s">
        <v>10154</v>
      </c>
      <c r="F4570">
        <v>1</v>
      </c>
      <c r="G4570" t="str">
        <f>HYPERLINK("http://babel.hathitrust.org/cgi/pt?id=uc2.ark:/13960/t79s1tn27")</f>
        <v>http://babel.hathitrust.org/cgi/pt?id=uc2.ark:/13960/t79s1tn27</v>
      </c>
      <c r="H4570" t="str">
        <f>HYPERLINK("http://catalog.hathitrust.org/Record/007357652")</f>
        <v>http://catalog.hathitrust.org/Record/007357652</v>
      </c>
      <c r="J4570" s="1">
        <v>1921</v>
      </c>
      <c r="K4570" t="s">
        <v>10155</v>
      </c>
      <c r="L4570" t="s">
        <v>10156</v>
      </c>
    </row>
    <row r="4571" spans="1:12">
      <c r="A4571" t="s">
        <v>10157</v>
      </c>
      <c r="B4571" s="1" t="s">
        <v>10158</v>
      </c>
      <c r="F4571">
        <v>1</v>
      </c>
      <c r="G4571" t="str">
        <f>HYPERLINK("http://babel.hathitrust.org/cgi/pt?id=uc1.b3110240")</f>
        <v>http://babel.hathitrust.org/cgi/pt?id=uc1.b3110240</v>
      </c>
      <c r="H4571" t="str">
        <f>HYPERLINK("http://catalog.hathitrust.org/Record/007357658")</f>
        <v>http://catalog.hathitrust.org/Record/007357658</v>
      </c>
      <c r="I4571" s="1" t="s">
        <v>20679</v>
      </c>
      <c r="J4571" s="1">
        <v>1843</v>
      </c>
      <c r="K4571" t="s">
        <v>10159</v>
      </c>
    </row>
    <row r="4572" spans="1:12">
      <c r="A4572" t="s">
        <v>10160</v>
      </c>
      <c r="B4572" s="1" t="s">
        <v>10161</v>
      </c>
      <c r="F4572">
        <v>1</v>
      </c>
      <c r="G4572" t="str">
        <f>HYPERLINK("http://babel.hathitrust.org/cgi/pt?id=uc1.b2791658")</f>
        <v>http://babel.hathitrust.org/cgi/pt?id=uc1.b2791658</v>
      </c>
      <c r="H4572" t="str">
        <f>HYPERLINK("http://catalog.hathitrust.org/Record/007369540")</f>
        <v>http://catalog.hathitrust.org/Record/007369540</v>
      </c>
      <c r="J4572" s="1">
        <v>1910</v>
      </c>
      <c r="K4572" t="s">
        <v>10162</v>
      </c>
      <c r="L4572" t="s">
        <v>10163</v>
      </c>
    </row>
    <row r="4573" spans="1:12">
      <c r="A4573" t="s">
        <v>10164</v>
      </c>
      <c r="B4573" s="1" t="s">
        <v>10165</v>
      </c>
      <c r="F4573">
        <v>1</v>
      </c>
      <c r="G4573" t="str">
        <f>HYPERLINK("http://babel.hathitrust.org/cgi/pt?id=uc1.b2792371")</f>
        <v>http://babel.hathitrust.org/cgi/pt?id=uc1.b2792371</v>
      </c>
      <c r="H4573" t="str">
        <f>HYPERLINK("http://catalog.hathitrust.org/Record/007370056")</f>
        <v>http://catalog.hathitrust.org/Record/007370056</v>
      </c>
      <c r="J4573" s="1">
        <v>1897</v>
      </c>
      <c r="K4573" t="s">
        <v>10166</v>
      </c>
      <c r="L4573" t="s">
        <v>10167</v>
      </c>
    </row>
    <row r="4574" spans="1:12">
      <c r="A4574" t="s">
        <v>10168</v>
      </c>
      <c r="B4574" s="1" t="s">
        <v>10165</v>
      </c>
      <c r="F4574">
        <v>1</v>
      </c>
      <c r="G4574" t="str">
        <f>HYPERLINK("http://babel.hathitrust.org/cgi/pt?id=uc2.ark:/13960/t01z47s8b")</f>
        <v>http://babel.hathitrust.org/cgi/pt?id=uc2.ark:/13960/t01z47s8b</v>
      </c>
      <c r="H4574" t="str">
        <f>HYPERLINK("http://catalog.hathitrust.org/Record/007370056")</f>
        <v>http://catalog.hathitrust.org/Record/007370056</v>
      </c>
      <c r="J4574" s="1">
        <v>1897</v>
      </c>
      <c r="K4574" t="s">
        <v>10166</v>
      </c>
      <c r="L4574" t="s">
        <v>10167</v>
      </c>
    </row>
    <row r="4575" spans="1:12">
      <c r="A4575" t="s">
        <v>10169</v>
      </c>
      <c r="B4575" s="1" t="s">
        <v>10170</v>
      </c>
      <c r="F4575">
        <v>1</v>
      </c>
      <c r="G4575" t="str">
        <f>HYPERLINK("http://babel.hathitrust.org/cgi/pt?id=uc1.b2792444")</f>
        <v>http://babel.hathitrust.org/cgi/pt?id=uc1.b2792444</v>
      </c>
      <c r="H4575" t="str">
        <f>HYPERLINK("http://catalog.hathitrust.org/Record/007370108")</f>
        <v>http://catalog.hathitrust.org/Record/007370108</v>
      </c>
      <c r="J4575" s="1">
        <v>1809</v>
      </c>
      <c r="K4575" t="s">
        <v>10082</v>
      </c>
      <c r="L4575" t="s">
        <v>10083</v>
      </c>
    </row>
    <row r="4576" spans="1:12">
      <c r="A4576" t="s">
        <v>10084</v>
      </c>
      <c r="B4576" s="1" t="s">
        <v>10170</v>
      </c>
      <c r="F4576">
        <v>1</v>
      </c>
      <c r="G4576" t="str">
        <f>HYPERLINK("http://babel.hathitrust.org/cgi/pt?id=uc2.ark:/13960/t3mw2gj8r")</f>
        <v>http://babel.hathitrust.org/cgi/pt?id=uc2.ark:/13960/t3mw2gj8r</v>
      </c>
      <c r="H4576" t="str">
        <f>HYPERLINK("http://catalog.hathitrust.org/Record/007370108")</f>
        <v>http://catalog.hathitrust.org/Record/007370108</v>
      </c>
      <c r="J4576" s="1">
        <v>1809</v>
      </c>
      <c r="K4576" t="s">
        <v>10082</v>
      </c>
      <c r="L4576" t="s">
        <v>10083</v>
      </c>
    </row>
    <row r="4577" spans="1:12">
      <c r="A4577" t="s">
        <v>10085</v>
      </c>
      <c r="B4577" s="1" t="s">
        <v>10086</v>
      </c>
      <c r="F4577">
        <v>1</v>
      </c>
      <c r="G4577" t="str">
        <f>HYPERLINK("http://babel.hathitrust.org/cgi/pt?id=uc2.ark:/13960/t83j3hj99")</f>
        <v>http://babel.hathitrust.org/cgi/pt?id=uc2.ark:/13960/t83j3hj99</v>
      </c>
      <c r="H4577" t="str">
        <f>HYPERLINK("http://catalog.hathitrust.org/Record/007370109")</f>
        <v>http://catalog.hathitrust.org/Record/007370109</v>
      </c>
      <c r="J4577" s="1">
        <v>1883</v>
      </c>
      <c r="K4577" t="s">
        <v>10087</v>
      </c>
      <c r="L4577" t="s">
        <v>18991</v>
      </c>
    </row>
    <row r="4578" spans="1:12">
      <c r="A4578" t="s">
        <v>10088</v>
      </c>
      <c r="B4578" s="1" t="s">
        <v>10089</v>
      </c>
      <c r="F4578">
        <v>1</v>
      </c>
      <c r="G4578" t="str">
        <f>HYPERLINK("http://babel.hathitrust.org/cgi/pt?id=uc1.b2792462")</f>
        <v>http://babel.hathitrust.org/cgi/pt?id=uc1.b2792462</v>
      </c>
      <c r="H4578" t="str">
        <f>HYPERLINK("http://catalog.hathitrust.org/Record/007370121")</f>
        <v>http://catalog.hathitrust.org/Record/007370121</v>
      </c>
      <c r="J4578" s="1">
        <v>1856</v>
      </c>
      <c r="K4578" t="s">
        <v>10090</v>
      </c>
      <c r="L4578" t="s">
        <v>10091</v>
      </c>
    </row>
    <row r="4579" spans="1:12">
      <c r="A4579" t="s">
        <v>10092</v>
      </c>
      <c r="B4579" s="1" t="s">
        <v>10089</v>
      </c>
      <c r="F4579">
        <v>1</v>
      </c>
      <c r="G4579" t="str">
        <f>HYPERLINK("http://babel.hathitrust.org/cgi/pt?id=uc2.ark:/13960/t3417157w")</f>
        <v>http://babel.hathitrust.org/cgi/pt?id=uc2.ark:/13960/t3417157w</v>
      </c>
      <c r="H4579" t="str">
        <f>HYPERLINK("http://catalog.hathitrust.org/Record/007370121")</f>
        <v>http://catalog.hathitrust.org/Record/007370121</v>
      </c>
      <c r="J4579" s="1">
        <v>1856</v>
      </c>
      <c r="K4579" t="s">
        <v>10090</v>
      </c>
      <c r="L4579" t="s">
        <v>10091</v>
      </c>
    </row>
    <row r="4580" spans="1:12">
      <c r="A4580" t="s">
        <v>10093</v>
      </c>
      <c r="B4580" s="1" t="s">
        <v>10094</v>
      </c>
      <c r="E4580">
        <v>1</v>
      </c>
      <c r="G4580" t="str">
        <f>HYPERLINK("http://babel.hathitrust.org/cgi/pt?id=inu.32000000333239")</f>
        <v>http://babel.hathitrust.org/cgi/pt?id=inu.32000000333239</v>
      </c>
      <c r="H4580" t="str">
        <f>HYPERLINK("http://catalog.hathitrust.org/Record/007391108")</f>
        <v>http://catalog.hathitrust.org/Record/007391108</v>
      </c>
      <c r="J4580" s="1">
        <v>1934</v>
      </c>
      <c r="K4580" t="s">
        <v>10095</v>
      </c>
      <c r="L4580" t="s">
        <v>10096</v>
      </c>
    </row>
    <row r="4581" spans="1:12">
      <c r="A4581" t="s">
        <v>10097</v>
      </c>
      <c r="B4581" s="1" t="s">
        <v>10098</v>
      </c>
      <c r="F4581">
        <v>1</v>
      </c>
      <c r="G4581" t="str">
        <f>HYPERLINK("http://babel.hathitrust.org/cgi/pt?id=umn.319510024019820")</f>
        <v>http://babel.hathitrust.org/cgi/pt?id=umn.319510024019820</v>
      </c>
      <c r="H4581" t="str">
        <f>HYPERLINK("http://catalog.hathitrust.org/Record/007471069")</f>
        <v>http://catalog.hathitrust.org/Record/007471069</v>
      </c>
      <c r="J4581" s="1">
        <v>1897</v>
      </c>
      <c r="K4581" t="s">
        <v>10099</v>
      </c>
      <c r="L4581" t="s">
        <v>19783</v>
      </c>
    </row>
    <row r="4582" spans="1:12">
      <c r="A4582" t="s">
        <v>10100</v>
      </c>
      <c r="B4582" s="1" t="s">
        <v>10101</v>
      </c>
      <c r="E4582">
        <v>1</v>
      </c>
      <c r="G4582" t="str">
        <f>HYPERLINK("http://babel.hathitrust.org/cgi/pt?id=umn.319510024020249")</f>
        <v>http://babel.hathitrust.org/cgi/pt?id=umn.319510024020249</v>
      </c>
      <c r="H4582" t="str">
        <f>HYPERLINK("http://catalog.hathitrust.org/Record/007472728")</f>
        <v>http://catalog.hathitrust.org/Record/007472728</v>
      </c>
      <c r="J4582" s="1">
        <v>1906</v>
      </c>
      <c r="K4582" t="s">
        <v>17874</v>
      </c>
      <c r="L4582" t="s">
        <v>17875</v>
      </c>
    </row>
    <row r="4583" spans="1:12">
      <c r="A4583" t="s">
        <v>10102</v>
      </c>
      <c r="B4583" s="1" t="s">
        <v>10103</v>
      </c>
      <c r="D4583">
        <v>1</v>
      </c>
      <c r="G4583" t="str">
        <f>HYPERLINK("http://babel.hathitrust.org/cgi/pt?id=umn.31951002044523l")</f>
        <v>http://babel.hathitrust.org/cgi/pt?id=umn.31951002044523l</v>
      </c>
      <c r="H4583" t="str">
        <f t="shared" ref="H4583:H4589" si="55">HYPERLINK("http://catalog.hathitrust.org/Record/007474147")</f>
        <v>http://catalog.hathitrust.org/Record/007474147</v>
      </c>
      <c r="I4583" s="1" t="s">
        <v>20755</v>
      </c>
      <c r="J4583" s="1">
        <v>1896</v>
      </c>
      <c r="K4583" t="s">
        <v>10104</v>
      </c>
      <c r="L4583" t="s">
        <v>20086</v>
      </c>
    </row>
    <row r="4584" spans="1:12">
      <c r="A4584" t="s">
        <v>10105</v>
      </c>
      <c r="B4584" s="1" t="s">
        <v>10103</v>
      </c>
      <c r="D4584">
        <v>1</v>
      </c>
      <c r="G4584" t="str">
        <f>HYPERLINK("http://babel.hathitrust.org/cgi/pt?id=umn.31951002044524j")</f>
        <v>http://babel.hathitrust.org/cgi/pt?id=umn.31951002044524j</v>
      </c>
      <c r="H4584" t="str">
        <f t="shared" si="55"/>
        <v>http://catalog.hathitrust.org/Record/007474147</v>
      </c>
      <c r="I4584" s="1" t="s">
        <v>20920</v>
      </c>
      <c r="J4584" s="1">
        <v>1896</v>
      </c>
      <c r="K4584" t="s">
        <v>10104</v>
      </c>
      <c r="L4584" t="s">
        <v>20086</v>
      </c>
    </row>
    <row r="4585" spans="1:12">
      <c r="A4585" t="s">
        <v>10106</v>
      </c>
      <c r="B4585" s="1" t="s">
        <v>10103</v>
      </c>
      <c r="D4585">
        <v>1</v>
      </c>
      <c r="G4585" t="str">
        <f>HYPERLINK("http://babel.hathitrust.org/cgi/pt?id=umn.31951002044525h")</f>
        <v>http://babel.hathitrust.org/cgi/pt?id=umn.31951002044525h</v>
      </c>
      <c r="H4585" t="str">
        <f t="shared" si="55"/>
        <v>http://catalog.hathitrust.org/Record/007474147</v>
      </c>
      <c r="I4585" s="1" t="s">
        <v>20679</v>
      </c>
      <c r="J4585" s="1">
        <v>1896</v>
      </c>
      <c r="K4585" t="s">
        <v>10104</v>
      </c>
      <c r="L4585" t="s">
        <v>20086</v>
      </c>
    </row>
    <row r="4586" spans="1:12">
      <c r="A4586" t="s">
        <v>10107</v>
      </c>
      <c r="B4586" s="1" t="s">
        <v>10103</v>
      </c>
      <c r="D4586">
        <v>1</v>
      </c>
      <c r="G4586" t="str">
        <f>HYPERLINK("http://babel.hathitrust.org/cgi/pt?id=umn.31951002044526f")</f>
        <v>http://babel.hathitrust.org/cgi/pt?id=umn.31951002044526f</v>
      </c>
      <c r="H4586" t="str">
        <f t="shared" si="55"/>
        <v>http://catalog.hathitrust.org/Record/007474147</v>
      </c>
      <c r="I4586" s="1" t="s">
        <v>20681</v>
      </c>
      <c r="J4586" s="1">
        <v>1896</v>
      </c>
      <c r="K4586" t="s">
        <v>10104</v>
      </c>
      <c r="L4586" t="s">
        <v>20086</v>
      </c>
    </row>
    <row r="4587" spans="1:12">
      <c r="A4587" t="s">
        <v>10108</v>
      </c>
      <c r="B4587" s="1" t="s">
        <v>10103</v>
      </c>
      <c r="D4587">
        <v>1</v>
      </c>
      <c r="G4587" t="str">
        <f>HYPERLINK("http://babel.hathitrust.org/cgi/pt?id=umn.31951002044527d")</f>
        <v>http://babel.hathitrust.org/cgi/pt?id=umn.31951002044527d</v>
      </c>
      <c r="H4587" t="str">
        <f t="shared" si="55"/>
        <v>http://catalog.hathitrust.org/Record/007474147</v>
      </c>
      <c r="I4587" s="1" t="s">
        <v>21018</v>
      </c>
      <c r="J4587" s="1">
        <v>1896</v>
      </c>
      <c r="K4587" t="s">
        <v>10104</v>
      </c>
      <c r="L4587" t="s">
        <v>20086</v>
      </c>
    </row>
    <row r="4588" spans="1:12">
      <c r="A4588" t="s">
        <v>10109</v>
      </c>
      <c r="B4588" s="1" t="s">
        <v>10103</v>
      </c>
      <c r="F4588">
        <v>1</v>
      </c>
      <c r="G4588" t="str">
        <f>HYPERLINK("http://babel.hathitrust.org/cgi/pt?id=umn.31951002044530o")</f>
        <v>http://babel.hathitrust.org/cgi/pt?id=umn.31951002044530o</v>
      </c>
      <c r="H4588" t="str">
        <f t="shared" si="55"/>
        <v>http://catalog.hathitrust.org/Record/007474147</v>
      </c>
      <c r="I4588" s="1" t="s">
        <v>20920</v>
      </c>
      <c r="J4588" s="1">
        <v>1896</v>
      </c>
      <c r="K4588" t="s">
        <v>10104</v>
      </c>
      <c r="L4588" t="s">
        <v>20086</v>
      </c>
    </row>
    <row r="4589" spans="1:12">
      <c r="A4589" t="s">
        <v>10110</v>
      </c>
      <c r="B4589" s="1" t="s">
        <v>10103</v>
      </c>
      <c r="F4589">
        <v>1</v>
      </c>
      <c r="G4589" t="str">
        <f>HYPERLINK("http://babel.hathitrust.org/cgi/pt?id=umn.31951002044531m")</f>
        <v>http://babel.hathitrust.org/cgi/pt?id=umn.31951002044531m</v>
      </c>
      <c r="H4589" t="str">
        <f t="shared" si="55"/>
        <v>http://catalog.hathitrust.org/Record/007474147</v>
      </c>
      <c r="I4589" s="1" t="s">
        <v>20679</v>
      </c>
      <c r="J4589" s="1">
        <v>1896</v>
      </c>
      <c r="K4589" t="s">
        <v>10104</v>
      </c>
      <c r="L4589" t="s">
        <v>20086</v>
      </c>
    </row>
    <row r="4590" spans="1:12">
      <c r="A4590" t="s">
        <v>10111</v>
      </c>
      <c r="B4590" s="1" t="s">
        <v>10112</v>
      </c>
      <c r="F4590">
        <v>1</v>
      </c>
      <c r="G4590" t="str">
        <f>HYPERLINK("http://babel.hathitrust.org/cgi/pt?id=umn.31951002185740d")</f>
        <v>http://babel.hathitrust.org/cgi/pt?id=umn.31951002185740d</v>
      </c>
      <c r="H4590" t="str">
        <f>HYPERLINK("http://catalog.hathitrust.org/Record/007474295")</f>
        <v>http://catalog.hathitrust.org/Record/007474295</v>
      </c>
      <c r="J4590" s="1">
        <v>1885</v>
      </c>
      <c r="K4590" t="s">
        <v>10113</v>
      </c>
      <c r="L4590" t="s">
        <v>19690</v>
      </c>
    </row>
    <row r="4591" spans="1:12">
      <c r="A4591" t="s">
        <v>10114</v>
      </c>
      <c r="B4591" s="1" t="s">
        <v>10115</v>
      </c>
      <c r="D4591">
        <v>1</v>
      </c>
      <c r="G4591" t="str">
        <f>HYPERLINK("http://babel.hathitrust.org/cgi/pt?id=umn.31951002169893g")</f>
        <v>http://babel.hathitrust.org/cgi/pt?id=umn.31951002169893g</v>
      </c>
      <c r="H4591" t="str">
        <f>HYPERLINK("http://catalog.hathitrust.org/Record/007475892")</f>
        <v>http://catalog.hathitrust.org/Record/007475892</v>
      </c>
      <c r="J4591" s="1">
        <v>1833</v>
      </c>
      <c r="K4591" t="s">
        <v>16161</v>
      </c>
      <c r="L4591" t="s">
        <v>19694</v>
      </c>
    </row>
    <row r="4592" spans="1:12">
      <c r="A4592" t="s">
        <v>10116</v>
      </c>
      <c r="B4592" s="1" t="s">
        <v>10117</v>
      </c>
      <c r="F4592">
        <v>1</v>
      </c>
      <c r="G4592" t="str">
        <f>HYPERLINK("http://babel.hathitrust.org/cgi/pt?id=umn.319510023989074")</f>
        <v>http://babel.hathitrust.org/cgi/pt?id=umn.319510023989074</v>
      </c>
      <c r="H4592" t="str">
        <f>HYPERLINK("http://catalog.hathitrust.org/Record/007476063")</f>
        <v>http://catalog.hathitrust.org/Record/007476063</v>
      </c>
      <c r="I4592" s="1" t="s">
        <v>20755</v>
      </c>
      <c r="J4592" s="1">
        <v>1891</v>
      </c>
      <c r="K4592" t="s">
        <v>10118</v>
      </c>
      <c r="L4592" t="s">
        <v>13615</v>
      </c>
    </row>
    <row r="4593" spans="1:12">
      <c r="A4593" t="s">
        <v>10119</v>
      </c>
      <c r="B4593" s="1" t="s">
        <v>10117</v>
      </c>
      <c r="F4593">
        <v>1</v>
      </c>
      <c r="G4593" t="str">
        <f>HYPERLINK("http://babel.hathitrust.org/cgi/pt?id=uva.x000611919")</f>
        <v>http://babel.hathitrust.org/cgi/pt?id=uva.x000611919</v>
      </c>
      <c r="H4593" t="str">
        <f>HYPERLINK("http://catalog.hathitrust.org/Record/007476063")</f>
        <v>http://catalog.hathitrust.org/Record/007476063</v>
      </c>
      <c r="I4593" s="1" t="s">
        <v>14533</v>
      </c>
      <c r="J4593" s="1">
        <v>1891</v>
      </c>
      <c r="K4593" t="s">
        <v>10118</v>
      </c>
      <c r="L4593" t="s">
        <v>13615</v>
      </c>
    </row>
    <row r="4594" spans="1:12">
      <c r="A4594" t="s">
        <v>10120</v>
      </c>
      <c r="B4594" s="1" t="s">
        <v>10121</v>
      </c>
      <c r="F4594">
        <v>1</v>
      </c>
      <c r="G4594" t="str">
        <f>HYPERLINK("http://babel.hathitrust.org/cgi/pt?id=umn.319510021803814")</f>
        <v>http://babel.hathitrust.org/cgi/pt?id=umn.319510021803814</v>
      </c>
      <c r="H4594" t="str">
        <f>HYPERLINK("http://catalog.hathitrust.org/Record/007477645")</f>
        <v>http://catalog.hathitrust.org/Record/007477645</v>
      </c>
      <c r="J4594" s="1">
        <v>1868</v>
      </c>
      <c r="K4594" t="s">
        <v>10122</v>
      </c>
      <c r="L4594" t="s">
        <v>10123</v>
      </c>
    </row>
    <row r="4595" spans="1:12">
      <c r="A4595" t="s">
        <v>10124</v>
      </c>
      <c r="B4595" s="1" t="s">
        <v>10125</v>
      </c>
      <c r="E4595">
        <v>1</v>
      </c>
      <c r="F4595">
        <v>1</v>
      </c>
      <c r="G4595" t="str">
        <f>HYPERLINK("http://babel.hathitrust.org/cgi/pt?id=umn.31951002399018u")</f>
        <v>http://babel.hathitrust.org/cgi/pt?id=umn.31951002399018u</v>
      </c>
      <c r="H4595" t="str">
        <f>HYPERLINK("http://catalog.hathitrust.org/Record/007477765")</f>
        <v>http://catalog.hathitrust.org/Record/007477765</v>
      </c>
      <c r="J4595" s="1">
        <v>1916</v>
      </c>
      <c r="K4595" t="s">
        <v>10126</v>
      </c>
      <c r="L4595" t="s">
        <v>20297</v>
      </c>
    </row>
    <row r="4596" spans="1:12">
      <c r="A4596" t="s">
        <v>10127</v>
      </c>
      <c r="B4596" s="1" t="s">
        <v>10128</v>
      </c>
      <c r="F4596">
        <v>1</v>
      </c>
      <c r="G4596" t="str">
        <f>HYPERLINK("http://babel.hathitrust.org/cgi/pt?id=pst.000018582185")</f>
        <v>http://babel.hathitrust.org/cgi/pt?id=pst.000018582185</v>
      </c>
      <c r="H4596" t="str">
        <f>HYPERLINK("http://catalog.hathitrust.org/Record/007516935")</f>
        <v>http://catalog.hathitrust.org/Record/007516935</v>
      </c>
      <c r="J4596" s="1">
        <v>1906</v>
      </c>
      <c r="K4596" t="s">
        <v>10129</v>
      </c>
      <c r="L4596" t="s">
        <v>10130</v>
      </c>
    </row>
    <row r="4597" spans="1:12">
      <c r="A4597" t="s">
        <v>10131</v>
      </c>
      <c r="B4597" s="1" t="s">
        <v>10132</v>
      </c>
      <c r="F4597">
        <v>1</v>
      </c>
      <c r="G4597" t="str">
        <f>HYPERLINK("http://babel.hathitrust.org/cgi/pt?id=pst.000001926552")</f>
        <v>http://babel.hathitrust.org/cgi/pt?id=pst.000001926552</v>
      </c>
      <c r="H4597" t="str">
        <f>HYPERLINK("http://catalog.hathitrust.org/Record/007517003")</f>
        <v>http://catalog.hathitrust.org/Record/007517003</v>
      </c>
      <c r="J4597" s="1">
        <v>1910</v>
      </c>
      <c r="K4597" t="s">
        <v>10133</v>
      </c>
      <c r="L4597" t="s">
        <v>10424</v>
      </c>
    </row>
    <row r="4598" spans="1:12">
      <c r="A4598" t="s">
        <v>10134</v>
      </c>
      <c r="B4598" s="1" t="s">
        <v>10135</v>
      </c>
      <c r="E4598">
        <v>1</v>
      </c>
      <c r="G4598" t="str">
        <f>HYPERLINK("http://babel.hathitrust.org/cgi/pt?id=pst.000002036496")</f>
        <v>http://babel.hathitrust.org/cgi/pt?id=pst.000002036496</v>
      </c>
      <c r="H4598" t="str">
        <f>HYPERLINK("http://catalog.hathitrust.org/Record/007517029")</f>
        <v>http://catalog.hathitrust.org/Record/007517029</v>
      </c>
      <c r="J4598" s="1">
        <v>1848</v>
      </c>
      <c r="K4598" t="s">
        <v>10032</v>
      </c>
      <c r="L4598" t="s">
        <v>20753</v>
      </c>
    </row>
    <row r="4599" spans="1:12">
      <c r="A4599" t="s">
        <v>10033</v>
      </c>
      <c r="B4599" s="1" t="s">
        <v>10034</v>
      </c>
      <c r="F4599">
        <v>1</v>
      </c>
      <c r="G4599" t="str">
        <f>HYPERLINK("http://babel.hathitrust.org/cgi/pt?id=wu.89099947541")</f>
        <v>http://babel.hathitrust.org/cgi/pt?id=wu.89099947541</v>
      </c>
      <c r="H4599" t="str">
        <f>HYPERLINK("http://catalog.hathitrust.org/Record/007562304")</f>
        <v>http://catalog.hathitrust.org/Record/007562304</v>
      </c>
      <c r="J4599" s="1">
        <v>1927</v>
      </c>
      <c r="K4599" t="s">
        <v>10035</v>
      </c>
    </row>
    <row r="4600" spans="1:12">
      <c r="A4600" t="s">
        <v>10036</v>
      </c>
      <c r="B4600" s="1" t="s">
        <v>10037</v>
      </c>
      <c r="F4600">
        <v>1</v>
      </c>
      <c r="G4600" t="str">
        <f>HYPERLINK("http://babel.hathitrust.org/cgi/pt?id=wu.89099415796")</f>
        <v>http://babel.hathitrust.org/cgi/pt?id=wu.89099415796</v>
      </c>
      <c r="H4600" t="str">
        <f>HYPERLINK("http://catalog.hathitrust.org/Record/007562307")</f>
        <v>http://catalog.hathitrust.org/Record/007562307</v>
      </c>
      <c r="J4600" s="1">
        <v>1925</v>
      </c>
      <c r="K4600" t="s">
        <v>10038</v>
      </c>
    </row>
    <row r="4601" spans="1:12">
      <c r="A4601" t="s">
        <v>10039</v>
      </c>
      <c r="B4601" s="1" t="s">
        <v>10040</v>
      </c>
      <c r="D4601">
        <v>1</v>
      </c>
      <c r="G4601" t="str">
        <f>HYPERLINK("http://babel.hathitrust.org/cgi/pt?id=wu.89099359515")</f>
        <v>http://babel.hathitrust.org/cgi/pt?id=wu.89099359515</v>
      </c>
      <c r="H4601" t="str">
        <f>HYPERLINK("http://catalog.hathitrust.org/Record/007562366")</f>
        <v>http://catalog.hathitrust.org/Record/007562366</v>
      </c>
      <c r="J4601" s="1">
        <v>1876</v>
      </c>
      <c r="K4601" t="s">
        <v>10041</v>
      </c>
      <c r="L4601" t="s">
        <v>18991</v>
      </c>
    </row>
    <row r="4602" spans="1:12">
      <c r="A4602" t="s">
        <v>10042</v>
      </c>
      <c r="B4602" s="1" t="s">
        <v>10043</v>
      </c>
      <c r="F4602">
        <v>1</v>
      </c>
      <c r="G4602" t="str">
        <f>HYPERLINK("http://babel.hathitrust.org/cgi/pt?id=wu.89099359689")</f>
        <v>http://babel.hathitrust.org/cgi/pt?id=wu.89099359689</v>
      </c>
      <c r="H4602" t="str">
        <f>HYPERLINK("http://catalog.hathitrust.org/Record/007562367")</f>
        <v>http://catalog.hathitrust.org/Record/007562367</v>
      </c>
      <c r="J4602" s="1">
        <v>1907</v>
      </c>
      <c r="K4602" t="s">
        <v>10044</v>
      </c>
      <c r="L4602" t="s">
        <v>10045</v>
      </c>
    </row>
    <row r="4603" spans="1:12">
      <c r="A4603" t="s">
        <v>10046</v>
      </c>
      <c r="B4603" s="1" t="s">
        <v>10047</v>
      </c>
      <c r="F4603">
        <v>1</v>
      </c>
      <c r="G4603" t="str">
        <f>HYPERLINK("http://babel.hathitrust.org/cgi/pt?id=wu.89099359697")</f>
        <v>http://babel.hathitrust.org/cgi/pt?id=wu.89099359697</v>
      </c>
      <c r="H4603" t="str">
        <f>HYPERLINK("http://catalog.hathitrust.org/Record/007562370")</f>
        <v>http://catalog.hathitrust.org/Record/007562370</v>
      </c>
      <c r="J4603" s="1">
        <v>1896</v>
      </c>
      <c r="K4603" t="s">
        <v>10048</v>
      </c>
      <c r="L4603" t="s">
        <v>19601</v>
      </c>
    </row>
    <row r="4604" spans="1:12">
      <c r="A4604" t="s">
        <v>10049</v>
      </c>
      <c r="B4604" s="1" t="s">
        <v>10050</v>
      </c>
      <c r="F4604">
        <v>1</v>
      </c>
      <c r="G4604" t="str">
        <f>HYPERLINK("http://babel.hathitrust.org/cgi/pt?id=wu.89104401369")</f>
        <v>http://babel.hathitrust.org/cgi/pt?id=wu.89104401369</v>
      </c>
      <c r="H4604" t="str">
        <f>HYPERLINK("http://catalog.hathitrust.org/Record/007562453")</f>
        <v>http://catalog.hathitrust.org/Record/007562453</v>
      </c>
      <c r="J4604" s="1">
        <v>1919</v>
      </c>
      <c r="K4604" t="s">
        <v>10051</v>
      </c>
      <c r="L4604" t="s">
        <v>10052</v>
      </c>
    </row>
    <row r="4605" spans="1:12">
      <c r="A4605" t="s">
        <v>10053</v>
      </c>
      <c r="B4605" s="1" t="s">
        <v>10054</v>
      </c>
      <c r="F4605">
        <v>1</v>
      </c>
      <c r="G4605" t="str">
        <f>HYPERLINK("http://babel.hathitrust.org/cgi/pt?id=wu.89099507287")</f>
        <v>http://babel.hathitrust.org/cgi/pt?id=wu.89099507287</v>
      </c>
      <c r="H4605" t="str">
        <f>HYPERLINK("http://catalog.hathitrust.org/Record/007562485")</f>
        <v>http://catalog.hathitrust.org/Record/007562485</v>
      </c>
      <c r="J4605" s="1">
        <v>1943</v>
      </c>
      <c r="K4605" t="s">
        <v>10055</v>
      </c>
      <c r="L4605" t="s">
        <v>18334</v>
      </c>
    </row>
    <row r="4606" spans="1:12">
      <c r="A4606" t="s">
        <v>10056</v>
      </c>
      <c r="B4606" s="1" t="s">
        <v>10057</v>
      </c>
      <c r="F4606">
        <v>1</v>
      </c>
      <c r="G4606" t="str">
        <f>HYPERLINK("http://babel.hathitrust.org/cgi/pt?id=inu.30000054488253")</f>
        <v>http://babel.hathitrust.org/cgi/pt?id=inu.30000054488253</v>
      </c>
      <c r="H4606" t="str">
        <f>HYPERLINK("http://catalog.hathitrust.org/Record/007584491")</f>
        <v>http://catalog.hathitrust.org/Record/007584491</v>
      </c>
      <c r="J4606" s="1">
        <v>1893</v>
      </c>
      <c r="K4606" t="s">
        <v>10784</v>
      </c>
      <c r="L4606" t="s">
        <v>20507</v>
      </c>
    </row>
    <row r="4607" spans="1:12">
      <c r="A4607" t="s">
        <v>10058</v>
      </c>
      <c r="B4607" s="1" t="s">
        <v>10059</v>
      </c>
      <c r="F4607">
        <v>1</v>
      </c>
      <c r="G4607" t="str">
        <f>HYPERLINK("http://babel.hathitrust.org/cgi/pt?id=inu.32000011236645")</f>
        <v>http://babel.hathitrust.org/cgi/pt?id=inu.32000011236645</v>
      </c>
      <c r="H4607" t="str">
        <f>HYPERLINK("http://catalog.hathitrust.org/Record/007584679")</f>
        <v>http://catalog.hathitrust.org/Record/007584679</v>
      </c>
      <c r="I4607" s="1" t="s">
        <v>20920</v>
      </c>
      <c r="J4607" s="1">
        <v>1844</v>
      </c>
      <c r="K4607" t="s">
        <v>10060</v>
      </c>
    </row>
    <row r="4608" spans="1:12">
      <c r="A4608" t="s">
        <v>10061</v>
      </c>
      <c r="B4608" s="1" t="s">
        <v>10059</v>
      </c>
      <c r="F4608">
        <v>1</v>
      </c>
      <c r="G4608" t="str">
        <f>HYPERLINK("http://babel.hathitrust.org/cgi/pt?id=inu.32000011236652")</f>
        <v>http://babel.hathitrust.org/cgi/pt?id=inu.32000011236652</v>
      </c>
      <c r="H4608" t="str">
        <f>HYPERLINK("http://catalog.hathitrust.org/Record/007584679")</f>
        <v>http://catalog.hathitrust.org/Record/007584679</v>
      </c>
      <c r="I4608" s="1" t="s">
        <v>20679</v>
      </c>
      <c r="J4608" s="1">
        <v>1844</v>
      </c>
      <c r="K4608" t="s">
        <v>10060</v>
      </c>
    </row>
    <row r="4609" spans="1:12">
      <c r="A4609" t="s">
        <v>10062</v>
      </c>
      <c r="B4609" s="1" t="s">
        <v>10059</v>
      </c>
      <c r="F4609">
        <v>1</v>
      </c>
      <c r="G4609" t="str">
        <f>HYPERLINK("http://babel.hathitrust.org/cgi/pt?id=inu.32000011236678")</f>
        <v>http://babel.hathitrust.org/cgi/pt?id=inu.32000011236678</v>
      </c>
      <c r="H4609" t="str">
        <f>HYPERLINK("http://catalog.hathitrust.org/Record/007584679")</f>
        <v>http://catalog.hathitrust.org/Record/007584679</v>
      </c>
      <c r="I4609" s="1" t="s">
        <v>20755</v>
      </c>
      <c r="J4609" s="1">
        <v>1844</v>
      </c>
      <c r="K4609" t="s">
        <v>10060</v>
      </c>
    </row>
    <row r="4610" spans="1:12">
      <c r="A4610" t="s">
        <v>10063</v>
      </c>
      <c r="B4610" s="1" t="s">
        <v>10064</v>
      </c>
      <c r="D4610">
        <v>1</v>
      </c>
      <c r="G4610" t="str">
        <f>HYPERLINK("http://babel.hathitrust.org/cgi/pt?id=inu.32000007482708")</f>
        <v>http://babel.hathitrust.org/cgi/pt?id=inu.32000007482708</v>
      </c>
      <c r="H4610" t="str">
        <f>HYPERLINK("http://catalog.hathitrust.org/Record/007585411")</f>
        <v>http://catalog.hathitrust.org/Record/007585411</v>
      </c>
      <c r="J4610" s="1">
        <v>1908</v>
      </c>
      <c r="K4610" t="s">
        <v>10065</v>
      </c>
      <c r="L4610" t="s">
        <v>19408</v>
      </c>
    </row>
    <row r="4611" spans="1:12">
      <c r="A4611" t="s">
        <v>10066</v>
      </c>
      <c r="B4611" s="1" t="s">
        <v>10067</v>
      </c>
      <c r="E4611">
        <v>1</v>
      </c>
      <c r="G4611" t="str">
        <f>HYPERLINK("http://babel.hathitrust.org/cgi/pt?id=inu.32000000980351")</f>
        <v>http://babel.hathitrust.org/cgi/pt?id=inu.32000000980351</v>
      </c>
      <c r="H4611" t="str">
        <f>HYPERLINK("http://catalog.hathitrust.org/Record/007591296")</f>
        <v>http://catalog.hathitrust.org/Record/007591296</v>
      </c>
      <c r="J4611" s="1">
        <v>1851</v>
      </c>
      <c r="K4611" t="s">
        <v>10068</v>
      </c>
      <c r="L4611" t="s">
        <v>20387</v>
      </c>
    </row>
    <row r="4612" spans="1:12">
      <c r="A4612" t="s">
        <v>10069</v>
      </c>
      <c r="B4612" s="1" t="s">
        <v>10070</v>
      </c>
      <c r="F4612">
        <v>1</v>
      </c>
      <c r="G4612" t="str">
        <f>HYPERLINK("http://babel.hathitrust.org/cgi/pt?id=inu.32000013159100")</f>
        <v>http://babel.hathitrust.org/cgi/pt?id=inu.32000013159100</v>
      </c>
      <c r="H4612" t="str">
        <f>HYPERLINK("http://catalog.hathitrust.org/Record/007591438")</f>
        <v>http://catalog.hathitrust.org/Record/007591438</v>
      </c>
      <c r="I4612" s="1" t="s">
        <v>10072</v>
      </c>
      <c r="J4612" s="1">
        <v>1906</v>
      </c>
      <c r="K4612" t="s">
        <v>10071</v>
      </c>
      <c r="L4612" t="s">
        <v>10073</v>
      </c>
    </row>
    <row r="4613" spans="1:12">
      <c r="A4613" t="s">
        <v>10074</v>
      </c>
      <c r="B4613" s="1" t="s">
        <v>10075</v>
      </c>
      <c r="F4613">
        <v>1</v>
      </c>
      <c r="G4613" t="str">
        <f>HYPERLINK("http://babel.hathitrust.org/cgi/pt?id=hvd.32044014490106")</f>
        <v>http://babel.hathitrust.org/cgi/pt?id=hvd.32044014490106</v>
      </c>
      <c r="H4613" t="str">
        <f>HYPERLINK("http://catalog.hathitrust.org/Record/007645938")</f>
        <v>http://catalog.hathitrust.org/Record/007645938</v>
      </c>
      <c r="J4613" s="1">
        <v>1863</v>
      </c>
      <c r="K4613" t="s">
        <v>10076</v>
      </c>
      <c r="L4613" t="s">
        <v>10077</v>
      </c>
    </row>
    <row r="4614" spans="1:12">
      <c r="A4614" t="s">
        <v>10078</v>
      </c>
      <c r="B4614" s="1" t="s">
        <v>10075</v>
      </c>
      <c r="F4614">
        <v>1</v>
      </c>
      <c r="G4614" t="str">
        <f>HYPERLINK("http://babel.hathitrust.org/cgi/pt?id=hvd.hn4rvy")</f>
        <v>http://babel.hathitrust.org/cgi/pt?id=hvd.hn4rvy</v>
      </c>
      <c r="H4614" t="str">
        <f>HYPERLINK("http://catalog.hathitrust.org/Record/007645938")</f>
        <v>http://catalog.hathitrust.org/Record/007645938</v>
      </c>
      <c r="J4614" s="1">
        <v>1863</v>
      </c>
      <c r="K4614" t="s">
        <v>10076</v>
      </c>
      <c r="L4614" t="s">
        <v>10077</v>
      </c>
    </row>
    <row r="4615" spans="1:12">
      <c r="A4615" t="s">
        <v>10079</v>
      </c>
      <c r="B4615" s="1" t="s">
        <v>10075</v>
      </c>
      <c r="F4615">
        <v>1</v>
      </c>
      <c r="G4615" t="str">
        <f>HYPERLINK("http://babel.hathitrust.org/cgi/pt?id=uc2.ark:/13960/t13n22k0r")</f>
        <v>http://babel.hathitrust.org/cgi/pt?id=uc2.ark:/13960/t13n22k0r</v>
      </c>
      <c r="H4615" t="str">
        <f>HYPERLINK("http://catalog.hathitrust.org/Record/007645938")</f>
        <v>http://catalog.hathitrust.org/Record/007645938</v>
      </c>
      <c r="J4615" s="1">
        <v>1863</v>
      </c>
      <c r="K4615" t="s">
        <v>10076</v>
      </c>
      <c r="L4615" t="s">
        <v>10077</v>
      </c>
    </row>
    <row r="4616" spans="1:12">
      <c r="A4616" t="s">
        <v>10080</v>
      </c>
      <c r="B4616" s="1" t="s">
        <v>10081</v>
      </c>
      <c r="E4616">
        <v>1</v>
      </c>
      <c r="G4616" t="str">
        <f>HYPERLINK("http://babel.hathitrust.org/cgi/pt?id=uc2.ark:/13960/t09w0fm6w")</f>
        <v>http://babel.hathitrust.org/cgi/pt?id=uc2.ark:/13960/t09w0fm6w</v>
      </c>
      <c r="H4616" t="str">
        <f>HYPERLINK("http://catalog.hathitrust.org/Record/007646090")</f>
        <v>http://catalog.hathitrust.org/Record/007646090</v>
      </c>
      <c r="J4616" s="1">
        <v>1895</v>
      </c>
      <c r="K4616" t="s">
        <v>9973</v>
      </c>
      <c r="L4616" t="s">
        <v>19796</v>
      </c>
    </row>
    <row r="4617" spans="1:12">
      <c r="A4617" t="s">
        <v>9974</v>
      </c>
      <c r="B4617" s="1" t="s">
        <v>9975</v>
      </c>
      <c r="F4617">
        <v>1</v>
      </c>
      <c r="G4617" t="str">
        <f>HYPERLINK("http://babel.hathitrust.org/cgi/pt?id=loc.ark:/13960/t14m9s05v")</f>
        <v>http://babel.hathitrust.org/cgi/pt?id=loc.ark:/13960/t14m9s05v</v>
      </c>
      <c r="H4617" t="str">
        <f>HYPERLINK("http://catalog.hathitrust.org/Record/007646238")</f>
        <v>http://catalog.hathitrust.org/Record/007646238</v>
      </c>
      <c r="J4617" s="1">
        <v>1919</v>
      </c>
      <c r="K4617" t="s">
        <v>9976</v>
      </c>
      <c r="L4617" t="s">
        <v>9977</v>
      </c>
    </row>
    <row r="4618" spans="1:12">
      <c r="A4618" t="s">
        <v>9978</v>
      </c>
      <c r="B4618" s="1" t="s">
        <v>9975</v>
      </c>
      <c r="F4618">
        <v>1</v>
      </c>
      <c r="G4618" t="str">
        <f>HYPERLINK("http://babel.hathitrust.org/cgi/pt?id=nyp.33433074906359")</f>
        <v>http://babel.hathitrust.org/cgi/pt?id=nyp.33433074906359</v>
      </c>
      <c r="H4618" t="str">
        <f>HYPERLINK("http://catalog.hathitrust.org/Record/007646238")</f>
        <v>http://catalog.hathitrust.org/Record/007646238</v>
      </c>
      <c r="J4618" s="1">
        <v>1919</v>
      </c>
      <c r="K4618" t="s">
        <v>9976</v>
      </c>
      <c r="L4618" t="s">
        <v>9977</v>
      </c>
    </row>
    <row r="4619" spans="1:12">
      <c r="A4619" t="s">
        <v>9979</v>
      </c>
      <c r="B4619" s="1" t="s">
        <v>9975</v>
      </c>
      <c r="F4619">
        <v>1</v>
      </c>
      <c r="G4619" t="str">
        <f>HYPERLINK("http://babel.hathitrust.org/cgi/pt?id=uc1.b3527736")</f>
        <v>http://babel.hathitrust.org/cgi/pt?id=uc1.b3527736</v>
      </c>
      <c r="H4619" t="str">
        <f>HYPERLINK("http://catalog.hathitrust.org/Record/007646238")</f>
        <v>http://catalog.hathitrust.org/Record/007646238</v>
      </c>
      <c r="J4619" s="1">
        <v>1919</v>
      </c>
      <c r="K4619" t="s">
        <v>9976</v>
      </c>
      <c r="L4619" t="s">
        <v>9977</v>
      </c>
    </row>
    <row r="4620" spans="1:12">
      <c r="A4620" t="s">
        <v>9980</v>
      </c>
      <c r="B4620" s="1" t="s">
        <v>9975</v>
      </c>
      <c r="F4620">
        <v>1</v>
      </c>
      <c r="G4620" t="str">
        <f>HYPERLINK("http://babel.hathitrust.org/cgi/pt?id=uc2.ark:/13960/t2h70b41t")</f>
        <v>http://babel.hathitrust.org/cgi/pt?id=uc2.ark:/13960/t2h70b41t</v>
      </c>
      <c r="H4620" t="str">
        <f>HYPERLINK("http://catalog.hathitrust.org/Record/007646238")</f>
        <v>http://catalog.hathitrust.org/Record/007646238</v>
      </c>
      <c r="J4620" s="1">
        <v>1919</v>
      </c>
      <c r="K4620" t="s">
        <v>9976</v>
      </c>
      <c r="L4620" t="s">
        <v>9977</v>
      </c>
    </row>
    <row r="4621" spans="1:12">
      <c r="A4621" t="s">
        <v>9981</v>
      </c>
      <c r="B4621" s="1" t="s">
        <v>9982</v>
      </c>
      <c r="E4621">
        <v>1</v>
      </c>
      <c r="G4621" t="str">
        <f>HYPERLINK("http://babel.hathitrust.org/cgi/pt?id=uc2.ark:/13960/t4gm83t1z")</f>
        <v>http://babel.hathitrust.org/cgi/pt?id=uc2.ark:/13960/t4gm83t1z</v>
      </c>
      <c r="H4621" t="str">
        <f>HYPERLINK("http://catalog.hathitrust.org/Record/007646415")</f>
        <v>http://catalog.hathitrust.org/Record/007646415</v>
      </c>
      <c r="J4621" s="1">
        <v>1861</v>
      </c>
      <c r="K4621" t="s">
        <v>9983</v>
      </c>
      <c r="L4621" t="s">
        <v>9984</v>
      </c>
    </row>
    <row r="4622" spans="1:12">
      <c r="A4622" t="s">
        <v>9985</v>
      </c>
      <c r="B4622" s="1" t="s">
        <v>9986</v>
      </c>
      <c r="F4622">
        <v>1</v>
      </c>
      <c r="G4622" t="str">
        <f>HYPERLINK("http://babel.hathitrust.org/cgi/pt?id=uc2.ark:/13960/t6h12xn3b")</f>
        <v>http://babel.hathitrust.org/cgi/pt?id=uc2.ark:/13960/t6h12xn3b</v>
      </c>
      <c r="H4622" t="str">
        <f>HYPERLINK("http://catalog.hathitrust.org/Record/007646512")</f>
        <v>http://catalog.hathitrust.org/Record/007646512</v>
      </c>
      <c r="J4622" s="1">
        <v>1862</v>
      </c>
      <c r="K4622" t="s">
        <v>9987</v>
      </c>
      <c r="L4622" t="s">
        <v>9988</v>
      </c>
    </row>
    <row r="4623" spans="1:12">
      <c r="A4623" t="s">
        <v>9989</v>
      </c>
      <c r="B4623" s="1" t="s">
        <v>9990</v>
      </c>
      <c r="F4623">
        <v>1</v>
      </c>
      <c r="G4623" t="str">
        <f>HYPERLINK("http://babel.hathitrust.org/cgi/pt?id=uc2.ark:/13960/t1qf8ms96")</f>
        <v>http://babel.hathitrust.org/cgi/pt?id=uc2.ark:/13960/t1qf8ms96</v>
      </c>
      <c r="H4623" t="str">
        <f>HYPERLINK("http://catalog.hathitrust.org/Record/007646871")</f>
        <v>http://catalog.hathitrust.org/Record/007646871</v>
      </c>
      <c r="J4623" s="1">
        <v>1875</v>
      </c>
      <c r="K4623" t="s">
        <v>9991</v>
      </c>
      <c r="L4623" t="s">
        <v>19662</v>
      </c>
    </row>
    <row r="4624" spans="1:12">
      <c r="A4624" t="s">
        <v>9992</v>
      </c>
      <c r="B4624" s="1" t="s">
        <v>9993</v>
      </c>
      <c r="F4624">
        <v>1</v>
      </c>
      <c r="G4624" t="str">
        <f>HYPERLINK("http://babel.hathitrust.org/cgi/pt?id=uc2.ark:/13960/t5p84682p")</f>
        <v>http://babel.hathitrust.org/cgi/pt?id=uc2.ark:/13960/t5p84682p</v>
      </c>
      <c r="H4624" t="str">
        <f>HYPERLINK("http://catalog.hathitrust.org/Record/007647152")</f>
        <v>http://catalog.hathitrust.org/Record/007647152</v>
      </c>
      <c r="J4624" s="1">
        <v>1905</v>
      </c>
      <c r="K4624" t="s">
        <v>9994</v>
      </c>
      <c r="L4624" t="s">
        <v>9995</v>
      </c>
    </row>
    <row r="4625" spans="1:12">
      <c r="A4625" t="s">
        <v>9996</v>
      </c>
      <c r="B4625" s="1" t="s">
        <v>9997</v>
      </c>
      <c r="F4625">
        <v>1</v>
      </c>
      <c r="G4625" t="str">
        <f>HYPERLINK("http://babel.hathitrust.org/cgi/pt?id=uc2.ark:/13960/t1ng4gw36")</f>
        <v>http://babel.hathitrust.org/cgi/pt?id=uc2.ark:/13960/t1ng4gw36</v>
      </c>
      <c r="H4625" t="str">
        <f>HYPERLINK("http://catalog.hathitrust.org/Record/007647219")</f>
        <v>http://catalog.hathitrust.org/Record/007647219</v>
      </c>
      <c r="J4625" s="1">
        <v>1883</v>
      </c>
      <c r="K4625" t="s">
        <v>9998</v>
      </c>
      <c r="L4625" t="s">
        <v>9999</v>
      </c>
    </row>
    <row r="4626" spans="1:12">
      <c r="A4626" t="s">
        <v>10000</v>
      </c>
      <c r="B4626" s="1" t="s">
        <v>10001</v>
      </c>
      <c r="F4626">
        <v>1</v>
      </c>
      <c r="G4626" t="str">
        <f>HYPERLINK("http://babel.hathitrust.org/cgi/pt?id=nyp.33433082521422")</f>
        <v>http://babel.hathitrust.org/cgi/pt?id=nyp.33433082521422</v>
      </c>
      <c r="H4626" t="str">
        <f>HYPERLINK("http://catalog.hathitrust.org/Record/007647382")</f>
        <v>http://catalog.hathitrust.org/Record/007647382</v>
      </c>
      <c r="J4626" s="1">
        <v>1913</v>
      </c>
      <c r="K4626" t="s">
        <v>15241</v>
      </c>
      <c r="L4626" t="s">
        <v>10002</v>
      </c>
    </row>
    <row r="4627" spans="1:12">
      <c r="A4627" t="s">
        <v>10003</v>
      </c>
      <c r="B4627" s="1" t="s">
        <v>10001</v>
      </c>
      <c r="D4627">
        <v>1</v>
      </c>
      <c r="G4627" t="str">
        <f>HYPERLINK("http://babel.hathitrust.org/cgi/pt?id=uc2.ark:/13960/t9x060t4m")</f>
        <v>http://babel.hathitrust.org/cgi/pt?id=uc2.ark:/13960/t9x060t4m</v>
      </c>
      <c r="H4627" t="str">
        <f>HYPERLINK("http://catalog.hathitrust.org/Record/007647382")</f>
        <v>http://catalog.hathitrust.org/Record/007647382</v>
      </c>
      <c r="J4627" s="1">
        <v>1913</v>
      </c>
      <c r="K4627" t="s">
        <v>15241</v>
      </c>
      <c r="L4627" t="s">
        <v>10002</v>
      </c>
    </row>
    <row r="4628" spans="1:12">
      <c r="A4628" t="s">
        <v>10004</v>
      </c>
      <c r="B4628" s="1" t="s">
        <v>10005</v>
      </c>
      <c r="F4628">
        <v>1</v>
      </c>
      <c r="G4628" t="str">
        <f>HYPERLINK("http://babel.hathitrust.org/cgi/pt?id=uc2.ark:/13960/t0bv7d48s")</f>
        <v>http://babel.hathitrust.org/cgi/pt?id=uc2.ark:/13960/t0bv7d48s</v>
      </c>
      <c r="H4628" t="str">
        <f>HYPERLINK("http://catalog.hathitrust.org/Record/007648110")</f>
        <v>http://catalog.hathitrust.org/Record/007648110</v>
      </c>
      <c r="J4628" s="1">
        <v>1904</v>
      </c>
      <c r="K4628" t="s">
        <v>10006</v>
      </c>
      <c r="L4628" t="s">
        <v>10007</v>
      </c>
    </row>
    <row r="4629" spans="1:12">
      <c r="A4629" t="s">
        <v>10008</v>
      </c>
      <c r="B4629" s="1" t="s">
        <v>10009</v>
      </c>
      <c r="C4629">
        <v>1</v>
      </c>
      <c r="D4629">
        <v>1</v>
      </c>
      <c r="G4629" t="str">
        <f>HYPERLINK("http://babel.hathitrust.org/cgi/pt?id=uc2.ark:/13960/t17m06d85")</f>
        <v>http://babel.hathitrust.org/cgi/pt?id=uc2.ark:/13960/t17m06d85</v>
      </c>
      <c r="H4629" t="str">
        <f>HYPERLINK("http://catalog.hathitrust.org/Record/007648295")</f>
        <v>http://catalog.hathitrust.org/Record/007648295</v>
      </c>
      <c r="J4629" s="1">
        <v>1888</v>
      </c>
      <c r="K4629" t="s">
        <v>10010</v>
      </c>
      <c r="L4629" t="s">
        <v>20707</v>
      </c>
    </row>
    <row r="4630" spans="1:12">
      <c r="A4630" t="s">
        <v>10011</v>
      </c>
      <c r="B4630" s="1" t="s">
        <v>10012</v>
      </c>
      <c r="F4630">
        <v>1</v>
      </c>
      <c r="G4630" t="str">
        <f>HYPERLINK("http://babel.hathitrust.org/cgi/pt?id=uc2.ark:/13960/t92807w44")</f>
        <v>http://babel.hathitrust.org/cgi/pt?id=uc2.ark:/13960/t92807w44</v>
      </c>
      <c r="H4630" t="str">
        <f>HYPERLINK("http://catalog.hathitrust.org/Record/007648313")</f>
        <v>http://catalog.hathitrust.org/Record/007648313</v>
      </c>
      <c r="J4630" s="1">
        <v>1887</v>
      </c>
      <c r="K4630" t="s">
        <v>10013</v>
      </c>
      <c r="L4630" t="s">
        <v>11573</v>
      </c>
    </row>
    <row r="4631" spans="1:12">
      <c r="A4631" t="s">
        <v>10014</v>
      </c>
      <c r="B4631" s="1" t="s">
        <v>10015</v>
      </c>
      <c r="E4631">
        <v>1</v>
      </c>
      <c r="G4631" t="str">
        <f>HYPERLINK("http://babel.hathitrust.org/cgi/pt?id=uc2.ark:/13960/t92805n26")</f>
        <v>http://babel.hathitrust.org/cgi/pt?id=uc2.ark:/13960/t92805n26</v>
      </c>
      <c r="H4631" t="str">
        <f>HYPERLINK("http://catalog.hathitrust.org/Record/007648396")</f>
        <v>http://catalog.hathitrust.org/Record/007648396</v>
      </c>
      <c r="J4631" s="1">
        <v>1848</v>
      </c>
      <c r="K4631" t="s">
        <v>10016</v>
      </c>
      <c r="L4631" t="s">
        <v>20467</v>
      </c>
    </row>
    <row r="4632" spans="1:12">
      <c r="A4632" t="s">
        <v>10017</v>
      </c>
      <c r="B4632" s="1" t="s">
        <v>10018</v>
      </c>
      <c r="F4632">
        <v>1</v>
      </c>
      <c r="G4632" t="str">
        <f>HYPERLINK("http://babel.hathitrust.org/cgi/pt?id=uc2.ark:/13960/t3222tj75")</f>
        <v>http://babel.hathitrust.org/cgi/pt?id=uc2.ark:/13960/t3222tj75</v>
      </c>
      <c r="H4632" t="str">
        <f>HYPERLINK("http://catalog.hathitrust.org/Record/007648715")</f>
        <v>http://catalog.hathitrust.org/Record/007648715</v>
      </c>
      <c r="J4632" s="1">
        <v>1901</v>
      </c>
      <c r="K4632" t="s">
        <v>10019</v>
      </c>
      <c r="L4632" t="s">
        <v>20831</v>
      </c>
    </row>
    <row r="4633" spans="1:12">
      <c r="A4633" t="s">
        <v>10020</v>
      </c>
      <c r="B4633" s="1" t="s">
        <v>10021</v>
      </c>
      <c r="F4633">
        <v>1</v>
      </c>
      <c r="G4633" t="str">
        <f>HYPERLINK("http://babel.hathitrust.org/cgi/pt?id=nyp.33433084112980")</f>
        <v>http://babel.hathitrust.org/cgi/pt?id=nyp.33433084112980</v>
      </c>
      <c r="H4633" t="str">
        <f>HYPERLINK("http://catalog.hathitrust.org/Record/007648828")</f>
        <v>http://catalog.hathitrust.org/Record/007648828</v>
      </c>
      <c r="J4633" s="1">
        <v>1902</v>
      </c>
      <c r="K4633" t="s">
        <v>10022</v>
      </c>
      <c r="L4633" t="s">
        <v>10023</v>
      </c>
    </row>
    <row r="4634" spans="1:12">
      <c r="A4634" t="s">
        <v>10024</v>
      </c>
      <c r="B4634" s="1" t="s">
        <v>10021</v>
      </c>
      <c r="F4634">
        <v>1</v>
      </c>
      <c r="G4634" t="str">
        <f>HYPERLINK("http://babel.hathitrust.org/cgi/pt?id=uc2.ark:/13960/t49p2zn2d")</f>
        <v>http://babel.hathitrust.org/cgi/pt?id=uc2.ark:/13960/t49p2zn2d</v>
      </c>
      <c r="H4634" t="str">
        <f>HYPERLINK("http://catalog.hathitrust.org/Record/007648828")</f>
        <v>http://catalog.hathitrust.org/Record/007648828</v>
      </c>
      <c r="J4634" s="1">
        <v>1902</v>
      </c>
      <c r="K4634" t="s">
        <v>10022</v>
      </c>
      <c r="L4634" t="s">
        <v>10023</v>
      </c>
    </row>
    <row r="4635" spans="1:12">
      <c r="A4635" t="s">
        <v>10025</v>
      </c>
      <c r="B4635" s="1" t="s">
        <v>10026</v>
      </c>
      <c r="E4635">
        <v>1</v>
      </c>
      <c r="G4635" t="str">
        <f>HYPERLINK("http://babel.hathitrust.org/cgi/pt?id=uc2.ark:/13960/t2f76b945")</f>
        <v>http://babel.hathitrust.org/cgi/pt?id=uc2.ark:/13960/t2f76b945</v>
      </c>
      <c r="H4635" t="str">
        <f>HYPERLINK("http://catalog.hathitrust.org/Record/007648915")</f>
        <v>http://catalog.hathitrust.org/Record/007648915</v>
      </c>
      <c r="J4635" s="1">
        <v>1922</v>
      </c>
      <c r="K4635" t="s">
        <v>20326</v>
      </c>
      <c r="L4635" t="s">
        <v>20327</v>
      </c>
    </row>
    <row r="4636" spans="1:12">
      <c r="A4636" t="s">
        <v>10027</v>
      </c>
      <c r="B4636" s="1" t="s">
        <v>10028</v>
      </c>
      <c r="F4636">
        <v>1</v>
      </c>
      <c r="G4636" t="str">
        <f>HYPERLINK("http://babel.hathitrust.org/cgi/pt?id=nyp.33433084112998")</f>
        <v>http://babel.hathitrust.org/cgi/pt?id=nyp.33433084112998</v>
      </c>
      <c r="H4636" t="str">
        <f>HYPERLINK("http://catalog.hathitrust.org/Record/007649117")</f>
        <v>http://catalog.hathitrust.org/Record/007649117</v>
      </c>
      <c r="J4636" s="1">
        <v>1907</v>
      </c>
      <c r="K4636" t="s">
        <v>10029</v>
      </c>
      <c r="L4636" t="s">
        <v>10030</v>
      </c>
    </row>
    <row r="4637" spans="1:12">
      <c r="A4637" t="s">
        <v>10031</v>
      </c>
      <c r="B4637" s="1" t="s">
        <v>10028</v>
      </c>
      <c r="F4637">
        <v>1</v>
      </c>
      <c r="G4637" t="str">
        <f>HYPERLINK("http://babel.hathitrust.org/cgi/pt?id=uc2.ark:/13960/t0bv7d131")</f>
        <v>http://babel.hathitrust.org/cgi/pt?id=uc2.ark:/13960/t0bv7d131</v>
      </c>
      <c r="H4637" t="str">
        <f>HYPERLINK("http://catalog.hathitrust.org/Record/007649117")</f>
        <v>http://catalog.hathitrust.org/Record/007649117</v>
      </c>
      <c r="J4637" s="1">
        <v>1907</v>
      </c>
      <c r="K4637" t="s">
        <v>10029</v>
      </c>
      <c r="L4637" t="s">
        <v>10030</v>
      </c>
    </row>
    <row r="4638" spans="1:12">
      <c r="A4638" t="s">
        <v>9913</v>
      </c>
      <c r="B4638" s="1" t="s">
        <v>9914</v>
      </c>
      <c r="F4638">
        <v>1</v>
      </c>
      <c r="G4638" t="str">
        <f>HYPERLINK("http://babel.hathitrust.org/cgi/pt?id=uc2.ark:/13960/t2r49jf1w")</f>
        <v>http://babel.hathitrust.org/cgi/pt?id=uc2.ark:/13960/t2r49jf1w</v>
      </c>
      <c r="H4638" t="str">
        <f>HYPERLINK("http://catalog.hathitrust.org/Record/007649225")</f>
        <v>http://catalog.hathitrust.org/Record/007649225</v>
      </c>
      <c r="J4638" s="1">
        <v>1909</v>
      </c>
      <c r="K4638" t="s">
        <v>10920</v>
      </c>
      <c r="L4638" t="s">
        <v>10921</v>
      </c>
    </row>
    <row r="4639" spans="1:12">
      <c r="A4639" t="s">
        <v>9915</v>
      </c>
      <c r="B4639" s="1" t="s">
        <v>9914</v>
      </c>
      <c r="F4639">
        <v>1</v>
      </c>
      <c r="G4639" t="str">
        <f>HYPERLINK("http://babel.hathitrust.org/cgi/pt?id=uva.x000927022")</f>
        <v>http://babel.hathitrust.org/cgi/pt?id=uva.x000927022</v>
      </c>
      <c r="H4639" t="str">
        <f>HYPERLINK("http://catalog.hathitrust.org/Record/007649225")</f>
        <v>http://catalog.hathitrust.org/Record/007649225</v>
      </c>
      <c r="J4639" s="1">
        <v>1909</v>
      </c>
      <c r="K4639" t="s">
        <v>10920</v>
      </c>
      <c r="L4639" t="s">
        <v>10921</v>
      </c>
    </row>
    <row r="4640" spans="1:12">
      <c r="A4640" t="s">
        <v>9916</v>
      </c>
      <c r="B4640" s="1" t="s">
        <v>9917</v>
      </c>
      <c r="F4640">
        <v>1</v>
      </c>
      <c r="G4640" t="str">
        <f>HYPERLINK("http://babel.hathitrust.org/cgi/pt?id=uc2.ark:/13960/t93778f3v")</f>
        <v>http://babel.hathitrust.org/cgi/pt?id=uc2.ark:/13960/t93778f3v</v>
      </c>
      <c r="H4640" t="str">
        <f>HYPERLINK("http://catalog.hathitrust.org/Record/007649313")</f>
        <v>http://catalog.hathitrust.org/Record/007649313</v>
      </c>
      <c r="J4640" s="1">
        <v>1894</v>
      </c>
      <c r="K4640" t="s">
        <v>9918</v>
      </c>
      <c r="L4640" t="s">
        <v>9919</v>
      </c>
    </row>
    <row r="4641" spans="1:12">
      <c r="A4641" t="s">
        <v>9920</v>
      </c>
      <c r="B4641" s="1" t="s">
        <v>9921</v>
      </c>
      <c r="F4641">
        <v>1</v>
      </c>
      <c r="G4641" t="str">
        <f>HYPERLINK("http://babel.hathitrust.org/cgi/pt?id=uc2.ark:/13960/t0vq2vv7g")</f>
        <v>http://babel.hathitrust.org/cgi/pt?id=uc2.ark:/13960/t0vq2vv7g</v>
      </c>
      <c r="H4641" t="str">
        <f>HYPERLINK("http://catalog.hathitrust.org/Record/007649637")</f>
        <v>http://catalog.hathitrust.org/Record/007649637</v>
      </c>
      <c r="J4641" s="1">
        <v>1887</v>
      </c>
      <c r="K4641" t="s">
        <v>9922</v>
      </c>
      <c r="L4641" t="s">
        <v>15226</v>
      </c>
    </row>
    <row r="4642" spans="1:12">
      <c r="A4642" t="s">
        <v>9923</v>
      </c>
      <c r="B4642" s="1" t="s">
        <v>9924</v>
      </c>
      <c r="F4642">
        <v>1</v>
      </c>
      <c r="G4642" t="str">
        <f>HYPERLINK("http://babel.hathitrust.org/cgi/pt?id=uc2.ark:/13960/t50g3kx7n")</f>
        <v>http://babel.hathitrust.org/cgi/pt?id=uc2.ark:/13960/t50g3kx7n</v>
      </c>
      <c r="H4642" t="str">
        <f>HYPERLINK("http://catalog.hathitrust.org/Record/007649975")</f>
        <v>http://catalog.hathitrust.org/Record/007649975</v>
      </c>
      <c r="J4642" s="1">
        <v>1889</v>
      </c>
      <c r="K4642" t="s">
        <v>9925</v>
      </c>
      <c r="L4642" t="s">
        <v>19460</v>
      </c>
    </row>
    <row r="4643" spans="1:12">
      <c r="A4643" t="s">
        <v>9926</v>
      </c>
      <c r="B4643" s="1" t="s">
        <v>9927</v>
      </c>
      <c r="F4643">
        <v>1</v>
      </c>
      <c r="G4643" t="str">
        <f>HYPERLINK("http://babel.hathitrust.org/cgi/pt?id=mdp.39076005074740")</f>
        <v>http://babel.hathitrust.org/cgi/pt?id=mdp.39076005074740</v>
      </c>
      <c r="H4643" t="str">
        <f>HYPERLINK("http://catalog.hathitrust.org/Record/007650177")</f>
        <v>http://catalog.hathitrust.org/Record/007650177</v>
      </c>
      <c r="J4643" s="1">
        <v>1921</v>
      </c>
      <c r="K4643" t="s">
        <v>9928</v>
      </c>
      <c r="L4643" t="s">
        <v>9929</v>
      </c>
    </row>
    <row r="4644" spans="1:12">
      <c r="A4644" t="s">
        <v>9930</v>
      </c>
      <c r="B4644" s="1" t="s">
        <v>9927</v>
      </c>
      <c r="F4644">
        <v>1</v>
      </c>
      <c r="G4644" t="str">
        <f>HYPERLINK("http://babel.hathitrust.org/cgi/pt?id=uc2.ark:/13960/t9p26sq2b")</f>
        <v>http://babel.hathitrust.org/cgi/pt?id=uc2.ark:/13960/t9p26sq2b</v>
      </c>
      <c r="H4644" t="str">
        <f>HYPERLINK("http://catalog.hathitrust.org/Record/007650177")</f>
        <v>http://catalog.hathitrust.org/Record/007650177</v>
      </c>
      <c r="J4644" s="1">
        <v>1921</v>
      </c>
      <c r="K4644" t="s">
        <v>9928</v>
      </c>
      <c r="L4644" t="s">
        <v>9929</v>
      </c>
    </row>
    <row r="4645" spans="1:12">
      <c r="A4645" t="s">
        <v>9931</v>
      </c>
      <c r="B4645" s="1" t="s">
        <v>9932</v>
      </c>
      <c r="F4645">
        <v>1</v>
      </c>
      <c r="G4645" t="str">
        <f>HYPERLINK("http://babel.hathitrust.org/cgi/pt?id=nyp.33433075861652")</f>
        <v>http://babel.hathitrust.org/cgi/pt?id=nyp.33433075861652</v>
      </c>
      <c r="H4645" t="str">
        <f>HYPERLINK("http://catalog.hathitrust.org/Record/007650322")</f>
        <v>http://catalog.hathitrust.org/Record/007650322</v>
      </c>
      <c r="J4645" s="1">
        <v>1921</v>
      </c>
      <c r="K4645" t="s">
        <v>9933</v>
      </c>
      <c r="L4645" t="s">
        <v>19727</v>
      </c>
    </row>
    <row r="4646" spans="1:12">
      <c r="A4646" t="s">
        <v>9934</v>
      </c>
      <c r="B4646" s="1" t="s">
        <v>9932</v>
      </c>
      <c r="F4646">
        <v>1</v>
      </c>
      <c r="G4646" t="str">
        <f>HYPERLINK("http://babel.hathitrust.org/cgi/pt?id=uc2.ark:/13960/t6930rv9x")</f>
        <v>http://babel.hathitrust.org/cgi/pt?id=uc2.ark:/13960/t6930rv9x</v>
      </c>
      <c r="H4646" t="str">
        <f>HYPERLINK("http://catalog.hathitrust.org/Record/007650322")</f>
        <v>http://catalog.hathitrust.org/Record/007650322</v>
      </c>
      <c r="J4646" s="1">
        <v>1921</v>
      </c>
      <c r="K4646" t="s">
        <v>9933</v>
      </c>
      <c r="L4646" t="s">
        <v>19727</v>
      </c>
    </row>
    <row r="4647" spans="1:12">
      <c r="A4647" t="s">
        <v>9935</v>
      </c>
      <c r="B4647" s="1" t="s">
        <v>9936</v>
      </c>
      <c r="F4647">
        <v>1</v>
      </c>
      <c r="G4647" t="str">
        <f>HYPERLINK("http://babel.hathitrust.org/cgi/pt?id=uc2.ark:/13960/t6b27rj3m")</f>
        <v>http://babel.hathitrust.org/cgi/pt?id=uc2.ark:/13960/t6b27rj3m</v>
      </c>
      <c r="H4647" t="str">
        <f>HYPERLINK("http://catalog.hathitrust.org/Record/007650581")</f>
        <v>http://catalog.hathitrust.org/Record/007650581</v>
      </c>
      <c r="J4647" s="1">
        <v>1898</v>
      </c>
      <c r="K4647" t="s">
        <v>9937</v>
      </c>
      <c r="L4647" t="s">
        <v>9938</v>
      </c>
    </row>
    <row r="4648" spans="1:12">
      <c r="A4648" t="s">
        <v>9939</v>
      </c>
      <c r="B4648" s="1" t="s">
        <v>9940</v>
      </c>
      <c r="F4648">
        <v>1</v>
      </c>
      <c r="G4648" t="str">
        <f>HYPERLINK("http://babel.hathitrust.org/cgi/pt?id=uc2.ark:/13960/t09w0970d")</f>
        <v>http://babel.hathitrust.org/cgi/pt?id=uc2.ark:/13960/t09w0970d</v>
      </c>
      <c r="H4648" t="str">
        <f>HYPERLINK("http://catalog.hathitrust.org/Record/007652271")</f>
        <v>http://catalog.hathitrust.org/Record/007652271</v>
      </c>
      <c r="J4648" s="1">
        <v>1910</v>
      </c>
      <c r="K4648" t="s">
        <v>9941</v>
      </c>
      <c r="L4648" t="s">
        <v>9942</v>
      </c>
    </row>
    <row r="4649" spans="1:12">
      <c r="A4649" t="s">
        <v>9943</v>
      </c>
      <c r="B4649" s="1" t="s">
        <v>9944</v>
      </c>
      <c r="D4649">
        <v>1</v>
      </c>
      <c r="G4649" t="str">
        <f>HYPERLINK("http://babel.hathitrust.org/cgi/pt?id=uc2.ark:/13960/t3ws8jw98")</f>
        <v>http://babel.hathitrust.org/cgi/pt?id=uc2.ark:/13960/t3ws8jw98</v>
      </c>
      <c r="H4649" t="str">
        <f>HYPERLINK("http://catalog.hathitrust.org/Record/007653792")</f>
        <v>http://catalog.hathitrust.org/Record/007653792</v>
      </c>
      <c r="J4649" s="1">
        <v>1918</v>
      </c>
      <c r="K4649" t="s">
        <v>13220</v>
      </c>
      <c r="L4649" t="s">
        <v>20605</v>
      </c>
    </row>
    <row r="4650" spans="1:12">
      <c r="A4650" t="s">
        <v>9945</v>
      </c>
      <c r="B4650" s="1" t="s">
        <v>9946</v>
      </c>
      <c r="E4650">
        <v>1</v>
      </c>
      <c r="G4650" t="str">
        <f>HYPERLINK("http://babel.hathitrust.org/cgi/pt?id=uc2.ark:/13960/t8z894466")</f>
        <v>http://babel.hathitrust.org/cgi/pt?id=uc2.ark:/13960/t8z894466</v>
      </c>
      <c r="H4650" t="str">
        <f>HYPERLINK("http://catalog.hathitrust.org/Record/007653809")</f>
        <v>http://catalog.hathitrust.org/Record/007653809</v>
      </c>
      <c r="J4650" s="1">
        <v>1901</v>
      </c>
      <c r="K4650" t="s">
        <v>9947</v>
      </c>
      <c r="L4650" t="s">
        <v>20925</v>
      </c>
    </row>
    <row r="4651" spans="1:12">
      <c r="A4651" t="s">
        <v>9948</v>
      </c>
      <c r="B4651" s="1" t="s">
        <v>9949</v>
      </c>
      <c r="F4651">
        <v>1</v>
      </c>
      <c r="G4651" t="str">
        <f>HYPERLINK("http://babel.hathitrust.org/cgi/pt?id=uc2.ark:/13960/t18k76d2w")</f>
        <v>http://babel.hathitrust.org/cgi/pt?id=uc2.ark:/13960/t18k76d2w</v>
      </c>
      <c r="H4651" t="str">
        <f>HYPERLINK("http://catalog.hathitrust.org/Record/007654283")</f>
        <v>http://catalog.hathitrust.org/Record/007654283</v>
      </c>
      <c r="J4651" s="1">
        <v>1870</v>
      </c>
      <c r="K4651" t="s">
        <v>9950</v>
      </c>
      <c r="L4651" t="s">
        <v>15032</v>
      </c>
    </row>
    <row r="4652" spans="1:12">
      <c r="A4652" t="s">
        <v>9951</v>
      </c>
      <c r="B4652" s="1" t="s">
        <v>9952</v>
      </c>
      <c r="F4652">
        <v>1</v>
      </c>
      <c r="G4652" t="str">
        <f>HYPERLINK("http://babel.hathitrust.org/cgi/pt?id=uc2.ark:/13960/t9c53gp3r")</f>
        <v>http://babel.hathitrust.org/cgi/pt?id=uc2.ark:/13960/t9c53gp3r</v>
      </c>
      <c r="H4652" t="str">
        <f>HYPERLINK("http://catalog.hathitrust.org/Record/007654441")</f>
        <v>http://catalog.hathitrust.org/Record/007654441</v>
      </c>
      <c r="J4652" s="1">
        <v>1823</v>
      </c>
      <c r="K4652" t="s">
        <v>18884</v>
      </c>
      <c r="L4652" t="s">
        <v>18885</v>
      </c>
    </row>
    <row r="4653" spans="1:12">
      <c r="A4653" t="s">
        <v>9953</v>
      </c>
      <c r="B4653" s="1" t="s">
        <v>9952</v>
      </c>
      <c r="F4653">
        <v>1</v>
      </c>
      <c r="G4653" t="str">
        <f>HYPERLINK("http://babel.hathitrust.org/cgi/pt?id=wu.89001837004")</f>
        <v>http://babel.hathitrust.org/cgi/pt?id=wu.89001837004</v>
      </c>
      <c r="H4653" t="str">
        <f>HYPERLINK("http://catalog.hathitrust.org/Record/007654441")</f>
        <v>http://catalog.hathitrust.org/Record/007654441</v>
      </c>
      <c r="J4653" s="1">
        <v>1823</v>
      </c>
      <c r="K4653" t="s">
        <v>18884</v>
      </c>
      <c r="L4653" t="s">
        <v>18885</v>
      </c>
    </row>
    <row r="4654" spans="1:12">
      <c r="A4654" t="s">
        <v>9954</v>
      </c>
      <c r="B4654" s="1" t="s">
        <v>9955</v>
      </c>
      <c r="F4654">
        <v>1</v>
      </c>
      <c r="G4654" t="str">
        <f>HYPERLINK("http://babel.hathitrust.org/cgi/pt?id=hvd.32044037706231")</f>
        <v>http://babel.hathitrust.org/cgi/pt?id=hvd.32044037706231</v>
      </c>
      <c r="H4654" t="str">
        <f>HYPERLINK("http://catalog.hathitrust.org/Record/007654706")</f>
        <v>http://catalog.hathitrust.org/Record/007654706</v>
      </c>
      <c r="I4654" s="1">
        <v>43771</v>
      </c>
      <c r="J4654" s="1">
        <v>1856</v>
      </c>
      <c r="K4654" t="s">
        <v>17025</v>
      </c>
      <c r="L4654" t="s">
        <v>17026</v>
      </c>
    </row>
    <row r="4655" spans="1:12">
      <c r="A4655" t="s">
        <v>9956</v>
      </c>
      <c r="B4655" s="1" t="s">
        <v>9955</v>
      </c>
      <c r="F4655">
        <v>1</v>
      </c>
      <c r="G4655" t="str">
        <f>HYPERLINK("http://babel.hathitrust.org/cgi/pt?id=hvd.32044038404240")</f>
        <v>http://babel.hathitrust.org/cgi/pt?id=hvd.32044038404240</v>
      </c>
      <c r="H4655" t="str">
        <f>HYPERLINK("http://catalog.hathitrust.org/Record/007654706")</f>
        <v>http://catalog.hathitrust.org/Record/007654706</v>
      </c>
      <c r="J4655" s="1">
        <v>1856</v>
      </c>
      <c r="K4655" t="s">
        <v>17025</v>
      </c>
      <c r="L4655" t="s">
        <v>17026</v>
      </c>
    </row>
    <row r="4656" spans="1:12">
      <c r="A4656" t="s">
        <v>9957</v>
      </c>
      <c r="B4656" s="1" t="s">
        <v>9955</v>
      </c>
      <c r="F4656">
        <v>1</v>
      </c>
      <c r="G4656" t="str">
        <f>HYPERLINK("http://babel.hathitrust.org/cgi/pt?id=nyp.33433082523337")</f>
        <v>http://babel.hathitrust.org/cgi/pt?id=nyp.33433082523337</v>
      </c>
      <c r="H4656" t="str">
        <f>HYPERLINK("http://catalog.hathitrust.org/Record/007654706")</f>
        <v>http://catalog.hathitrust.org/Record/007654706</v>
      </c>
      <c r="J4656" s="1">
        <v>1856</v>
      </c>
      <c r="K4656" t="s">
        <v>17025</v>
      </c>
      <c r="L4656" t="s">
        <v>17026</v>
      </c>
    </row>
    <row r="4657" spans="1:12">
      <c r="A4657" t="s">
        <v>9958</v>
      </c>
      <c r="B4657" s="1" t="s">
        <v>9955</v>
      </c>
      <c r="F4657">
        <v>1</v>
      </c>
      <c r="G4657" t="str">
        <f>HYPERLINK("http://babel.hathitrust.org/cgi/pt?id=uc2.ark:/13960/t1kh0fr55")</f>
        <v>http://babel.hathitrust.org/cgi/pt?id=uc2.ark:/13960/t1kh0fr55</v>
      </c>
      <c r="H4657" t="str">
        <f>HYPERLINK("http://catalog.hathitrust.org/Record/007654706")</f>
        <v>http://catalog.hathitrust.org/Record/007654706</v>
      </c>
      <c r="J4657" s="1">
        <v>1856</v>
      </c>
      <c r="K4657" t="s">
        <v>17025</v>
      </c>
      <c r="L4657" t="s">
        <v>17026</v>
      </c>
    </row>
    <row r="4658" spans="1:12">
      <c r="A4658" t="s">
        <v>9959</v>
      </c>
      <c r="B4658" s="1" t="s">
        <v>9960</v>
      </c>
      <c r="E4658">
        <v>1</v>
      </c>
      <c r="G4658" t="str">
        <f>HYPERLINK("http://babel.hathitrust.org/cgi/pt?id=uc2.ark:/13960/t3dz0505g")</f>
        <v>http://babel.hathitrust.org/cgi/pt?id=uc2.ark:/13960/t3dz0505g</v>
      </c>
      <c r="H4658" t="str">
        <f>HYPERLINK("http://catalog.hathitrust.org/Record/007656097")</f>
        <v>http://catalog.hathitrust.org/Record/007656097</v>
      </c>
      <c r="J4658" s="1">
        <v>1875</v>
      </c>
      <c r="K4658" t="s">
        <v>12098</v>
      </c>
      <c r="L4658" t="s">
        <v>20773</v>
      </c>
    </row>
    <row r="4659" spans="1:12">
      <c r="A4659" t="s">
        <v>9961</v>
      </c>
      <c r="B4659" s="1" t="s">
        <v>9962</v>
      </c>
      <c r="E4659">
        <v>1</v>
      </c>
      <c r="G4659" t="str">
        <f>HYPERLINK("http://babel.hathitrust.org/cgi/pt?id=uc2.ark:/13960/t0ft8fs8p")</f>
        <v>http://babel.hathitrust.org/cgi/pt?id=uc2.ark:/13960/t0ft8fs8p</v>
      </c>
      <c r="H4659" t="str">
        <f>HYPERLINK("http://catalog.hathitrust.org/Record/007656163")</f>
        <v>http://catalog.hathitrust.org/Record/007656163</v>
      </c>
      <c r="J4659" s="1">
        <v>1918</v>
      </c>
      <c r="K4659" t="s">
        <v>9963</v>
      </c>
      <c r="L4659" t="s">
        <v>18816</v>
      </c>
    </row>
    <row r="4660" spans="1:12">
      <c r="A4660" t="s">
        <v>9964</v>
      </c>
      <c r="B4660" s="1" t="s">
        <v>9965</v>
      </c>
      <c r="E4660">
        <v>1</v>
      </c>
      <c r="G4660" t="str">
        <f>HYPERLINK("http://babel.hathitrust.org/cgi/pt?id=uc2.ark:/13960/t42r3qv5j")</f>
        <v>http://babel.hathitrust.org/cgi/pt?id=uc2.ark:/13960/t42r3qv5j</v>
      </c>
      <c r="H4660" t="str">
        <f>HYPERLINK("http://catalog.hathitrust.org/Record/007656170")</f>
        <v>http://catalog.hathitrust.org/Record/007656170</v>
      </c>
      <c r="J4660" s="1">
        <v>1880</v>
      </c>
      <c r="K4660" t="s">
        <v>9966</v>
      </c>
      <c r="L4660" t="s">
        <v>20904</v>
      </c>
    </row>
    <row r="4661" spans="1:12">
      <c r="A4661" t="s">
        <v>9967</v>
      </c>
      <c r="B4661" s="1" t="s">
        <v>9968</v>
      </c>
      <c r="F4661">
        <v>1</v>
      </c>
      <c r="G4661" t="str">
        <f>HYPERLINK("http://babel.hathitrust.org/cgi/pt?id=uc2.ark:/13960/t87h1gq5b")</f>
        <v>http://babel.hathitrust.org/cgi/pt?id=uc2.ark:/13960/t87h1gq5b</v>
      </c>
      <c r="H4661" t="str">
        <f>HYPERLINK("http://catalog.hathitrust.org/Record/007657267")</f>
        <v>http://catalog.hathitrust.org/Record/007657267</v>
      </c>
      <c r="J4661" s="1">
        <v>1876</v>
      </c>
      <c r="K4661" t="s">
        <v>9969</v>
      </c>
      <c r="L4661" t="s">
        <v>9970</v>
      </c>
    </row>
    <row r="4662" spans="1:12">
      <c r="A4662" t="s">
        <v>9971</v>
      </c>
      <c r="B4662" s="1" t="s">
        <v>9972</v>
      </c>
      <c r="F4662">
        <v>1</v>
      </c>
      <c r="G4662" t="str">
        <f>HYPERLINK("http://babel.hathitrust.org/cgi/pt?id=uc2.ark:/13960/t83j3c042")</f>
        <v>http://babel.hathitrust.org/cgi/pt?id=uc2.ark:/13960/t83j3c042</v>
      </c>
      <c r="H4662" t="str">
        <f>HYPERLINK("http://catalog.hathitrust.org/Record/007658967")</f>
        <v>http://catalog.hathitrust.org/Record/007658967</v>
      </c>
      <c r="J4662" s="1">
        <v>1903</v>
      </c>
      <c r="K4662" t="s">
        <v>9863</v>
      </c>
      <c r="L4662" t="s">
        <v>9864</v>
      </c>
    </row>
    <row r="4663" spans="1:12">
      <c r="A4663" t="s">
        <v>9865</v>
      </c>
      <c r="B4663" s="1" t="s">
        <v>9866</v>
      </c>
      <c r="E4663">
        <v>1</v>
      </c>
      <c r="F4663">
        <v>1</v>
      </c>
      <c r="G4663" t="str">
        <f>HYPERLINK("http://babel.hathitrust.org/cgi/pt?id=uc2.ark:/13960/t4dn42q3c")</f>
        <v>http://babel.hathitrust.org/cgi/pt?id=uc2.ark:/13960/t4dn42q3c</v>
      </c>
      <c r="H4663" t="str">
        <f>HYPERLINK("http://catalog.hathitrust.org/Record/007659156")</f>
        <v>http://catalog.hathitrust.org/Record/007659156</v>
      </c>
      <c r="J4663" s="1">
        <v>1920</v>
      </c>
      <c r="K4663" t="s">
        <v>19252</v>
      </c>
      <c r="L4663" t="s">
        <v>19253</v>
      </c>
    </row>
    <row r="4664" spans="1:12">
      <c r="A4664" t="s">
        <v>9867</v>
      </c>
      <c r="B4664" s="1" t="s">
        <v>9868</v>
      </c>
      <c r="F4664">
        <v>1</v>
      </c>
      <c r="G4664" t="str">
        <f>HYPERLINK("http://babel.hathitrust.org/cgi/pt?id=uc2.ark:/13960/t3st7gf85")</f>
        <v>http://babel.hathitrust.org/cgi/pt?id=uc2.ark:/13960/t3st7gf85</v>
      </c>
      <c r="H4664" t="str">
        <f>HYPERLINK("http://catalog.hathitrust.org/Record/007659832")</f>
        <v>http://catalog.hathitrust.org/Record/007659832</v>
      </c>
      <c r="J4664" s="1">
        <v>1879</v>
      </c>
      <c r="K4664" t="s">
        <v>9869</v>
      </c>
      <c r="L4664" t="s">
        <v>15169</v>
      </c>
    </row>
    <row r="4665" spans="1:12">
      <c r="A4665" t="s">
        <v>9870</v>
      </c>
      <c r="B4665" s="1" t="s">
        <v>9871</v>
      </c>
      <c r="F4665">
        <v>1</v>
      </c>
      <c r="G4665" t="str">
        <f>HYPERLINK("http://babel.hathitrust.org/cgi/pt?id=uc2.ark:/13960/t2b854t9v")</f>
        <v>http://babel.hathitrust.org/cgi/pt?id=uc2.ark:/13960/t2b854t9v</v>
      </c>
      <c r="H4665" t="str">
        <f>HYPERLINK("http://catalog.hathitrust.org/Record/007659970")</f>
        <v>http://catalog.hathitrust.org/Record/007659970</v>
      </c>
      <c r="J4665" s="1">
        <v>1888</v>
      </c>
      <c r="K4665" t="s">
        <v>9872</v>
      </c>
      <c r="L4665" t="s">
        <v>9873</v>
      </c>
    </row>
    <row r="4666" spans="1:12">
      <c r="A4666" t="s">
        <v>9874</v>
      </c>
      <c r="B4666" s="1" t="s">
        <v>9875</v>
      </c>
      <c r="F4666">
        <v>1</v>
      </c>
      <c r="G4666" t="str">
        <f>HYPERLINK("http://babel.hathitrust.org/cgi/pt?id=njp.32101074743475")</f>
        <v>http://babel.hathitrust.org/cgi/pt?id=njp.32101074743475</v>
      </c>
      <c r="H4666" t="str">
        <f>HYPERLINK("http://catalog.hathitrust.org/Record/007661584")</f>
        <v>http://catalog.hathitrust.org/Record/007661584</v>
      </c>
      <c r="J4666" s="1">
        <v>1884</v>
      </c>
      <c r="K4666" t="s">
        <v>9876</v>
      </c>
      <c r="L4666" t="s">
        <v>9877</v>
      </c>
    </row>
    <row r="4667" spans="1:12">
      <c r="A4667" t="s">
        <v>9878</v>
      </c>
      <c r="B4667" s="1" t="s">
        <v>9875</v>
      </c>
      <c r="F4667">
        <v>1</v>
      </c>
      <c r="G4667" t="str">
        <f>HYPERLINK("http://babel.hathitrust.org/cgi/pt?id=uc2.ark:/13960/t8z89487g")</f>
        <v>http://babel.hathitrust.org/cgi/pt?id=uc2.ark:/13960/t8z89487g</v>
      </c>
      <c r="H4667" t="str">
        <f>HYPERLINK("http://catalog.hathitrust.org/Record/007661584")</f>
        <v>http://catalog.hathitrust.org/Record/007661584</v>
      </c>
      <c r="J4667" s="1">
        <v>1884</v>
      </c>
      <c r="K4667" t="s">
        <v>9876</v>
      </c>
      <c r="L4667" t="s">
        <v>9877</v>
      </c>
    </row>
    <row r="4668" spans="1:12">
      <c r="A4668" t="s">
        <v>9879</v>
      </c>
      <c r="B4668" s="1" t="s">
        <v>9880</v>
      </c>
      <c r="E4668">
        <v>1</v>
      </c>
      <c r="G4668" t="str">
        <f>HYPERLINK("http://babel.hathitrust.org/cgi/pt?id=uc2.ark:/13960/t6sx66b9g")</f>
        <v>http://babel.hathitrust.org/cgi/pt?id=uc2.ark:/13960/t6sx66b9g</v>
      </c>
      <c r="H4668" t="str">
        <f>HYPERLINK("http://catalog.hathitrust.org/Record/007662480")</f>
        <v>http://catalog.hathitrust.org/Record/007662480</v>
      </c>
      <c r="J4668" s="1">
        <v>1892</v>
      </c>
      <c r="K4668" t="s">
        <v>9881</v>
      </c>
      <c r="L4668" t="s">
        <v>9882</v>
      </c>
    </row>
    <row r="4669" spans="1:12">
      <c r="A4669" t="s">
        <v>9883</v>
      </c>
      <c r="B4669" s="1" t="s">
        <v>9884</v>
      </c>
      <c r="F4669">
        <v>1</v>
      </c>
      <c r="G4669" t="str">
        <f>HYPERLINK("http://babel.hathitrust.org/cgi/pt?id=uc2.ark:/13960/t4zg6hq9n")</f>
        <v>http://babel.hathitrust.org/cgi/pt?id=uc2.ark:/13960/t4zg6hq9n</v>
      </c>
      <c r="H4669" t="str">
        <f>HYPERLINK("http://catalog.hathitrust.org/Record/007663774")</f>
        <v>http://catalog.hathitrust.org/Record/007663774</v>
      </c>
      <c r="J4669" s="1">
        <v>1909</v>
      </c>
      <c r="K4669" t="s">
        <v>9885</v>
      </c>
      <c r="L4669" t="s">
        <v>9886</v>
      </c>
    </row>
    <row r="4670" spans="1:12">
      <c r="A4670" t="s">
        <v>9887</v>
      </c>
      <c r="B4670" s="1" t="s">
        <v>9888</v>
      </c>
      <c r="D4670">
        <v>1</v>
      </c>
      <c r="G4670" t="str">
        <f>HYPERLINK("http://babel.hathitrust.org/cgi/pt?id=hvd.32044102845831")</f>
        <v>http://babel.hathitrust.org/cgi/pt?id=hvd.32044102845831</v>
      </c>
      <c r="H4670" t="str">
        <f>HYPERLINK("http://catalog.hathitrust.org/Record/007664150")</f>
        <v>http://catalog.hathitrust.org/Record/007664150</v>
      </c>
      <c r="J4670" s="1">
        <v>1833</v>
      </c>
      <c r="K4670" t="s">
        <v>9889</v>
      </c>
      <c r="L4670" t="s">
        <v>15473</v>
      </c>
    </row>
    <row r="4671" spans="1:12">
      <c r="A4671" t="s">
        <v>9890</v>
      </c>
      <c r="B4671" s="1" t="s">
        <v>9891</v>
      </c>
      <c r="F4671">
        <v>1</v>
      </c>
      <c r="G4671" t="str">
        <f>HYPERLINK("http://babel.hathitrust.org/cgi/pt?id=nyp.33433069251415")</f>
        <v>http://babel.hathitrust.org/cgi/pt?id=nyp.33433069251415</v>
      </c>
      <c r="H4671" t="str">
        <f>HYPERLINK("http://catalog.hathitrust.org/Record/007664748")</f>
        <v>http://catalog.hathitrust.org/Record/007664748</v>
      </c>
      <c r="J4671" s="1">
        <v>1872</v>
      </c>
      <c r="K4671" t="s">
        <v>9892</v>
      </c>
      <c r="L4671" t="s">
        <v>19446</v>
      </c>
    </row>
    <row r="4672" spans="1:12">
      <c r="A4672" t="s">
        <v>9893</v>
      </c>
      <c r="B4672" s="1" t="s">
        <v>9891</v>
      </c>
      <c r="F4672">
        <v>1</v>
      </c>
      <c r="G4672" t="str">
        <f>HYPERLINK("http://babel.hathitrust.org/cgi/pt?id=uc2.ark:/13960/t0dv1dv34")</f>
        <v>http://babel.hathitrust.org/cgi/pt?id=uc2.ark:/13960/t0dv1dv34</v>
      </c>
      <c r="H4672" t="str">
        <f>HYPERLINK("http://catalog.hathitrust.org/Record/007664748")</f>
        <v>http://catalog.hathitrust.org/Record/007664748</v>
      </c>
      <c r="J4672" s="1">
        <v>1872</v>
      </c>
      <c r="K4672" t="s">
        <v>9892</v>
      </c>
      <c r="L4672" t="s">
        <v>19446</v>
      </c>
    </row>
    <row r="4673" spans="1:12">
      <c r="A4673" t="s">
        <v>9894</v>
      </c>
      <c r="B4673" s="1" t="s">
        <v>9895</v>
      </c>
      <c r="E4673">
        <v>1</v>
      </c>
      <c r="G4673" t="str">
        <f>HYPERLINK("http://babel.hathitrust.org/cgi/pt?id=loc.ark:/13960/t3pv72q86")</f>
        <v>http://babel.hathitrust.org/cgi/pt?id=loc.ark:/13960/t3pv72q86</v>
      </c>
      <c r="H4673" t="str">
        <f>HYPERLINK("http://catalog.hathitrust.org/Record/007665149")</f>
        <v>http://catalog.hathitrust.org/Record/007665149</v>
      </c>
      <c r="J4673" s="1">
        <v>1905</v>
      </c>
      <c r="K4673" t="s">
        <v>20479</v>
      </c>
      <c r="L4673" t="s">
        <v>20467</v>
      </c>
    </row>
    <row r="4674" spans="1:12">
      <c r="A4674" t="s">
        <v>9896</v>
      </c>
      <c r="B4674" s="1" t="s">
        <v>9897</v>
      </c>
      <c r="F4674">
        <v>1</v>
      </c>
      <c r="G4674" t="str">
        <f>HYPERLINK("http://babel.hathitrust.org/cgi/pt?id=njp.32101071985814")</f>
        <v>http://babel.hathitrust.org/cgi/pt?id=njp.32101071985814</v>
      </c>
      <c r="H4674" t="str">
        <f>HYPERLINK("http://catalog.hathitrust.org/Record/007665415")</f>
        <v>http://catalog.hathitrust.org/Record/007665415</v>
      </c>
      <c r="J4674" s="1">
        <v>1885</v>
      </c>
      <c r="K4674" t="s">
        <v>9898</v>
      </c>
      <c r="L4674" t="s">
        <v>13169</v>
      </c>
    </row>
    <row r="4675" spans="1:12">
      <c r="A4675" t="s">
        <v>9899</v>
      </c>
      <c r="B4675" s="1" t="s">
        <v>9897</v>
      </c>
      <c r="F4675">
        <v>1</v>
      </c>
      <c r="G4675" t="str">
        <f>HYPERLINK("http://babel.hathitrust.org/cgi/pt?id=uc2.ark:/13960/t0dv1ft8h")</f>
        <v>http://babel.hathitrust.org/cgi/pt?id=uc2.ark:/13960/t0dv1ft8h</v>
      </c>
      <c r="H4675" t="str">
        <f>HYPERLINK("http://catalog.hathitrust.org/Record/007665415")</f>
        <v>http://catalog.hathitrust.org/Record/007665415</v>
      </c>
      <c r="J4675" s="1">
        <v>1885</v>
      </c>
      <c r="K4675" t="s">
        <v>9898</v>
      </c>
      <c r="L4675" t="s">
        <v>13169</v>
      </c>
    </row>
    <row r="4676" spans="1:12">
      <c r="A4676" t="s">
        <v>9900</v>
      </c>
      <c r="B4676" s="1" t="s">
        <v>9901</v>
      </c>
      <c r="F4676">
        <v>1</v>
      </c>
      <c r="G4676" t="str">
        <f>HYPERLINK("http://babel.hathitrust.org/cgi/pt?id=uc1.b4539016")</f>
        <v>http://babel.hathitrust.org/cgi/pt?id=uc1.b4539016</v>
      </c>
      <c r="H4676" t="str">
        <f>HYPERLINK("http://catalog.hathitrust.org/Record/007666290")</f>
        <v>http://catalog.hathitrust.org/Record/007666290</v>
      </c>
      <c r="J4676" s="1">
        <v>1919</v>
      </c>
      <c r="K4676" t="s">
        <v>9902</v>
      </c>
      <c r="L4676" t="s">
        <v>20000</v>
      </c>
    </row>
    <row r="4677" spans="1:12">
      <c r="A4677" t="s">
        <v>9903</v>
      </c>
      <c r="B4677" s="1" t="s">
        <v>9901</v>
      </c>
      <c r="F4677">
        <v>1</v>
      </c>
      <c r="G4677" t="str">
        <f>HYPERLINK("http://babel.hathitrust.org/cgi/pt?id=uc2.ark:/13960/t6nz83w5b")</f>
        <v>http://babel.hathitrust.org/cgi/pt?id=uc2.ark:/13960/t6nz83w5b</v>
      </c>
      <c r="H4677" t="str">
        <f>HYPERLINK("http://catalog.hathitrust.org/Record/007666290")</f>
        <v>http://catalog.hathitrust.org/Record/007666290</v>
      </c>
      <c r="J4677" s="1">
        <v>1919</v>
      </c>
      <c r="K4677" t="s">
        <v>9902</v>
      </c>
      <c r="L4677" t="s">
        <v>20000</v>
      </c>
    </row>
    <row r="4678" spans="1:12">
      <c r="A4678" t="s">
        <v>9904</v>
      </c>
      <c r="B4678" s="1" t="s">
        <v>9905</v>
      </c>
      <c r="F4678">
        <v>1</v>
      </c>
      <c r="G4678" t="str">
        <f>HYPERLINK("http://babel.hathitrust.org/cgi/pt?id=njp.32101065845495")</f>
        <v>http://babel.hathitrust.org/cgi/pt?id=njp.32101065845495</v>
      </c>
      <c r="H4678" t="str">
        <f>HYPERLINK("http://catalog.hathitrust.org/Record/007667366")</f>
        <v>http://catalog.hathitrust.org/Record/007667366</v>
      </c>
      <c r="J4678" s="1">
        <v>1918</v>
      </c>
      <c r="K4678" t="s">
        <v>9906</v>
      </c>
      <c r="L4678" t="s">
        <v>9907</v>
      </c>
    </row>
    <row r="4679" spans="1:12">
      <c r="A4679" t="s">
        <v>9908</v>
      </c>
      <c r="B4679" s="1" t="s">
        <v>9905</v>
      </c>
      <c r="F4679">
        <v>1</v>
      </c>
      <c r="G4679" t="str">
        <f>HYPERLINK("http://babel.hathitrust.org/cgi/pt?id=uc2.ark:/13960/t76t0k74z")</f>
        <v>http://babel.hathitrust.org/cgi/pt?id=uc2.ark:/13960/t76t0k74z</v>
      </c>
      <c r="H4679" t="str">
        <f>HYPERLINK("http://catalog.hathitrust.org/Record/007667366")</f>
        <v>http://catalog.hathitrust.org/Record/007667366</v>
      </c>
      <c r="J4679" s="1">
        <v>1918</v>
      </c>
      <c r="K4679" t="s">
        <v>9906</v>
      </c>
      <c r="L4679" t="s">
        <v>9907</v>
      </c>
    </row>
    <row r="4680" spans="1:12">
      <c r="A4680" t="s">
        <v>9909</v>
      </c>
      <c r="B4680" s="1" t="s">
        <v>9910</v>
      </c>
      <c r="E4680">
        <v>1</v>
      </c>
      <c r="G4680" t="str">
        <f>HYPERLINK("http://babel.hathitrust.org/cgi/pt?id=uc2.ark:/13960/t0ns0n43q")</f>
        <v>http://babel.hathitrust.org/cgi/pt?id=uc2.ark:/13960/t0ns0n43q</v>
      </c>
      <c r="H4680" t="str">
        <f>HYPERLINK("http://catalog.hathitrust.org/Record/007667605")</f>
        <v>http://catalog.hathitrust.org/Record/007667605</v>
      </c>
      <c r="J4680" s="1">
        <v>1922</v>
      </c>
      <c r="K4680" t="s">
        <v>9911</v>
      </c>
      <c r="L4680" t="s">
        <v>17236</v>
      </c>
    </row>
    <row r="4681" spans="1:12">
      <c r="A4681" t="s">
        <v>9912</v>
      </c>
      <c r="B4681" s="1" t="s">
        <v>9806</v>
      </c>
      <c r="D4681">
        <v>1</v>
      </c>
      <c r="G4681" t="str">
        <f>HYPERLINK("http://babel.hathitrust.org/cgi/pt?id=hvd.hxgf44")</f>
        <v>http://babel.hathitrust.org/cgi/pt?id=hvd.hxgf44</v>
      </c>
      <c r="H4681" t="str">
        <f>HYPERLINK("http://catalog.hathitrust.org/Record/007667965")</f>
        <v>http://catalog.hathitrust.org/Record/007667965</v>
      </c>
      <c r="J4681" s="1">
        <v>1804</v>
      </c>
      <c r="K4681" t="s">
        <v>9807</v>
      </c>
      <c r="L4681" t="s">
        <v>9808</v>
      </c>
    </row>
    <row r="4682" spans="1:12">
      <c r="A4682" t="s">
        <v>9809</v>
      </c>
      <c r="B4682" s="1" t="s">
        <v>9806</v>
      </c>
      <c r="F4682">
        <v>1</v>
      </c>
      <c r="G4682" t="str">
        <f>HYPERLINK("http://babel.hathitrust.org/cgi/pt?id=nyp.33433082521513")</f>
        <v>http://babel.hathitrust.org/cgi/pt?id=nyp.33433082521513</v>
      </c>
      <c r="H4682" t="str">
        <f>HYPERLINK("http://catalog.hathitrust.org/Record/007667965")</f>
        <v>http://catalog.hathitrust.org/Record/007667965</v>
      </c>
      <c r="J4682" s="1">
        <v>1804</v>
      </c>
      <c r="K4682" t="s">
        <v>9807</v>
      </c>
      <c r="L4682" t="s">
        <v>9808</v>
      </c>
    </row>
    <row r="4683" spans="1:12">
      <c r="A4683" t="s">
        <v>9810</v>
      </c>
      <c r="B4683" s="1" t="s">
        <v>9806</v>
      </c>
      <c r="F4683">
        <v>1</v>
      </c>
      <c r="G4683" t="str">
        <f>HYPERLINK("http://babel.hathitrust.org/cgi/pt?id=uc2.ark:/13960/t3st7gm11")</f>
        <v>http://babel.hathitrust.org/cgi/pt?id=uc2.ark:/13960/t3st7gm11</v>
      </c>
      <c r="H4683" t="str">
        <f>HYPERLINK("http://catalog.hathitrust.org/Record/007667965")</f>
        <v>http://catalog.hathitrust.org/Record/007667965</v>
      </c>
      <c r="J4683" s="1">
        <v>1804</v>
      </c>
      <c r="K4683" t="s">
        <v>9807</v>
      </c>
      <c r="L4683" t="s">
        <v>9808</v>
      </c>
    </row>
    <row r="4684" spans="1:12">
      <c r="A4684" t="s">
        <v>9811</v>
      </c>
      <c r="B4684" s="1" t="s">
        <v>9812</v>
      </c>
      <c r="E4684">
        <v>1</v>
      </c>
      <c r="G4684" t="str">
        <f>HYPERLINK("http://babel.hathitrust.org/cgi/pt?id=uc2.ark:/13960/t82j6b950")</f>
        <v>http://babel.hathitrust.org/cgi/pt?id=uc2.ark:/13960/t82j6b950</v>
      </c>
      <c r="H4684" t="str">
        <f>HYPERLINK("http://catalog.hathitrust.org/Record/007668473")</f>
        <v>http://catalog.hathitrust.org/Record/007668473</v>
      </c>
      <c r="J4684" s="1">
        <v>1847</v>
      </c>
      <c r="K4684" t="s">
        <v>9813</v>
      </c>
      <c r="L4684" t="s">
        <v>9814</v>
      </c>
    </row>
    <row r="4685" spans="1:12">
      <c r="A4685" t="s">
        <v>9815</v>
      </c>
      <c r="B4685" s="1" t="s">
        <v>9816</v>
      </c>
      <c r="D4685">
        <v>1</v>
      </c>
      <c r="G4685" t="str">
        <f>HYPERLINK("http://babel.hathitrust.org/cgi/pt?id=uc2.ark:/13960/t5gb2127d")</f>
        <v>http://babel.hathitrust.org/cgi/pt?id=uc2.ark:/13960/t5gb2127d</v>
      </c>
      <c r="H4685" t="str">
        <f>HYPERLINK("http://catalog.hathitrust.org/Record/007668478")</f>
        <v>http://catalog.hathitrust.org/Record/007668478</v>
      </c>
      <c r="J4685" s="1">
        <v>1799</v>
      </c>
      <c r="K4685" t="s">
        <v>9817</v>
      </c>
      <c r="L4685" t="s">
        <v>20043</v>
      </c>
    </row>
    <row r="4686" spans="1:12">
      <c r="A4686" t="s">
        <v>9818</v>
      </c>
      <c r="B4686" s="1" t="s">
        <v>9819</v>
      </c>
      <c r="F4686">
        <v>1</v>
      </c>
      <c r="G4686" t="str">
        <f>HYPERLINK("http://babel.hathitrust.org/cgi/pt?id=uc1.$b616557")</f>
        <v>http://babel.hathitrust.org/cgi/pt?id=uc1.$b616557</v>
      </c>
      <c r="H4686" t="str">
        <f>HYPERLINK("http://catalog.hathitrust.org/Record/007669385")</f>
        <v>http://catalog.hathitrust.org/Record/007669385</v>
      </c>
      <c r="J4686" s="1">
        <v>1906</v>
      </c>
      <c r="K4686" t="s">
        <v>9820</v>
      </c>
      <c r="L4686" t="s">
        <v>16968</v>
      </c>
    </row>
    <row r="4687" spans="1:12">
      <c r="A4687" t="s">
        <v>9821</v>
      </c>
      <c r="B4687" s="1" t="s">
        <v>9819</v>
      </c>
      <c r="F4687">
        <v>1</v>
      </c>
      <c r="G4687" t="str">
        <f>HYPERLINK("http://babel.hathitrust.org/cgi/pt?id=uc2.ark:/13960/t06w97g7k")</f>
        <v>http://babel.hathitrust.org/cgi/pt?id=uc2.ark:/13960/t06w97g7k</v>
      </c>
      <c r="H4687" t="str">
        <f>HYPERLINK("http://catalog.hathitrust.org/Record/007669385")</f>
        <v>http://catalog.hathitrust.org/Record/007669385</v>
      </c>
      <c r="J4687" s="1">
        <v>1906</v>
      </c>
      <c r="K4687" t="s">
        <v>9820</v>
      </c>
      <c r="L4687" t="s">
        <v>16968</v>
      </c>
    </row>
    <row r="4688" spans="1:12">
      <c r="A4688" t="s">
        <v>9822</v>
      </c>
      <c r="B4688" s="1" t="s">
        <v>9823</v>
      </c>
      <c r="F4688">
        <v>1</v>
      </c>
      <c r="G4688" t="str">
        <f>HYPERLINK("http://babel.hathitrust.org/cgi/pt?id=nyp.33433074791553")</f>
        <v>http://babel.hathitrust.org/cgi/pt?id=nyp.33433074791553</v>
      </c>
      <c r="H4688" t="str">
        <f>HYPERLINK("http://catalog.hathitrust.org/Record/007669560")</f>
        <v>http://catalog.hathitrust.org/Record/007669560</v>
      </c>
      <c r="J4688" s="1">
        <v>1836</v>
      </c>
      <c r="K4688" t="s">
        <v>9824</v>
      </c>
      <c r="L4688" t="s">
        <v>9825</v>
      </c>
    </row>
    <row r="4689" spans="1:12">
      <c r="A4689" t="s">
        <v>9826</v>
      </c>
      <c r="B4689" s="1" t="s">
        <v>9823</v>
      </c>
      <c r="F4689">
        <v>1</v>
      </c>
      <c r="G4689" t="str">
        <f>HYPERLINK("http://babel.hathitrust.org/cgi/pt?id=uc2.ark:/13960/t18k75746")</f>
        <v>http://babel.hathitrust.org/cgi/pt?id=uc2.ark:/13960/t18k75746</v>
      </c>
      <c r="H4689" t="str">
        <f>HYPERLINK("http://catalog.hathitrust.org/Record/007669560")</f>
        <v>http://catalog.hathitrust.org/Record/007669560</v>
      </c>
      <c r="J4689" s="1">
        <v>1836</v>
      </c>
      <c r="K4689" t="s">
        <v>9824</v>
      </c>
      <c r="L4689" t="s">
        <v>9825</v>
      </c>
    </row>
    <row r="4690" spans="1:12">
      <c r="A4690" t="s">
        <v>9827</v>
      </c>
      <c r="B4690" s="1" t="s">
        <v>9828</v>
      </c>
      <c r="F4690">
        <v>1</v>
      </c>
      <c r="G4690" t="str">
        <f>HYPERLINK("http://babel.hathitrust.org/cgi/pt?id=uc2.ark:/13960/t8pc2vk16")</f>
        <v>http://babel.hathitrust.org/cgi/pt?id=uc2.ark:/13960/t8pc2vk16</v>
      </c>
      <c r="H4690" t="str">
        <f>HYPERLINK("http://catalog.hathitrust.org/Record/007670375")</f>
        <v>http://catalog.hathitrust.org/Record/007670375</v>
      </c>
      <c r="J4690" s="1">
        <v>1890</v>
      </c>
      <c r="K4690" t="s">
        <v>9829</v>
      </c>
      <c r="L4690" t="s">
        <v>20339</v>
      </c>
    </row>
    <row r="4691" spans="1:12">
      <c r="A4691" t="s">
        <v>9830</v>
      </c>
      <c r="B4691" s="1" t="s">
        <v>9831</v>
      </c>
      <c r="F4691">
        <v>1</v>
      </c>
      <c r="G4691" t="str">
        <f>HYPERLINK("http://babel.hathitrust.org/cgi/pt?id=uc2.ark:/13960/t4th8d409")</f>
        <v>http://babel.hathitrust.org/cgi/pt?id=uc2.ark:/13960/t4th8d409</v>
      </c>
      <c r="H4691" t="str">
        <f>HYPERLINK("http://catalog.hathitrust.org/Record/007670728")</f>
        <v>http://catalog.hathitrust.org/Record/007670728</v>
      </c>
      <c r="J4691" s="1">
        <v>1910</v>
      </c>
      <c r="K4691" t="s">
        <v>9832</v>
      </c>
      <c r="L4691" t="s">
        <v>15598</v>
      </c>
    </row>
    <row r="4692" spans="1:12">
      <c r="A4692" t="s">
        <v>9833</v>
      </c>
      <c r="B4692" s="1" t="s">
        <v>9834</v>
      </c>
      <c r="E4692">
        <v>1</v>
      </c>
      <c r="G4692" t="str">
        <f>HYPERLINK("http://babel.hathitrust.org/cgi/pt?id=uc2.ark:/13960/t84j0f26x")</f>
        <v>http://babel.hathitrust.org/cgi/pt?id=uc2.ark:/13960/t84j0f26x</v>
      </c>
      <c r="H4692" t="str">
        <f>HYPERLINK("http://catalog.hathitrust.org/Record/007672819")</f>
        <v>http://catalog.hathitrust.org/Record/007672819</v>
      </c>
      <c r="J4692" s="1">
        <v>1901</v>
      </c>
      <c r="K4692" t="s">
        <v>9835</v>
      </c>
      <c r="L4692" t="s">
        <v>13226</v>
      </c>
    </row>
    <row r="4693" spans="1:12">
      <c r="A4693" t="s">
        <v>9836</v>
      </c>
      <c r="B4693" s="1" t="s">
        <v>9837</v>
      </c>
      <c r="F4693">
        <v>1</v>
      </c>
      <c r="G4693" t="str">
        <f>HYPERLINK("http://babel.hathitrust.org/cgi/pt?id=uc2.ark:/13960/t00002t3t")</f>
        <v>http://babel.hathitrust.org/cgi/pt?id=uc2.ark:/13960/t00002t3t</v>
      </c>
      <c r="H4693" t="str">
        <f>HYPERLINK("http://catalog.hathitrust.org/Record/007673109")</f>
        <v>http://catalog.hathitrust.org/Record/007673109</v>
      </c>
      <c r="J4693" s="1">
        <v>1905</v>
      </c>
      <c r="K4693" t="s">
        <v>9838</v>
      </c>
      <c r="L4693" t="s">
        <v>9839</v>
      </c>
    </row>
    <row r="4694" spans="1:12">
      <c r="A4694" t="s">
        <v>9840</v>
      </c>
      <c r="B4694" s="1" t="s">
        <v>9841</v>
      </c>
      <c r="F4694">
        <v>1</v>
      </c>
      <c r="G4694" t="str">
        <f>HYPERLINK("http://babel.hathitrust.org/cgi/pt?id=loc.ark:/13960/t49p3sq14")</f>
        <v>http://babel.hathitrust.org/cgi/pt?id=loc.ark:/13960/t49p3sq14</v>
      </c>
      <c r="H4694" t="str">
        <f>HYPERLINK("http://catalog.hathitrust.org/Record/007673473")</f>
        <v>http://catalog.hathitrust.org/Record/007673473</v>
      </c>
      <c r="J4694" s="1">
        <v>1910</v>
      </c>
      <c r="K4694" t="s">
        <v>9842</v>
      </c>
      <c r="L4694" t="s">
        <v>9843</v>
      </c>
    </row>
    <row r="4695" spans="1:12">
      <c r="A4695" t="s">
        <v>9844</v>
      </c>
      <c r="B4695" s="1" t="s">
        <v>9841</v>
      </c>
      <c r="F4695">
        <v>1</v>
      </c>
      <c r="G4695" t="str">
        <f>HYPERLINK("http://babel.hathitrust.org/cgi/pt?id=uc2.ark:/13960/t5gb21835")</f>
        <v>http://babel.hathitrust.org/cgi/pt?id=uc2.ark:/13960/t5gb21835</v>
      </c>
      <c r="H4695" t="str">
        <f>HYPERLINK("http://catalog.hathitrust.org/Record/007673473")</f>
        <v>http://catalog.hathitrust.org/Record/007673473</v>
      </c>
      <c r="J4695" s="1">
        <v>1910</v>
      </c>
      <c r="K4695" t="s">
        <v>9842</v>
      </c>
      <c r="L4695" t="s">
        <v>9843</v>
      </c>
    </row>
    <row r="4696" spans="1:12">
      <c r="A4696" t="s">
        <v>9845</v>
      </c>
      <c r="B4696" s="1" t="s">
        <v>9846</v>
      </c>
      <c r="F4696">
        <v>1</v>
      </c>
      <c r="G4696" t="str">
        <f>HYPERLINK("http://babel.hathitrust.org/cgi/pt?id=uc2.ark:/13960/t9t14w71z")</f>
        <v>http://babel.hathitrust.org/cgi/pt?id=uc2.ark:/13960/t9t14w71z</v>
      </c>
      <c r="H4696" t="str">
        <f>HYPERLINK("http://catalog.hathitrust.org/Record/007673700")</f>
        <v>http://catalog.hathitrust.org/Record/007673700</v>
      </c>
      <c r="J4696" s="1">
        <v>1853</v>
      </c>
      <c r="K4696" t="s">
        <v>14899</v>
      </c>
      <c r="L4696" t="s">
        <v>20884</v>
      </c>
    </row>
    <row r="4697" spans="1:12">
      <c r="A4697" t="s">
        <v>9847</v>
      </c>
      <c r="B4697" s="1" t="s">
        <v>9848</v>
      </c>
      <c r="F4697">
        <v>1</v>
      </c>
      <c r="G4697" t="str">
        <f>HYPERLINK("http://babel.hathitrust.org/cgi/pt?id=uc2.ark:/13960/t8nc5v33q")</f>
        <v>http://babel.hathitrust.org/cgi/pt?id=uc2.ark:/13960/t8nc5v33q</v>
      </c>
      <c r="H4697" t="str">
        <f>HYPERLINK("http://catalog.hathitrust.org/Record/007673846")</f>
        <v>http://catalog.hathitrust.org/Record/007673846</v>
      </c>
      <c r="J4697" s="1">
        <v>1873</v>
      </c>
      <c r="K4697" t="s">
        <v>9849</v>
      </c>
      <c r="L4697" t="s">
        <v>20526</v>
      </c>
    </row>
    <row r="4698" spans="1:12">
      <c r="A4698" t="s">
        <v>9850</v>
      </c>
      <c r="B4698" s="1" t="s">
        <v>9851</v>
      </c>
      <c r="F4698">
        <v>1</v>
      </c>
      <c r="G4698" t="str">
        <f>HYPERLINK("http://babel.hathitrust.org/cgi/pt?id=uc2.ark:/13960/t48p5wc1b")</f>
        <v>http://babel.hathitrust.org/cgi/pt?id=uc2.ark:/13960/t48p5wc1b</v>
      </c>
      <c r="H4698" t="str">
        <f>HYPERLINK("http://catalog.hathitrust.org/Record/007673948")</f>
        <v>http://catalog.hathitrust.org/Record/007673948</v>
      </c>
      <c r="J4698" s="1">
        <v>1857</v>
      </c>
      <c r="K4698" t="s">
        <v>17202</v>
      </c>
      <c r="L4698" t="s">
        <v>17203</v>
      </c>
    </row>
    <row r="4699" spans="1:12">
      <c r="A4699" t="s">
        <v>9852</v>
      </c>
      <c r="B4699" s="1" t="s">
        <v>9853</v>
      </c>
      <c r="F4699">
        <v>1</v>
      </c>
      <c r="G4699" t="str">
        <f>HYPERLINK("http://babel.hathitrust.org/cgi/pt?id=uc2.ark:/13960/t0ft8f911")</f>
        <v>http://babel.hathitrust.org/cgi/pt?id=uc2.ark:/13960/t0ft8f911</v>
      </c>
      <c r="H4699" t="str">
        <f>HYPERLINK("http://catalog.hathitrust.org/Record/007674332")</f>
        <v>http://catalog.hathitrust.org/Record/007674332</v>
      </c>
      <c r="J4699" s="1">
        <v>1916</v>
      </c>
      <c r="K4699" t="s">
        <v>16499</v>
      </c>
      <c r="L4699" t="s">
        <v>16500</v>
      </c>
    </row>
    <row r="4700" spans="1:12">
      <c r="A4700" t="s">
        <v>9854</v>
      </c>
      <c r="B4700" s="1" t="s">
        <v>9855</v>
      </c>
      <c r="E4700">
        <v>1</v>
      </c>
      <c r="F4700">
        <v>1</v>
      </c>
      <c r="G4700" t="str">
        <f>HYPERLINK("http://babel.hathitrust.org/cgi/pt?id=njp.32101032438754")</f>
        <v>http://babel.hathitrust.org/cgi/pt?id=njp.32101032438754</v>
      </c>
      <c r="H4700" t="str">
        <f>HYPERLINK("http://catalog.hathitrust.org/Record/007674462")</f>
        <v>http://catalog.hathitrust.org/Record/007674462</v>
      </c>
      <c r="J4700" s="1">
        <v>1911</v>
      </c>
      <c r="K4700" t="s">
        <v>9856</v>
      </c>
      <c r="L4700" t="s">
        <v>18477</v>
      </c>
    </row>
    <row r="4701" spans="1:12">
      <c r="A4701" t="s">
        <v>9857</v>
      </c>
      <c r="B4701" s="1" t="s">
        <v>9855</v>
      </c>
      <c r="F4701">
        <v>1</v>
      </c>
      <c r="G4701" t="str">
        <f>HYPERLINK("http://babel.hathitrust.org/cgi/pt?id=uc2.ark:/13960/t7kp7xt7v")</f>
        <v>http://babel.hathitrust.org/cgi/pt?id=uc2.ark:/13960/t7kp7xt7v</v>
      </c>
      <c r="H4701" t="str">
        <f>HYPERLINK("http://catalog.hathitrust.org/Record/007674462")</f>
        <v>http://catalog.hathitrust.org/Record/007674462</v>
      </c>
      <c r="J4701" s="1">
        <v>1911</v>
      </c>
      <c r="K4701" t="s">
        <v>9856</v>
      </c>
      <c r="L4701" t="s">
        <v>18477</v>
      </c>
    </row>
    <row r="4702" spans="1:12">
      <c r="A4702" t="s">
        <v>9858</v>
      </c>
      <c r="B4702" s="1" t="s">
        <v>9859</v>
      </c>
      <c r="F4702">
        <v>1</v>
      </c>
      <c r="G4702" t="str">
        <f>HYPERLINK("http://babel.hathitrust.org/cgi/pt?id=uc2.ark:/13960/t15m64z1s")</f>
        <v>http://babel.hathitrust.org/cgi/pt?id=uc2.ark:/13960/t15m64z1s</v>
      </c>
      <c r="H4702" t="str">
        <f>HYPERLINK("http://catalog.hathitrust.org/Record/007675054")</f>
        <v>http://catalog.hathitrust.org/Record/007675054</v>
      </c>
      <c r="J4702" s="1">
        <v>1904</v>
      </c>
      <c r="K4702" t="s">
        <v>20883</v>
      </c>
      <c r="L4702" t="s">
        <v>20884</v>
      </c>
    </row>
    <row r="4703" spans="1:12">
      <c r="A4703" t="s">
        <v>9860</v>
      </c>
      <c r="B4703" s="1" t="s">
        <v>9861</v>
      </c>
      <c r="F4703">
        <v>1</v>
      </c>
      <c r="G4703" t="str">
        <f>HYPERLINK("http://babel.hathitrust.org/cgi/pt?id=uc2.ark:/13960/t3kw5bg05")</f>
        <v>http://babel.hathitrust.org/cgi/pt?id=uc2.ark:/13960/t3kw5bg05</v>
      </c>
      <c r="H4703" t="str">
        <f>HYPERLINK("http://catalog.hathitrust.org/Record/007675429")</f>
        <v>http://catalog.hathitrust.org/Record/007675429</v>
      </c>
      <c r="J4703" s="1">
        <v>1913</v>
      </c>
      <c r="K4703" t="s">
        <v>9862</v>
      </c>
      <c r="L4703" t="s">
        <v>9753</v>
      </c>
    </row>
    <row r="4704" spans="1:12">
      <c r="A4704" t="s">
        <v>9754</v>
      </c>
      <c r="B4704" s="1" t="s">
        <v>9755</v>
      </c>
      <c r="E4704">
        <v>1</v>
      </c>
      <c r="G4704" t="str">
        <f>HYPERLINK("http://babel.hathitrust.org/cgi/pt?id=uc2.ark:/13960/t48p5xc27")</f>
        <v>http://babel.hathitrust.org/cgi/pt?id=uc2.ark:/13960/t48p5xc27</v>
      </c>
      <c r="H4704" t="str">
        <f>HYPERLINK("http://catalog.hathitrust.org/Record/007676299")</f>
        <v>http://catalog.hathitrust.org/Record/007676299</v>
      </c>
      <c r="J4704" s="1">
        <v>1833</v>
      </c>
      <c r="K4704" t="s">
        <v>9756</v>
      </c>
      <c r="L4704" t="s">
        <v>20960</v>
      </c>
    </row>
    <row r="4705" spans="1:12">
      <c r="A4705" t="s">
        <v>9757</v>
      </c>
      <c r="B4705" s="1" t="s">
        <v>9758</v>
      </c>
      <c r="E4705">
        <v>1</v>
      </c>
      <c r="G4705" t="str">
        <f>HYPERLINK("http://babel.hathitrust.org/cgi/pt?id=uc2.ark:/13960/t27943v7z")</f>
        <v>http://babel.hathitrust.org/cgi/pt?id=uc2.ark:/13960/t27943v7z</v>
      </c>
      <c r="H4705" t="str">
        <f>HYPERLINK("http://catalog.hathitrust.org/Record/007676524")</f>
        <v>http://catalog.hathitrust.org/Record/007676524</v>
      </c>
      <c r="J4705" s="1">
        <v>1899</v>
      </c>
      <c r="K4705" t="s">
        <v>9759</v>
      </c>
      <c r="L4705" t="s">
        <v>15615</v>
      </c>
    </row>
    <row r="4706" spans="1:12">
      <c r="A4706" t="s">
        <v>9760</v>
      </c>
      <c r="B4706" s="1" t="s">
        <v>9761</v>
      </c>
      <c r="F4706">
        <v>1</v>
      </c>
      <c r="G4706" t="str">
        <f>HYPERLINK("http://babel.hathitrust.org/cgi/pt?id=uc2.ark:/13960/t2697185c")</f>
        <v>http://babel.hathitrust.org/cgi/pt?id=uc2.ark:/13960/t2697185c</v>
      </c>
      <c r="H4706" t="str">
        <f>HYPERLINK("http://catalog.hathitrust.org/Record/007676556")</f>
        <v>http://catalog.hathitrust.org/Record/007676556</v>
      </c>
      <c r="J4706" s="1">
        <v>1895</v>
      </c>
      <c r="K4706" t="s">
        <v>9762</v>
      </c>
      <c r="L4706" t="s">
        <v>14618</v>
      </c>
    </row>
    <row r="4707" spans="1:12">
      <c r="A4707" t="s">
        <v>9763</v>
      </c>
      <c r="B4707" s="1" t="s">
        <v>9764</v>
      </c>
      <c r="F4707">
        <v>1</v>
      </c>
      <c r="G4707" t="str">
        <f>HYPERLINK("http://babel.hathitrust.org/cgi/pt?id=uc2.ark:/13960/t5v69ch6k")</f>
        <v>http://babel.hathitrust.org/cgi/pt?id=uc2.ark:/13960/t5v69ch6k</v>
      </c>
      <c r="H4707" t="str">
        <f>HYPERLINK("http://catalog.hathitrust.org/Record/007676629")</f>
        <v>http://catalog.hathitrust.org/Record/007676629</v>
      </c>
      <c r="J4707" s="1">
        <v>1883</v>
      </c>
      <c r="K4707" t="s">
        <v>10683</v>
      </c>
      <c r="L4707" t="s">
        <v>14746</v>
      </c>
    </row>
    <row r="4708" spans="1:12">
      <c r="A4708" t="s">
        <v>9765</v>
      </c>
      <c r="B4708" s="1" t="s">
        <v>9766</v>
      </c>
      <c r="F4708">
        <v>1</v>
      </c>
      <c r="G4708" t="str">
        <f>HYPERLINK("http://babel.hathitrust.org/cgi/pt?id=nyp.33433074819578")</f>
        <v>http://babel.hathitrust.org/cgi/pt?id=nyp.33433074819578</v>
      </c>
      <c r="H4708" t="str">
        <f>HYPERLINK("http://catalog.hathitrust.org/Record/007677478")</f>
        <v>http://catalog.hathitrust.org/Record/007677478</v>
      </c>
      <c r="J4708" s="1">
        <v>1901</v>
      </c>
      <c r="K4708" t="s">
        <v>9767</v>
      </c>
      <c r="L4708" t="s">
        <v>20670</v>
      </c>
    </row>
    <row r="4709" spans="1:12">
      <c r="A4709" t="s">
        <v>9768</v>
      </c>
      <c r="B4709" s="1" t="s">
        <v>9766</v>
      </c>
      <c r="F4709">
        <v>1</v>
      </c>
      <c r="G4709" t="str">
        <f>HYPERLINK("http://babel.hathitrust.org/cgi/pt?id=uc2.ark:/13960/t0cv4c51m")</f>
        <v>http://babel.hathitrust.org/cgi/pt?id=uc2.ark:/13960/t0cv4c51m</v>
      </c>
      <c r="H4709" t="str">
        <f>HYPERLINK("http://catalog.hathitrust.org/Record/007677478")</f>
        <v>http://catalog.hathitrust.org/Record/007677478</v>
      </c>
      <c r="J4709" s="1">
        <v>1901</v>
      </c>
      <c r="K4709" t="s">
        <v>9767</v>
      </c>
      <c r="L4709" t="s">
        <v>20670</v>
      </c>
    </row>
    <row r="4710" spans="1:12">
      <c r="A4710" t="s">
        <v>9769</v>
      </c>
      <c r="B4710" s="1" t="s">
        <v>9766</v>
      </c>
      <c r="F4710">
        <v>1</v>
      </c>
      <c r="G4710" t="str">
        <f>HYPERLINK("http://babel.hathitrust.org/cgi/pt?id=uc2.ark:/13960/t3nv99w8s")</f>
        <v>http://babel.hathitrust.org/cgi/pt?id=uc2.ark:/13960/t3nv99w8s</v>
      </c>
      <c r="H4710" t="str">
        <f>HYPERLINK("http://catalog.hathitrust.org/Record/007677478")</f>
        <v>http://catalog.hathitrust.org/Record/007677478</v>
      </c>
      <c r="J4710" s="1">
        <v>1901</v>
      </c>
      <c r="K4710" t="s">
        <v>9767</v>
      </c>
      <c r="L4710" t="s">
        <v>20670</v>
      </c>
    </row>
    <row r="4711" spans="1:12">
      <c r="A4711" t="s">
        <v>9770</v>
      </c>
      <c r="B4711" s="1" t="s">
        <v>9771</v>
      </c>
      <c r="D4711">
        <v>1</v>
      </c>
      <c r="G4711" t="str">
        <f>HYPERLINK("http://babel.hathitrust.org/cgi/pt?id=njp.32101015143371")</f>
        <v>http://babel.hathitrust.org/cgi/pt?id=njp.32101015143371</v>
      </c>
      <c r="H4711" t="str">
        <f>HYPERLINK("http://catalog.hathitrust.org/Record/007677533")</f>
        <v>http://catalog.hathitrust.org/Record/007677533</v>
      </c>
      <c r="J4711" s="1">
        <v>1911</v>
      </c>
      <c r="K4711" t="s">
        <v>9772</v>
      </c>
      <c r="L4711" t="s">
        <v>15619</v>
      </c>
    </row>
    <row r="4712" spans="1:12">
      <c r="A4712" t="s">
        <v>9773</v>
      </c>
      <c r="B4712" s="1" t="s">
        <v>9774</v>
      </c>
      <c r="E4712">
        <v>1</v>
      </c>
      <c r="G4712" t="str">
        <f>HYPERLINK("http://babel.hathitrust.org/cgi/pt?id=uc2.ark:/13960/t9571c43d")</f>
        <v>http://babel.hathitrust.org/cgi/pt?id=uc2.ark:/13960/t9571c43d</v>
      </c>
      <c r="H4712" t="str">
        <f>HYPERLINK("http://catalog.hathitrust.org/Record/007677964")</f>
        <v>http://catalog.hathitrust.org/Record/007677964</v>
      </c>
      <c r="J4712" s="1">
        <v>1882</v>
      </c>
      <c r="K4712" t="s">
        <v>9775</v>
      </c>
      <c r="L4712" t="s">
        <v>20331</v>
      </c>
    </row>
    <row r="4713" spans="1:12">
      <c r="A4713" t="s">
        <v>9776</v>
      </c>
      <c r="B4713" s="1" t="s">
        <v>9777</v>
      </c>
      <c r="F4713">
        <v>1</v>
      </c>
      <c r="G4713" t="str">
        <f>HYPERLINK("http://babel.hathitrust.org/cgi/pt?id=uc2.ark:/13960/t1sf2p72t")</f>
        <v>http://babel.hathitrust.org/cgi/pt?id=uc2.ark:/13960/t1sf2p72t</v>
      </c>
      <c r="H4713" t="str">
        <f>HYPERLINK("http://catalog.hathitrust.org/Record/007677965")</f>
        <v>http://catalog.hathitrust.org/Record/007677965</v>
      </c>
      <c r="J4713" s="1">
        <v>1896</v>
      </c>
      <c r="K4713" t="s">
        <v>9778</v>
      </c>
      <c r="L4713" t="s">
        <v>20331</v>
      </c>
    </row>
    <row r="4714" spans="1:12">
      <c r="A4714" t="s">
        <v>9779</v>
      </c>
      <c r="B4714" s="1" t="s">
        <v>9780</v>
      </c>
      <c r="D4714">
        <v>1</v>
      </c>
      <c r="G4714" t="str">
        <f>HYPERLINK("http://babel.hathitrust.org/cgi/pt?id=uc2.ark:/13960/t00002s3c")</f>
        <v>http://babel.hathitrust.org/cgi/pt?id=uc2.ark:/13960/t00002s3c</v>
      </c>
      <c r="H4714" t="str">
        <f>HYPERLINK("http://catalog.hathitrust.org/Record/007677971")</f>
        <v>http://catalog.hathitrust.org/Record/007677971</v>
      </c>
      <c r="J4714" s="1">
        <v>1901</v>
      </c>
      <c r="K4714" t="s">
        <v>10577</v>
      </c>
      <c r="L4714" t="s">
        <v>19491</v>
      </c>
    </row>
    <row r="4715" spans="1:12">
      <c r="A4715" t="s">
        <v>9781</v>
      </c>
      <c r="B4715" s="1" t="s">
        <v>9782</v>
      </c>
      <c r="D4715">
        <v>1</v>
      </c>
      <c r="G4715" t="str">
        <f>HYPERLINK("http://babel.hathitrust.org/cgi/pt?id=uc2.ark:/13960/t07w6994w")</f>
        <v>http://babel.hathitrust.org/cgi/pt?id=uc2.ark:/13960/t07w6994w</v>
      </c>
      <c r="H4715" t="str">
        <f>HYPERLINK("http://catalog.hathitrust.org/Record/007678479")</f>
        <v>http://catalog.hathitrust.org/Record/007678479</v>
      </c>
      <c r="J4715" s="1">
        <v>1893</v>
      </c>
      <c r="K4715" t="s">
        <v>9783</v>
      </c>
      <c r="L4715" t="s">
        <v>20605</v>
      </c>
    </row>
    <row r="4716" spans="1:12">
      <c r="A4716" t="s">
        <v>9784</v>
      </c>
      <c r="B4716" s="1" t="s">
        <v>9785</v>
      </c>
      <c r="F4716">
        <v>1</v>
      </c>
      <c r="G4716" t="str">
        <f>HYPERLINK("http://babel.hathitrust.org/cgi/pt?id=uc2.ark:/13960/t7kp7x69r")</f>
        <v>http://babel.hathitrust.org/cgi/pt?id=uc2.ark:/13960/t7kp7x69r</v>
      </c>
      <c r="H4716" t="str">
        <f>HYPERLINK("http://catalog.hathitrust.org/Record/007678482")</f>
        <v>http://catalog.hathitrust.org/Record/007678482</v>
      </c>
      <c r="J4716" s="1">
        <v>1913</v>
      </c>
      <c r="K4716" t="s">
        <v>9786</v>
      </c>
      <c r="L4716" t="s">
        <v>9787</v>
      </c>
    </row>
    <row r="4717" spans="1:12">
      <c r="A4717" t="s">
        <v>9788</v>
      </c>
      <c r="B4717" s="1" t="s">
        <v>9789</v>
      </c>
      <c r="D4717">
        <v>1</v>
      </c>
      <c r="G4717" t="str">
        <f>HYPERLINK("http://babel.hathitrust.org/cgi/pt?id=njp.32101068175510")</f>
        <v>http://babel.hathitrust.org/cgi/pt?id=njp.32101068175510</v>
      </c>
      <c r="H4717" t="str">
        <f>HYPERLINK("http://catalog.hathitrust.org/Record/007678714")</f>
        <v>http://catalog.hathitrust.org/Record/007678714</v>
      </c>
      <c r="J4717" s="1">
        <v>1896</v>
      </c>
      <c r="K4717" t="s">
        <v>9790</v>
      </c>
      <c r="L4717" t="s">
        <v>19996</v>
      </c>
    </row>
    <row r="4718" spans="1:12">
      <c r="A4718" t="s">
        <v>9791</v>
      </c>
      <c r="B4718" s="1" t="s">
        <v>9792</v>
      </c>
      <c r="E4718">
        <v>1</v>
      </c>
      <c r="G4718" t="str">
        <f>HYPERLINK("http://babel.hathitrust.org/cgi/pt?id=uc2.ark:/13960/t3zs2nm1d")</f>
        <v>http://babel.hathitrust.org/cgi/pt?id=uc2.ark:/13960/t3zs2nm1d</v>
      </c>
      <c r="H4718" t="str">
        <f>HYPERLINK("http://catalog.hathitrust.org/Record/007679010")</f>
        <v>http://catalog.hathitrust.org/Record/007679010</v>
      </c>
      <c r="J4718" s="1">
        <v>1890</v>
      </c>
      <c r="K4718" t="s">
        <v>9793</v>
      </c>
      <c r="L4718" t="s">
        <v>20773</v>
      </c>
    </row>
    <row r="4719" spans="1:12">
      <c r="A4719" t="s">
        <v>9794</v>
      </c>
      <c r="B4719" s="1" t="s">
        <v>9795</v>
      </c>
      <c r="F4719">
        <v>1</v>
      </c>
      <c r="G4719" t="str">
        <f>HYPERLINK("http://babel.hathitrust.org/cgi/pt?id=uc2.ark:/13960/t4zg6jg50")</f>
        <v>http://babel.hathitrust.org/cgi/pt?id=uc2.ark:/13960/t4zg6jg50</v>
      </c>
      <c r="H4719" t="str">
        <f>HYPERLINK("http://catalog.hathitrust.org/Record/007679370")</f>
        <v>http://catalog.hathitrust.org/Record/007679370</v>
      </c>
      <c r="J4719" s="1">
        <v>1910</v>
      </c>
      <c r="K4719" t="s">
        <v>9796</v>
      </c>
      <c r="L4719" t="s">
        <v>17835</v>
      </c>
    </row>
    <row r="4720" spans="1:12">
      <c r="A4720" t="s">
        <v>9797</v>
      </c>
      <c r="B4720" s="1" t="s">
        <v>9798</v>
      </c>
      <c r="E4720">
        <v>1</v>
      </c>
      <c r="G4720" t="str">
        <f>HYPERLINK("http://babel.hathitrust.org/cgi/pt?id=nyp.33433066598594")</f>
        <v>http://babel.hathitrust.org/cgi/pt?id=nyp.33433066598594</v>
      </c>
      <c r="H4720" t="str">
        <f>HYPERLINK("http://catalog.hathitrust.org/Record/007680260")</f>
        <v>http://catalog.hathitrust.org/Record/007680260</v>
      </c>
      <c r="I4720" s="1" t="s">
        <v>20803</v>
      </c>
      <c r="J4720" s="1">
        <v>1837</v>
      </c>
      <c r="K4720" t="s">
        <v>15049</v>
      </c>
      <c r="L4720" t="s">
        <v>15050</v>
      </c>
    </row>
    <row r="4721" spans="1:12">
      <c r="A4721" t="s">
        <v>9799</v>
      </c>
      <c r="B4721" s="1" t="s">
        <v>9798</v>
      </c>
      <c r="E4721">
        <v>1</v>
      </c>
      <c r="G4721" t="str">
        <f>HYPERLINK("http://babel.hathitrust.org/cgi/pt?id=nyp.33433066598602")</f>
        <v>http://babel.hathitrust.org/cgi/pt?id=nyp.33433066598602</v>
      </c>
      <c r="H4721" t="str">
        <f>HYPERLINK("http://catalog.hathitrust.org/Record/007680260")</f>
        <v>http://catalog.hathitrust.org/Record/007680260</v>
      </c>
      <c r="I4721" s="1" t="s">
        <v>20801</v>
      </c>
      <c r="J4721" s="1">
        <v>1837</v>
      </c>
      <c r="K4721" t="s">
        <v>15049</v>
      </c>
      <c r="L4721" t="s">
        <v>15050</v>
      </c>
    </row>
    <row r="4722" spans="1:12">
      <c r="A4722" t="s">
        <v>9800</v>
      </c>
      <c r="B4722" s="1" t="s">
        <v>9798</v>
      </c>
      <c r="E4722">
        <v>1</v>
      </c>
      <c r="G4722" t="str">
        <f>HYPERLINK("http://babel.hathitrust.org/cgi/pt?id=nyp.33433066598610")</f>
        <v>http://babel.hathitrust.org/cgi/pt?id=nyp.33433066598610</v>
      </c>
      <c r="H4722" t="str">
        <f>HYPERLINK("http://catalog.hathitrust.org/Record/007680260")</f>
        <v>http://catalog.hathitrust.org/Record/007680260</v>
      </c>
      <c r="I4722" s="1" t="s">
        <v>20799</v>
      </c>
      <c r="J4722" s="1">
        <v>1837</v>
      </c>
      <c r="K4722" t="s">
        <v>15049</v>
      </c>
      <c r="L4722" t="s">
        <v>15050</v>
      </c>
    </row>
    <row r="4723" spans="1:12">
      <c r="A4723" t="s">
        <v>9801</v>
      </c>
      <c r="B4723" s="1" t="s">
        <v>9798</v>
      </c>
      <c r="E4723">
        <v>1</v>
      </c>
      <c r="G4723" t="str">
        <f>HYPERLINK("http://babel.hathitrust.org/cgi/pt?id=nyp.33433066598628")</f>
        <v>http://babel.hathitrust.org/cgi/pt?id=nyp.33433066598628</v>
      </c>
      <c r="H4723" t="str">
        <f>HYPERLINK("http://catalog.hathitrust.org/Record/007680260")</f>
        <v>http://catalog.hathitrust.org/Record/007680260</v>
      </c>
      <c r="I4723" s="1" t="s">
        <v>20796</v>
      </c>
      <c r="J4723" s="1">
        <v>1837</v>
      </c>
      <c r="K4723" t="s">
        <v>15049</v>
      </c>
      <c r="L4723" t="s">
        <v>15050</v>
      </c>
    </row>
    <row r="4724" spans="1:12">
      <c r="A4724" t="s">
        <v>9802</v>
      </c>
      <c r="B4724" s="1" t="s">
        <v>9803</v>
      </c>
      <c r="F4724">
        <v>1</v>
      </c>
      <c r="G4724" t="str">
        <f>HYPERLINK("http://babel.hathitrust.org/cgi/pt?id=hvd.hx5dn8")</f>
        <v>http://babel.hathitrust.org/cgi/pt?id=hvd.hx5dn8</v>
      </c>
      <c r="H4724" t="str">
        <f>HYPERLINK("http://catalog.hathitrust.org/Record/007680694")</f>
        <v>http://catalog.hathitrust.org/Record/007680694</v>
      </c>
      <c r="J4724" s="1">
        <v>1870</v>
      </c>
      <c r="K4724" t="s">
        <v>9804</v>
      </c>
      <c r="L4724" t="s">
        <v>9805</v>
      </c>
    </row>
    <row r="4725" spans="1:12">
      <c r="A4725" t="s">
        <v>9700</v>
      </c>
      <c r="B4725" s="1" t="s">
        <v>9803</v>
      </c>
      <c r="F4725">
        <v>1</v>
      </c>
      <c r="G4725" t="str">
        <f>HYPERLINK("http://babel.hathitrust.org/cgi/pt?id=uc2.ark:/13960/t6f18vs9v")</f>
        <v>http://babel.hathitrust.org/cgi/pt?id=uc2.ark:/13960/t6f18vs9v</v>
      </c>
      <c r="H4725" t="str">
        <f>HYPERLINK("http://catalog.hathitrust.org/Record/007680694")</f>
        <v>http://catalog.hathitrust.org/Record/007680694</v>
      </c>
      <c r="J4725" s="1">
        <v>1870</v>
      </c>
      <c r="K4725" t="s">
        <v>9804</v>
      </c>
      <c r="L4725" t="s">
        <v>9805</v>
      </c>
    </row>
    <row r="4726" spans="1:12">
      <c r="A4726" t="s">
        <v>9701</v>
      </c>
      <c r="B4726" s="1" t="s">
        <v>9702</v>
      </c>
      <c r="D4726">
        <v>1</v>
      </c>
      <c r="G4726" t="str">
        <f>HYPERLINK("http://babel.hathitrust.org/cgi/pt?id=nyp.33433082502851")</f>
        <v>http://babel.hathitrust.org/cgi/pt?id=nyp.33433082502851</v>
      </c>
      <c r="H4726" t="str">
        <f>HYPERLINK("http://catalog.hathitrust.org/Record/007680980")</f>
        <v>http://catalog.hathitrust.org/Record/007680980</v>
      </c>
      <c r="J4726" s="1">
        <v>1855</v>
      </c>
      <c r="K4726" t="s">
        <v>15472</v>
      </c>
      <c r="L4726" t="s">
        <v>15473</v>
      </c>
    </row>
    <row r="4727" spans="1:12">
      <c r="A4727" t="s">
        <v>9703</v>
      </c>
      <c r="B4727" s="1" t="s">
        <v>9704</v>
      </c>
      <c r="F4727">
        <v>1</v>
      </c>
      <c r="G4727" t="str">
        <f>HYPERLINK("http://babel.hathitrust.org/cgi/pt?id=nyp.33433074906482")</f>
        <v>http://babel.hathitrust.org/cgi/pt?id=nyp.33433074906482</v>
      </c>
      <c r="H4727" t="str">
        <f>HYPERLINK("http://catalog.hathitrust.org/Record/007681370")</f>
        <v>http://catalog.hathitrust.org/Record/007681370</v>
      </c>
      <c r="J4727" s="1">
        <v>1893</v>
      </c>
      <c r="K4727" t="s">
        <v>20025</v>
      </c>
      <c r="L4727" t="s">
        <v>20026</v>
      </c>
    </row>
    <row r="4728" spans="1:12">
      <c r="A4728" t="s">
        <v>9705</v>
      </c>
      <c r="B4728" s="1" t="s">
        <v>9704</v>
      </c>
      <c r="F4728">
        <v>1</v>
      </c>
      <c r="G4728" t="str">
        <f>HYPERLINK("http://babel.hathitrust.org/cgi/pt?id=uc2.ark:/13960/t5p846676")</f>
        <v>http://babel.hathitrust.org/cgi/pt?id=uc2.ark:/13960/t5p846676</v>
      </c>
      <c r="H4728" t="str">
        <f>HYPERLINK("http://catalog.hathitrust.org/Record/007681370")</f>
        <v>http://catalog.hathitrust.org/Record/007681370</v>
      </c>
      <c r="J4728" s="1">
        <v>1893</v>
      </c>
      <c r="K4728" t="s">
        <v>20025</v>
      </c>
      <c r="L4728" t="s">
        <v>20026</v>
      </c>
    </row>
    <row r="4729" spans="1:12">
      <c r="A4729" t="s">
        <v>9706</v>
      </c>
      <c r="B4729" s="1" t="s">
        <v>9707</v>
      </c>
      <c r="F4729">
        <v>1</v>
      </c>
      <c r="G4729" t="str">
        <f>HYPERLINK("http://babel.hathitrust.org/cgi/pt?id=hvd.hwp9ci")</f>
        <v>http://babel.hathitrust.org/cgi/pt?id=hvd.hwp9ci</v>
      </c>
      <c r="H4729" t="str">
        <f>HYPERLINK("http://catalog.hathitrust.org/Record/007681586")</f>
        <v>http://catalog.hathitrust.org/Record/007681586</v>
      </c>
      <c r="J4729" s="1">
        <v>1862</v>
      </c>
      <c r="K4729" t="s">
        <v>9708</v>
      </c>
      <c r="L4729" t="s">
        <v>13169</v>
      </c>
    </row>
    <row r="4730" spans="1:12">
      <c r="A4730" t="s">
        <v>9709</v>
      </c>
      <c r="B4730" s="1" t="s">
        <v>9707</v>
      </c>
      <c r="F4730">
        <v>1</v>
      </c>
      <c r="G4730" t="str">
        <f>HYPERLINK("http://babel.hathitrust.org/cgi/pt?id=uc2.ark:/13960/t11n81m4c")</f>
        <v>http://babel.hathitrust.org/cgi/pt?id=uc2.ark:/13960/t11n81m4c</v>
      </c>
      <c r="H4730" t="str">
        <f>HYPERLINK("http://catalog.hathitrust.org/Record/007681586")</f>
        <v>http://catalog.hathitrust.org/Record/007681586</v>
      </c>
      <c r="J4730" s="1">
        <v>1862</v>
      </c>
      <c r="K4730" t="s">
        <v>9708</v>
      </c>
      <c r="L4730" t="s">
        <v>13169</v>
      </c>
    </row>
    <row r="4731" spans="1:12">
      <c r="A4731" t="s">
        <v>9710</v>
      </c>
      <c r="B4731" s="1" t="s">
        <v>9711</v>
      </c>
      <c r="F4731">
        <v>1</v>
      </c>
      <c r="G4731" t="str">
        <f>HYPERLINK("http://babel.hathitrust.org/cgi/pt?id=uc2.ark:/13960/t9d50js33")</f>
        <v>http://babel.hathitrust.org/cgi/pt?id=uc2.ark:/13960/t9d50js33</v>
      </c>
      <c r="H4731" t="str">
        <f>HYPERLINK("http://catalog.hathitrust.org/Record/007682138")</f>
        <v>http://catalog.hathitrust.org/Record/007682138</v>
      </c>
      <c r="J4731" s="1">
        <v>1887</v>
      </c>
      <c r="K4731" t="s">
        <v>9712</v>
      </c>
      <c r="L4731" t="s">
        <v>9713</v>
      </c>
    </row>
    <row r="4732" spans="1:12">
      <c r="A4732" t="s">
        <v>9714</v>
      </c>
      <c r="B4732" s="1" t="s">
        <v>9715</v>
      </c>
      <c r="E4732">
        <v>1</v>
      </c>
      <c r="G4732" t="str">
        <f>HYPERLINK("http://babel.hathitrust.org/cgi/pt?id=uc2.ark:/13960/t7jq0wc32")</f>
        <v>http://babel.hathitrust.org/cgi/pt?id=uc2.ark:/13960/t7jq0wc32</v>
      </c>
      <c r="H4732" t="str">
        <f>HYPERLINK("http://catalog.hathitrust.org/Record/007682373")</f>
        <v>http://catalog.hathitrust.org/Record/007682373</v>
      </c>
      <c r="J4732" s="1">
        <v>1898</v>
      </c>
      <c r="K4732" t="s">
        <v>9716</v>
      </c>
      <c r="L4732" t="s">
        <v>19796</v>
      </c>
    </row>
    <row r="4733" spans="1:12">
      <c r="A4733" t="s">
        <v>9717</v>
      </c>
      <c r="B4733" s="1" t="s">
        <v>9718</v>
      </c>
      <c r="F4733">
        <v>1</v>
      </c>
      <c r="G4733" t="str">
        <f>HYPERLINK("http://babel.hathitrust.org/cgi/pt?id=uc2.ark:/13960/t7xk87415")</f>
        <v>http://babel.hathitrust.org/cgi/pt?id=uc2.ark:/13960/t7xk87415</v>
      </c>
      <c r="H4733" t="str">
        <f>HYPERLINK("http://catalog.hathitrust.org/Record/007682894")</f>
        <v>http://catalog.hathitrust.org/Record/007682894</v>
      </c>
      <c r="J4733" s="1">
        <v>1890</v>
      </c>
      <c r="K4733" t="s">
        <v>13954</v>
      </c>
      <c r="L4733" t="s">
        <v>19690</v>
      </c>
    </row>
    <row r="4734" spans="1:12">
      <c r="A4734" t="s">
        <v>9719</v>
      </c>
      <c r="B4734" s="1" t="s">
        <v>9720</v>
      </c>
      <c r="F4734">
        <v>1</v>
      </c>
      <c r="G4734" t="str">
        <f>HYPERLINK("http://babel.hathitrust.org/cgi/pt?id=nyp.33433069240608")</f>
        <v>http://babel.hathitrust.org/cgi/pt?id=nyp.33433069240608</v>
      </c>
      <c r="H4734" t="str">
        <f>HYPERLINK("http://catalog.hathitrust.org/Record/007683056")</f>
        <v>http://catalog.hathitrust.org/Record/007683056</v>
      </c>
      <c r="I4734" s="1" t="s">
        <v>9722</v>
      </c>
      <c r="J4734" s="1">
        <v>1896</v>
      </c>
      <c r="K4734" t="s">
        <v>9721</v>
      </c>
      <c r="L4734" t="s">
        <v>19487</v>
      </c>
    </row>
    <row r="4735" spans="1:12">
      <c r="A4735" t="s">
        <v>9723</v>
      </c>
      <c r="B4735" s="1" t="s">
        <v>9720</v>
      </c>
      <c r="F4735">
        <v>1</v>
      </c>
      <c r="G4735" t="str">
        <f>HYPERLINK("http://babel.hathitrust.org/cgi/pt?id=uc2.ark:/13960/t6736pc23")</f>
        <v>http://babel.hathitrust.org/cgi/pt?id=uc2.ark:/13960/t6736pc23</v>
      </c>
      <c r="H4735" t="str">
        <f>HYPERLINK("http://catalog.hathitrust.org/Record/007683056")</f>
        <v>http://catalog.hathitrust.org/Record/007683056</v>
      </c>
      <c r="J4735" s="1">
        <v>1896</v>
      </c>
      <c r="K4735" t="s">
        <v>9721</v>
      </c>
      <c r="L4735" t="s">
        <v>19487</v>
      </c>
    </row>
    <row r="4736" spans="1:12">
      <c r="A4736" t="s">
        <v>9724</v>
      </c>
      <c r="B4736" s="1" t="s">
        <v>9725</v>
      </c>
      <c r="F4736">
        <v>1</v>
      </c>
      <c r="G4736" t="str">
        <f>HYPERLINK("http://babel.hathitrust.org/cgi/pt?id=uc2.ark:/13960/t2988502z")</f>
        <v>http://babel.hathitrust.org/cgi/pt?id=uc2.ark:/13960/t2988502z</v>
      </c>
      <c r="H4736" t="str">
        <f>HYPERLINK("http://catalog.hathitrust.org/Record/007683113")</f>
        <v>http://catalog.hathitrust.org/Record/007683113</v>
      </c>
      <c r="J4736" s="1">
        <v>1891</v>
      </c>
      <c r="K4736" t="s">
        <v>9726</v>
      </c>
      <c r="L4736" t="s">
        <v>9727</v>
      </c>
    </row>
    <row r="4737" spans="1:12">
      <c r="A4737" t="s">
        <v>9728</v>
      </c>
      <c r="B4737" s="1" t="s">
        <v>9729</v>
      </c>
      <c r="F4737">
        <v>1</v>
      </c>
      <c r="G4737" t="str">
        <f>HYPERLINK("http://babel.hathitrust.org/cgi/pt?id=uc2.ark:/13960/t1dj5cf0k")</f>
        <v>http://babel.hathitrust.org/cgi/pt?id=uc2.ark:/13960/t1dj5cf0k</v>
      </c>
      <c r="H4737" t="str">
        <f>HYPERLINK("http://catalog.hathitrust.org/Record/007683114")</f>
        <v>http://catalog.hathitrust.org/Record/007683114</v>
      </c>
      <c r="J4737" s="1">
        <v>1891</v>
      </c>
      <c r="K4737" t="s">
        <v>9730</v>
      </c>
      <c r="L4737" t="s">
        <v>20872</v>
      </c>
    </row>
    <row r="4738" spans="1:12">
      <c r="A4738" t="s">
        <v>9731</v>
      </c>
      <c r="B4738" s="1" t="s">
        <v>9732</v>
      </c>
      <c r="F4738">
        <v>1</v>
      </c>
      <c r="G4738" t="str">
        <f>HYPERLINK("http://babel.hathitrust.org/cgi/pt?id=uc2.ark:/13960/t8tb11c32")</f>
        <v>http://babel.hathitrust.org/cgi/pt?id=uc2.ark:/13960/t8tb11c32</v>
      </c>
      <c r="H4738" t="str">
        <f>HYPERLINK("http://catalog.hathitrust.org/Record/007683407")</f>
        <v>http://catalog.hathitrust.org/Record/007683407</v>
      </c>
      <c r="J4738" s="1">
        <v>1900</v>
      </c>
      <c r="K4738" t="s">
        <v>9733</v>
      </c>
      <c r="L4738" t="s">
        <v>9734</v>
      </c>
    </row>
    <row r="4739" spans="1:12">
      <c r="A4739" t="s">
        <v>9735</v>
      </c>
      <c r="B4739" s="1" t="s">
        <v>9736</v>
      </c>
      <c r="E4739">
        <v>1</v>
      </c>
      <c r="G4739" t="str">
        <f>HYPERLINK("http://babel.hathitrust.org/cgi/pt?id=uc2.ark:/13960/t90865x2f")</f>
        <v>http://babel.hathitrust.org/cgi/pt?id=uc2.ark:/13960/t90865x2f</v>
      </c>
      <c r="H4739" t="str">
        <f>HYPERLINK("http://catalog.hathitrust.org/Record/007683511")</f>
        <v>http://catalog.hathitrust.org/Record/007683511</v>
      </c>
      <c r="J4739" s="1">
        <v>1872</v>
      </c>
      <c r="K4739" t="s">
        <v>9737</v>
      </c>
      <c r="L4739" t="s">
        <v>12960</v>
      </c>
    </row>
    <row r="4740" spans="1:12">
      <c r="A4740" t="s">
        <v>9738</v>
      </c>
      <c r="B4740" s="1" t="s">
        <v>9739</v>
      </c>
      <c r="F4740">
        <v>1</v>
      </c>
      <c r="G4740" t="str">
        <f>HYPERLINK("http://babel.hathitrust.org/cgi/pt?id=uc2.ark:/13960/t78s4n96f")</f>
        <v>http://babel.hathitrust.org/cgi/pt?id=uc2.ark:/13960/t78s4n96f</v>
      </c>
      <c r="H4740" t="str">
        <f>HYPERLINK("http://catalog.hathitrust.org/Record/007683639")</f>
        <v>http://catalog.hathitrust.org/Record/007683639</v>
      </c>
      <c r="J4740" s="1">
        <v>1846</v>
      </c>
      <c r="K4740" t="s">
        <v>9740</v>
      </c>
      <c r="L4740" t="s">
        <v>16039</v>
      </c>
    </row>
    <row r="4741" spans="1:12">
      <c r="A4741" t="s">
        <v>9741</v>
      </c>
      <c r="B4741" s="1" t="s">
        <v>9742</v>
      </c>
      <c r="F4741">
        <v>1</v>
      </c>
      <c r="G4741" t="str">
        <f>HYPERLINK("http://babel.hathitrust.org/cgi/pt?id=njp.32101072898503")</f>
        <v>http://babel.hathitrust.org/cgi/pt?id=njp.32101072898503</v>
      </c>
      <c r="H4741" t="str">
        <f>HYPERLINK("http://catalog.hathitrust.org/Record/007684305")</f>
        <v>http://catalog.hathitrust.org/Record/007684305</v>
      </c>
      <c r="J4741" s="1">
        <v>1911</v>
      </c>
      <c r="K4741" t="s">
        <v>9743</v>
      </c>
      <c r="L4741" t="s">
        <v>9744</v>
      </c>
    </row>
    <row r="4742" spans="1:12">
      <c r="A4742" t="s">
        <v>9745</v>
      </c>
      <c r="B4742" s="1" t="s">
        <v>9742</v>
      </c>
      <c r="F4742">
        <v>1</v>
      </c>
      <c r="G4742" t="str">
        <f>HYPERLINK("http://babel.hathitrust.org/cgi/pt?id=uc2.ark:/13960/t5gb21w56")</f>
        <v>http://babel.hathitrust.org/cgi/pt?id=uc2.ark:/13960/t5gb21w56</v>
      </c>
      <c r="H4742" t="str">
        <f>HYPERLINK("http://catalog.hathitrust.org/Record/007684305")</f>
        <v>http://catalog.hathitrust.org/Record/007684305</v>
      </c>
      <c r="J4742" s="1">
        <v>1911</v>
      </c>
      <c r="K4742" t="s">
        <v>9743</v>
      </c>
      <c r="L4742" t="s">
        <v>9744</v>
      </c>
    </row>
    <row r="4743" spans="1:12">
      <c r="A4743" t="s">
        <v>9746</v>
      </c>
      <c r="B4743" s="1" t="s">
        <v>9747</v>
      </c>
      <c r="F4743">
        <v>1</v>
      </c>
      <c r="G4743" t="str">
        <f>HYPERLINK("http://babel.hathitrust.org/cgi/pt?id=uc2.ark:/13960/t9v120c7f")</f>
        <v>http://babel.hathitrust.org/cgi/pt?id=uc2.ark:/13960/t9v120c7f</v>
      </c>
      <c r="H4743" t="str">
        <f>HYPERLINK("http://catalog.hathitrust.org/Record/007684803")</f>
        <v>http://catalog.hathitrust.org/Record/007684803</v>
      </c>
      <c r="J4743" s="1">
        <v>1919</v>
      </c>
      <c r="K4743" t="s">
        <v>9748</v>
      </c>
      <c r="L4743" t="s">
        <v>17236</v>
      </c>
    </row>
    <row r="4744" spans="1:12">
      <c r="A4744" t="s">
        <v>9749</v>
      </c>
      <c r="B4744" s="1" t="s">
        <v>9750</v>
      </c>
      <c r="E4744">
        <v>1</v>
      </c>
      <c r="F4744">
        <v>1</v>
      </c>
      <c r="G4744" t="str">
        <f>HYPERLINK("http://babel.hathitrust.org/cgi/pt?id=uc2.ark:/13960/t4hm5972g")</f>
        <v>http://babel.hathitrust.org/cgi/pt?id=uc2.ark:/13960/t4hm5972g</v>
      </c>
      <c r="H4744" t="str">
        <f>HYPERLINK("http://catalog.hathitrust.org/Record/007684991")</f>
        <v>http://catalog.hathitrust.org/Record/007684991</v>
      </c>
      <c r="J4744" s="1">
        <v>1887</v>
      </c>
      <c r="K4744" t="s">
        <v>9751</v>
      </c>
      <c r="L4744" t="s">
        <v>9752</v>
      </c>
    </row>
    <row r="4745" spans="1:12">
      <c r="A4745" t="s">
        <v>9644</v>
      </c>
      <c r="B4745" s="1" t="s">
        <v>9645</v>
      </c>
      <c r="F4745">
        <v>1</v>
      </c>
      <c r="G4745" t="str">
        <f>HYPERLINK("http://babel.hathitrust.org/cgi/pt?id=uc2.ark:/13960/t5j963q43")</f>
        <v>http://babel.hathitrust.org/cgi/pt?id=uc2.ark:/13960/t5j963q43</v>
      </c>
      <c r="H4745" t="str">
        <f>HYPERLINK("http://catalog.hathitrust.org/Record/007685066")</f>
        <v>http://catalog.hathitrust.org/Record/007685066</v>
      </c>
      <c r="J4745" s="1">
        <v>1808</v>
      </c>
      <c r="K4745" t="s">
        <v>9646</v>
      </c>
      <c r="L4745" t="s">
        <v>9647</v>
      </c>
    </row>
    <row r="4746" spans="1:12">
      <c r="A4746" t="s">
        <v>9648</v>
      </c>
      <c r="B4746" s="1" t="s">
        <v>9649</v>
      </c>
      <c r="F4746">
        <v>1</v>
      </c>
      <c r="G4746" t="str">
        <f>HYPERLINK("http://babel.hathitrust.org/cgi/pt?id=uc2.ark:/13960/t40r9sn6t")</f>
        <v>http://babel.hathitrust.org/cgi/pt?id=uc2.ark:/13960/t40r9sn6t</v>
      </c>
      <c r="H4746" t="str">
        <f>HYPERLINK("http://catalog.hathitrust.org/Record/007685122")</f>
        <v>http://catalog.hathitrust.org/Record/007685122</v>
      </c>
      <c r="J4746" s="1">
        <v>1908</v>
      </c>
      <c r="K4746" t="s">
        <v>9650</v>
      </c>
      <c r="L4746" t="s">
        <v>9651</v>
      </c>
    </row>
    <row r="4747" spans="1:12">
      <c r="A4747" t="s">
        <v>9652</v>
      </c>
      <c r="B4747" s="1" t="s">
        <v>9649</v>
      </c>
      <c r="F4747">
        <v>1</v>
      </c>
      <c r="G4747" t="str">
        <f>HYPERLINK("http://babel.hathitrust.org/cgi/pt?id=wu.89099900946")</f>
        <v>http://babel.hathitrust.org/cgi/pt?id=wu.89099900946</v>
      </c>
      <c r="H4747" t="str">
        <f>HYPERLINK("http://catalog.hathitrust.org/Record/007685122")</f>
        <v>http://catalog.hathitrust.org/Record/007685122</v>
      </c>
      <c r="J4747" s="1">
        <v>1908</v>
      </c>
      <c r="K4747" t="s">
        <v>9650</v>
      </c>
      <c r="L4747" t="s">
        <v>9651</v>
      </c>
    </row>
    <row r="4748" spans="1:12" ht="15">
      <c r="A4748" t="s">
        <v>9653</v>
      </c>
      <c r="B4748" s="1" t="s">
        <v>9654</v>
      </c>
      <c r="F4748">
        <v>1</v>
      </c>
      <c r="G4748" t="str">
        <f>HYPERLINK("http://babel.hathitrust.org/cgi/pt?id=uc2.ark:/13960/t16m37b6j")</f>
        <v>http://babel.hathitrust.org/cgi/pt?id=uc2.ark:/13960/t16m37b6j</v>
      </c>
      <c r="H4748" t="str">
        <f>HYPERLINK("http://catalog.hathitrust.org/Record/007685196")</f>
        <v>http://catalog.hathitrust.org/Record/007685196</v>
      </c>
      <c r="J4748" s="1">
        <v>1887</v>
      </c>
      <c r="K4748" t="s">
        <v>9655</v>
      </c>
      <c r="L4748" t="s">
        <v>9656</v>
      </c>
    </row>
    <row r="4749" spans="1:12">
      <c r="A4749" t="s">
        <v>9657</v>
      </c>
      <c r="B4749" s="1" t="s">
        <v>9658</v>
      </c>
      <c r="F4749">
        <v>1</v>
      </c>
      <c r="G4749" t="str">
        <f>HYPERLINK("http://babel.hathitrust.org/cgi/pt?id=uc1.31158005738439")</f>
        <v>http://babel.hathitrust.org/cgi/pt?id=uc1.31158005738439</v>
      </c>
      <c r="H4749" t="str">
        <f>HYPERLINK("http://catalog.hathitrust.org/Record/007685443")</f>
        <v>http://catalog.hathitrust.org/Record/007685443</v>
      </c>
      <c r="I4749" s="1" t="s">
        <v>20755</v>
      </c>
      <c r="K4749" t="s">
        <v>9659</v>
      </c>
      <c r="L4749" t="s">
        <v>19827</v>
      </c>
    </row>
    <row r="4750" spans="1:12">
      <c r="A4750" t="s">
        <v>9660</v>
      </c>
      <c r="B4750" s="1" t="s">
        <v>9658</v>
      </c>
      <c r="F4750">
        <v>1</v>
      </c>
      <c r="G4750" t="str">
        <f>HYPERLINK("http://babel.hathitrust.org/cgi/pt?id=uc1.l0070922554")</f>
        <v>http://babel.hathitrust.org/cgi/pt?id=uc1.l0070922554</v>
      </c>
      <c r="H4750" t="str">
        <f>HYPERLINK("http://catalog.hathitrust.org/Record/007685443")</f>
        <v>http://catalog.hathitrust.org/Record/007685443</v>
      </c>
      <c r="I4750" s="1" t="s">
        <v>20755</v>
      </c>
      <c r="K4750" t="s">
        <v>9659</v>
      </c>
      <c r="L4750" t="s">
        <v>19827</v>
      </c>
    </row>
    <row r="4751" spans="1:12">
      <c r="A4751" t="s">
        <v>9661</v>
      </c>
      <c r="B4751" s="1" t="s">
        <v>9658</v>
      </c>
      <c r="F4751">
        <v>1</v>
      </c>
      <c r="G4751" t="str">
        <f>HYPERLINK("http://babel.hathitrust.org/cgi/pt?id=uc2.ark:/13960/t1fj2dz6s")</f>
        <v>http://babel.hathitrust.org/cgi/pt?id=uc2.ark:/13960/t1fj2dz6s</v>
      </c>
      <c r="H4751" t="str">
        <f>HYPERLINK("http://catalog.hathitrust.org/Record/007685443")</f>
        <v>http://catalog.hathitrust.org/Record/007685443</v>
      </c>
      <c r="I4751" s="1" t="s">
        <v>20755</v>
      </c>
      <c r="K4751" t="s">
        <v>9659</v>
      </c>
      <c r="L4751" t="s">
        <v>19827</v>
      </c>
    </row>
    <row r="4752" spans="1:12">
      <c r="A4752" t="s">
        <v>9662</v>
      </c>
      <c r="B4752" s="1" t="s">
        <v>9663</v>
      </c>
      <c r="F4752">
        <v>1</v>
      </c>
      <c r="G4752" t="str">
        <f>HYPERLINK("http://babel.hathitrust.org/cgi/pt?id=uc2.ark:/13960/t5m906c7n")</f>
        <v>http://babel.hathitrust.org/cgi/pt?id=uc2.ark:/13960/t5m906c7n</v>
      </c>
      <c r="H4752" t="str">
        <f>HYPERLINK("http://catalog.hathitrust.org/Record/007685450")</f>
        <v>http://catalog.hathitrust.org/Record/007685450</v>
      </c>
      <c r="I4752" s="1" t="s">
        <v>15826</v>
      </c>
      <c r="J4752" s="1">
        <v>1912</v>
      </c>
      <c r="K4752" t="s">
        <v>9664</v>
      </c>
      <c r="L4752" t="s">
        <v>9665</v>
      </c>
    </row>
    <row r="4753" spans="1:12">
      <c r="A4753" t="s">
        <v>9666</v>
      </c>
      <c r="B4753" s="1" t="s">
        <v>9663</v>
      </c>
      <c r="F4753">
        <v>1</v>
      </c>
      <c r="G4753" t="str">
        <f>HYPERLINK("http://babel.hathitrust.org/cgi/pt?id=uc2.ark:/13960/t8df6qm3p")</f>
        <v>http://babel.hathitrust.org/cgi/pt?id=uc2.ark:/13960/t8df6qm3p</v>
      </c>
      <c r="H4753" t="str">
        <f>HYPERLINK("http://catalog.hathitrust.org/Record/007685450")</f>
        <v>http://catalog.hathitrust.org/Record/007685450</v>
      </c>
      <c r="I4753" s="1" t="s">
        <v>15823</v>
      </c>
      <c r="J4753" s="1">
        <v>1912</v>
      </c>
      <c r="K4753" t="s">
        <v>9664</v>
      </c>
      <c r="L4753" t="s">
        <v>9665</v>
      </c>
    </row>
    <row r="4754" spans="1:12">
      <c r="A4754" t="s">
        <v>9667</v>
      </c>
      <c r="B4754" s="1" t="s">
        <v>9663</v>
      </c>
      <c r="F4754">
        <v>1</v>
      </c>
      <c r="G4754" t="str">
        <f>HYPERLINK("http://babel.hathitrust.org/cgi/pt?id=wu.89099427304")</f>
        <v>http://babel.hathitrust.org/cgi/pt?id=wu.89099427304</v>
      </c>
      <c r="H4754" t="str">
        <f>HYPERLINK("http://catalog.hathitrust.org/Record/007685450")</f>
        <v>http://catalog.hathitrust.org/Record/007685450</v>
      </c>
      <c r="I4754" s="1" t="s">
        <v>20916</v>
      </c>
      <c r="J4754" s="1">
        <v>1912</v>
      </c>
      <c r="K4754" t="s">
        <v>9664</v>
      </c>
      <c r="L4754" t="s">
        <v>9665</v>
      </c>
    </row>
    <row r="4755" spans="1:12">
      <c r="A4755" t="s">
        <v>9668</v>
      </c>
      <c r="B4755" s="1" t="s">
        <v>9663</v>
      </c>
      <c r="F4755">
        <v>1</v>
      </c>
      <c r="G4755" t="str">
        <f>HYPERLINK("http://babel.hathitrust.org/cgi/pt?id=wu.89099427312")</f>
        <v>http://babel.hathitrust.org/cgi/pt?id=wu.89099427312</v>
      </c>
      <c r="H4755" t="str">
        <f>HYPERLINK("http://catalog.hathitrust.org/Record/007685450")</f>
        <v>http://catalog.hathitrust.org/Record/007685450</v>
      </c>
      <c r="I4755" s="1" t="s">
        <v>20755</v>
      </c>
      <c r="J4755" s="1">
        <v>1912</v>
      </c>
      <c r="K4755" t="s">
        <v>9664</v>
      </c>
      <c r="L4755" t="s">
        <v>9665</v>
      </c>
    </row>
    <row r="4756" spans="1:12">
      <c r="A4756" t="s">
        <v>9669</v>
      </c>
      <c r="B4756" s="1" t="s">
        <v>9670</v>
      </c>
      <c r="D4756">
        <v>1</v>
      </c>
      <c r="G4756" t="str">
        <f>HYPERLINK("http://babel.hathitrust.org/cgi/pt?id=uc2.ark:/13960/t4rj4b46k")</f>
        <v>http://babel.hathitrust.org/cgi/pt?id=uc2.ark:/13960/t4rj4b46k</v>
      </c>
      <c r="H4756" t="str">
        <f>HYPERLINK("http://catalog.hathitrust.org/Record/007685590")</f>
        <v>http://catalog.hathitrust.org/Record/007685590</v>
      </c>
      <c r="I4756" s="1" t="s">
        <v>20916</v>
      </c>
      <c r="J4756" s="1">
        <v>1778</v>
      </c>
      <c r="K4756" t="s">
        <v>9671</v>
      </c>
      <c r="L4756" t="s">
        <v>20275</v>
      </c>
    </row>
    <row r="4757" spans="1:12">
      <c r="A4757" t="s">
        <v>9672</v>
      </c>
      <c r="B4757" s="1" t="s">
        <v>9673</v>
      </c>
      <c r="F4757">
        <v>1</v>
      </c>
      <c r="G4757" t="str">
        <f>HYPERLINK("http://babel.hathitrust.org/cgi/pt?id=njp.32101063582967")</f>
        <v>http://babel.hathitrust.org/cgi/pt?id=njp.32101063582967</v>
      </c>
      <c r="H4757" t="str">
        <f>HYPERLINK("http://catalog.hathitrust.org/Record/007685609")</f>
        <v>http://catalog.hathitrust.org/Record/007685609</v>
      </c>
      <c r="J4757" s="1">
        <v>1874</v>
      </c>
      <c r="K4757" t="s">
        <v>9674</v>
      </c>
      <c r="L4757" t="s">
        <v>9675</v>
      </c>
    </row>
    <row r="4758" spans="1:12">
      <c r="A4758" t="s">
        <v>9676</v>
      </c>
      <c r="B4758" s="1" t="s">
        <v>9673</v>
      </c>
      <c r="F4758">
        <v>1</v>
      </c>
      <c r="G4758" t="str">
        <f>HYPERLINK("http://babel.hathitrust.org/cgi/pt?id=nyp.33433087357848")</f>
        <v>http://babel.hathitrust.org/cgi/pt?id=nyp.33433087357848</v>
      </c>
      <c r="H4758" t="str">
        <f>HYPERLINK("http://catalog.hathitrust.org/Record/007685609")</f>
        <v>http://catalog.hathitrust.org/Record/007685609</v>
      </c>
      <c r="J4758" s="1">
        <v>1874</v>
      </c>
      <c r="K4758" t="s">
        <v>9674</v>
      </c>
      <c r="L4758" t="s">
        <v>9675</v>
      </c>
    </row>
    <row r="4759" spans="1:12">
      <c r="A4759" t="s">
        <v>9677</v>
      </c>
      <c r="B4759" s="1" t="s">
        <v>9673</v>
      </c>
      <c r="F4759">
        <v>1</v>
      </c>
      <c r="G4759" t="str">
        <f>HYPERLINK("http://babel.hathitrust.org/cgi/pt?id=uc2.ark:/13960/t6vx0d751")</f>
        <v>http://babel.hathitrust.org/cgi/pt?id=uc2.ark:/13960/t6vx0d751</v>
      </c>
      <c r="H4759" t="str">
        <f>HYPERLINK("http://catalog.hathitrust.org/Record/007685609")</f>
        <v>http://catalog.hathitrust.org/Record/007685609</v>
      </c>
      <c r="J4759" s="1">
        <v>1874</v>
      </c>
      <c r="K4759" t="s">
        <v>9674</v>
      </c>
      <c r="L4759" t="s">
        <v>9675</v>
      </c>
    </row>
    <row r="4760" spans="1:12">
      <c r="A4760" t="s">
        <v>9678</v>
      </c>
      <c r="B4760" s="1" t="s">
        <v>9679</v>
      </c>
      <c r="E4760">
        <v>1</v>
      </c>
      <c r="G4760" t="str">
        <f>HYPERLINK("http://babel.hathitrust.org/cgi/pt?id=uc2.ark:/13960/t41r6td87")</f>
        <v>http://babel.hathitrust.org/cgi/pt?id=uc2.ark:/13960/t41r6td87</v>
      </c>
      <c r="H4760" t="str">
        <f>HYPERLINK("http://catalog.hathitrust.org/Record/007685618")</f>
        <v>http://catalog.hathitrust.org/Record/007685618</v>
      </c>
      <c r="J4760" s="1">
        <v>1907</v>
      </c>
      <c r="K4760" t="s">
        <v>9680</v>
      </c>
      <c r="L4760" t="s">
        <v>20629</v>
      </c>
    </row>
    <row r="4761" spans="1:12">
      <c r="A4761" t="s">
        <v>9681</v>
      </c>
      <c r="B4761" s="1" t="s">
        <v>9682</v>
      </c>
      <c r="E4761">
        <v>1</v>
      </c>
      <c r="G4761" t="str">
        <f>HYPERLINK("http://babel.hathitrust.org/cgi/pt?id=uc2.ark:/13960/t3rv0k39s")</f>
        <v>http://babel.hathitrust.org/cgi/pt?id=uc2.ark:/13960/t3rv0k39s</v>
      </c>
      <c r="H4761" t="str">
        <f>HYPERLINK("http://catalog.hathitrust.org/Record/007685619")</f>
        <v>http://catalog.hathitrust.org/Record/007685619</v>
      </c>
      <c r="J4761" s="1">
        <v>1846</v>
      </c>
      <c r="K4761" t="s">
        <v>9683</v>
      </c>
      <c r="L4761" t="s">
        <v>20629</v>
      </c>
    </row>
    <row r="4762" spans="1:12">
      <c r="A4762" t="s">
        <v>9684</v>
      </c>
      <c r="B4762" s="1" t="s">
        <v>9685</v>
      </c>
      <c r="E4762">
        <v>1</v>
      </c>
      <c r="F4762">
        <v>1</v>
      </c>
      <c r="G4762" t="str">
        <f>HYPERLINK("http://babel.hathitrust.org/cgi/pt?id=loc.ark:/13960/t3vt2gf5f")</f>
        <v>http://babel.hathitrust.org/cgi/pt?id=loc.ark:/13960/t3vt2gf5f</v>
      </c>
      <c r="H4762" t="str">
        <f>HYPERLINK("http://catalog.hathitrust.org/Record/007685864")</f>
        <v>http://catalog.hathitrust.org/Record/007685864</v>
      </c>
      <c r="J4762" s="1">
        <v>1913</v>
      </c>
      <c r="K4762" t="s">
        <v>15441</v>
      </c>
      <c r="L4762" t="s">
        <v>18982</v>
      </c>
    </row>
    <row r="4763" spans="1:12">
      <c r="A4763" t="s">
        <v>9686</v>
      </c>
      <c r="B4763" s="1" t="s">
        <v>9685</v>
      </c>
      <c r="F4763">
        <v>1</v>
      </c>
      <c r="G4763" t="str">
        <f>HYPERLINK("http://babel.hathitrust.org/cgi/pt?id=uc1.$b657871")</f>
        <v>http://babel.hathitrust.org/cgi/pt?id=uc1.$b657871</v>
      </c>
      <c r="H4763" t="str">
        <f>HYPERLINK("http://catalog.hathitrust.org/Record/007685864")</f>
        <v>http://catalog.hathitrust.org/Record/007685864</v>
      </c>
      <c r="J4763" s="1">
        <v>1913</v>
      </c>
      <c r="K4763" t="s">
        <v>15441</v>
      </c>
      <c r="L4763" t="s">
        <v>18982</v>
      </c>
    </row>
    <row r="4764" spans="1:12">
      <c r="A4764" t="s">
        <v>9687</v>
      </c>
      <c r="B4764" s="1" t="s">
        <v>9685</v>
      </c>
      <c r="F4764">
        <v>1</v>
      </c>
      <c r="G4764" t="str">
        <f>HYPERLINK("http://babel.hathitrust.org/cgi/pt?id=uc2.ark:/13960/t9x062g6x")</f>
        <v>http://babel.hathitrust.org/cgi/pt?id=uc2.ark:/13960/t9x062g6x</v>
      </c>
      <c r="H4764" t="str">
        <f>HYPERLINK("http://catalog.hathitrust.org/Record/007685864")</f>
        <v>http://catalog.hathitrust.org/Record/007685864</v>
      </c>
      <c r="J4764" s="1">
        <v>1913</v>
      </c>
      <c r="K4764" t="s">
        <v>15441</v>
      </c>
      <c r="L4764" t="s">
        <v>18982</v>
      </c>
    </row>
    <row r="4765" spans="1:12">
      <c r="A4765" t="s">
        <v>9688</v>
      </c>
      <c r="B4765" s="1" t="s">
        <v>9689</v>
      </c>
      <c r="D4765">
        <v>1</v>
      </c>
      <c r="G4765" t="str">
        <f>HYPERLINK("http://babel.hathitrust.org/cgi/pt?id=uc2.ark:/13960/t0dv1f91d")</f>
        <v>http://babel.hathitrust.org/cgi/pt?id=uc2.ark:/13960/t0dv1f91d</v>
      </c>
      <c r="H4765" t="str">
        <f>HYPERLINK("http://catalog.hathitrust.org/Record/007686027")</f>
        <v>http://catalog.hathitrust.org/Record/007686027</v>
      </c>
      <c r="I4765" s="1" t="s">
        <v>9690</v>
      </c>
      <c r="J4765" s="1">
        <v>1790</v>
      </c>
      <c r="K4765" t="s">
        <v>19693</v>
      </c>
      <c r="L4765" t="s">
        <v>19694</v>
      </c>
    </row>
    <row r="4766" spans="1:12">
      <c r="A4766" t="s">
        <v>9691</v>
      </c>
      <c r="B4766" s="1" t="s">
        <v>9689</v>
      </c>
      <c r="D4766">
        <v>1</v>
      </c>
      <c r="G4766" t="str">
        <f>HYPERLINK("http://babel.hathitrust.org/cgi/pt?id=uc2.ark:/13960/t7fq9s87w")</f>
        <v>http://babel.hathitrust.org/cgi/pt?id=uc2.ark:/13960/t7fq9s87w</v>
      </c>
      <c r="H4766" t="str">
        <f>HYPERLINK("http://catalog.hathitrust.org/Record/007686027")</f>
        <v>http://catalog.hathitrust.org/Record/007686027</v>
      </c>
      <c r="I4766" s="1" t="s">
        <v>9692</v>
      </c>
      <c r="J4766" s="1">
        <v>1790</v>
      </c>
      <c r="K4766" t="s">
        <v>19693</v>
      </c>
      <c r="L4766" t="s">
        <v>19694</v>
      </c>
    </row>
    <row r="4767" spans="1:12">
      <c r="A4767" t="s">
        <v>9693</v>
      </c>
      <c r="B4767" s="1" t="s">
        <v>9689</v>
      </c>
      <c r="D4767">
        <v>1</v>
      </c>
      <c r="G4767" t="str">
        <f>HYPERLINK("http://babel.hathitrust.org/cgi/pt?id=uc2.ark:/13960/t7vm4503q")</f>
        <v>http://babel.hathitrust.org/cgi/pt?id=uc2.ark:/13960/t7vm4503q</v>
      </c>
      <c r="H4767" t="str">
        <f>HYPERLINK("http://catalog.hathitrust.org/Record/007686027")</f>
        <v>http://catalog.hathitrust.org/Record/007686027</v>
      </c>
      <c r="I4767" s="1" t="s">
        <v>9694</v>
      </c>
      <c r="J4767" s="1">
        <v>1790</v>
      </c>
      <c r="K4767" t="s">
        <v>19693</v>
      </c>
      <c r="L4767" t="s">
        <v>19694</v>
      </c>
    </row>
    <row r="4768" spans="1:12">
      <c r="A4768" t="s">
        <v>9695</v>
      </c>
      <c r="B4768" s="1" t="s">
        <v>9696</v>
      </c>
      <c r="F4768">
        <v>1</v>
      </c>
      <c r="G4768" t="str">
        <f>HYPERLINK("http://babel.hathitrust.org/cgi/pt?id=uc2.ark:/13960/t6542p800")</f>
        <v>http://babel.hathitrust.org/cgi/pt?id=uc2.ark:/13960/t6542p800</v>
      </c>
      <c r="H4768" t="str">
        <f>HYPERLINK("http://catalog.hathitrust.org/Record/007686224")</f>
        <v>http://catalog.hathitrust.org/Record/007686224</v>
      </c>
      <c r="J4768" s="1">
        <v>1904</v>
      </c>
      <c r="K4768" t="s">
        <v>9697</v>
      </c>
      <c r="L4768" t="s">
        <v>17875</v>
      </c>
    </row>
    <row r="4769" spans="1:12">
      <c r="A4769" t="s">
        <v>9698</v>
      </c>
      <c r="B4769" s="1" t="s">
        <v>9699</v>
      </c>
      <c r="E4769">
        <v>1</v>
      </c>
      <c r="F4769">
        <v>1</v>
      </c>
      <c r="G4769" t="str">
        <f>HYPERLINK("http://babel.hathitrust.org/cgi/pt?id=nyp.33433082310891")</f>
        <v>http://babel.hathitrust.org/cgi/pt?id=nyp.33433082310891</v>
      </c>
      <c r="H4769" t="str">
        <f>HYPERLINK("http://catalog.hathitrust.org/Record/007686235")</f>
        <v>http://catalog.hathitrust.org/Record/007686235</v>
      </c>
      <c r="J4769" s="1">
        <v>1872</v>
      </c>
      <c r="K4769" t="s">
        <v>9602</v>
      </c>
      <c r="L4769" t="s">
        <v>15662</v>
      </c>
    </row>
    <row r="4770" spans="1:12">
      <c r="A4770" t="s">
        <v>9603</v>
      </c>
      <c r="B4770" s="1" t="s">
        <v>9699</v>
      </c>
      <c r="F4770">
        <v>1</v>
      </c>
      <c r="G4770" t="str">
        <f>HYPERLINK("http://babel.hathitrust.org/cgi/pt?id=uc2.ark:/13960/t1kh0k24c")</f>
        <v>http://babel.hathitrust.org/cgi/pt?id=uc2.ark:/13960/t1kh0k24c</v>
      </c>
      <c r="H4770" t="str">
        <f>HYPERLINK("http://catalog.hathitrust.org/Record/007686235")</f>
        <v>http://catalog.hathitrust.org/Record/007686235</v>
      </c>
      <c r="J4770" s="1">
        <v>1872</v>
      </c>
      <c r="K4770" t="s">
        <v>9602</v>
      </c>
      <c r="L4770" t="s">
        <v>15662</v>
      </c>
    </row>
    <row r="4771" spans="1:12">
      <c r="A4771" t="s">
        <v>9604</v>
      </c>
      <c r="B4771" s="1" t="s">
        <v>9605</v>
      </c>
      <c r="F4771">
        <v>1</v>
      </c>
      <c r="G4771" t="str">
        <f>HYPERLINK("http://babel.hathitrust.org/cgi/pt?id=uc2.ark:/13960/t6c24v139")</f>
        <v>http://babel.hathitrust.org/cgi/pt?id=uc2.ark:/13960/t6c24v139</v>
      </c>
      <c r="H4771" t="str">
        <f>HYPERLINK("http://catalog.hathitrust.org/Record/007686269")</f>
        <v>http://catalog.hathitrust.org/Record/007686269</v>
      </c>
      <c r="J4771" s="1">
        <v>1790</v>
      </c>
      <c r="K4771" t="s">
        <v>9606</v>
      </c>
      <c r="L4771" t="s">
        <v>9607</v>
      </c>
    </row>
    <row r="4772" spans="1:12">
      <c r="A4772" t="s">
        <v>9608</v>
      </c>
      <c r="B4772" s="1" t="s">
        <v>9609</v>
      </c>
      <c r="F4772">
        <v>1</v>
      </c>
      <c r="G4772" t="str">
        <f>HYPERLINK("http://babel.hathitrust.org/cgi/pt?id=nyp.33433081988796")</f>
        <v>http://babel.hathitrust.org/cgi/pt?id=nyp.33433081988796</v>
      </c>
      <c r="H4772" t="str">
        <f>HYPERLINK("http://catalog.hathitrust.org/Record/007686296")</f>
        <v>http://catalog.hathitrust.org/Record/007686296</v>
      </c>
      <c r="J4772" s="1">
        <v>1895</v>
      </c>
      <c r="K4772" t="s">
        <v>9610</v>
      </c>
      <c r="L4772" t="s">
        <v>10406</v>
      </c>
    </row>
    <row r="4773" spans="1:12">
      <c r="A4773" t="s">
        <v>9611</v>
      </c>
      <c r="B4773" s="1" t="s">
        <v>9609</v>
      </c>
      <c r="F4773">
        <v>1</v>
      </c>
      <c r="G4773" t="str">
        <f>HYPERLINK("http://babel.hathitrust.org/cgi/pt?id=uc2.ark:/13960/t3pv6gf0b")</f>
        <v>http://babel.hathitrust.org/cgi/pt?id=uc2.ark:/13960/t3pv6gf0b</v>
      </c>
      <c r="H4773" t="str">
        <f>HYPERLINK("http://catalog.hathitrust.org/Record/007686296")</f>
        <v>http://catalog.hathitrust.org/Record/007686296</v>
      </c>
      <c r="J4773" s="1">
        <v>1895</v>
      </c>
      <c r="K4773" t="s">
        <v>9610</v>
      </c>
      <c r="L4773" t="s">
        <v>10406</v>
      </c>
    </row>
    <row r="4774" spans="1:12">
      <c r="A4774" t="s">
        <v>9612</v>
      </c>
      <c r="B4774" s="1" t="s">
        <v>9613</v>
      </c>
      <c r="F4774">
        <v>1</v>
      </c>
      <c r="G4774" t="str">
        <f>HYPERLINK("http://babel.hathitrust.org/cgi/pt?id=uc2.ark:/13960/t9r20xg07")</f>
        <v>http://babel.hathitrust.org/cgi/pt?id=uc2.ark:/13960/t9r20xg07</v>
      </c>
      <c r="H4774" t="str">
        <f>HYPERLINK("http://catalog.hathitrust.org/Record/007686306")</f>
        <v>http://catalog.hathitrust.org/Record/007686306</v>
      </c>
      <c r="J4774" s="1">
        <v>1580</v>
      </c>
      <c r="K4774" t="s">
        <v>9614</v>
      </c>
      <c r="L4774" t="s">
        <v>9615</v>
      </c>
    </row>
    <row r="4775" spans="1:12">
      <c r="A4775" t="s">
        <v>9616</v>
      </c>
      <c r="B4775" s="1" t="s">
        <v>9617</v>
      </c>
      <c r="F4775">
        <v>1</v>
      </c>
      <c r="G4775" t="str">
        <f>HYPERLINK("http://babel.hathitrust.org/cgi/pt?id=uc2.ark:/13960/t0vq2x885")</f>
        <v>http://babel.hathitrust.org/cgi/pt?id=uc2.ark:/13960/t0vq2x885</v>
      </c>
      <c r="H4775" t="str">
        <f>HYPERLINK("http://catalog.hathitrust.org/Record/007686413")</f>
        <v>http://catalog.hathitrust.org/Record/007686413</v>
      </c>
      <c r="J4775" s="1">
        <v>1889</v>
      </c>
      <c r="K4775" t="s">
        <v>9618</v>
      </c>
      <c r="L4775" t="s">
        <v>9619</v>
      </c>
    </row>
    <row r="4776" spans="1:12">
      <c r="A4776" t="s">
        <v>9620</v>
      </c>
      <c r="B4776" s="1" t="s">
        <v>9621</v>
      </c>
      <c r="F4776">
        <v>1</v>
      </c>
      <c r="G4776" t="str">
        <f>HYPERLINK("http://babel.hathitrust.org/cgi/pt?id=uc2.ark:/13960/t1bk1bc6c")</f>
        <v>http://babel.hathitrust.org/cgi/pt?id=uc2.ark:/13960/t1bk1bc6c</v>
      </c>
      <c r="H4776" t="str">
        <f>HYPERLINK("http://catalog.hathitrust.org/Record/007686510")</f>
        <v>http://catalog.hathitrust.org/Record/007686510</v>
      </c>
      <c r="J4776" s="1">
        <v>1906</v>
      </c>
      <c r="K4776" t="s">
        <v>10427</v>
      </c>
      <c r="L4776" t="s">
        <v>18982</v>
      </c>
    </row>
    <row r="4777" spans="1:12">
      <c r="A4777" t="s">
        <v>9622</v>
      </c>
      <c r="B4777" s="1" t="s">
        <v>9623</v>
      </c>
      <c r="F4777">
        <v>1</v>
      </c>
      <c r="G4777" t="str">
        <f>HYPERLINK("http://babel.hathitrust.org/cgi/pt?id=uc2.ark:/13960/t5v69dp9p")</f>
        <v>http://babel.hathitrust.org/cgi/pt?id=uc2.ark:/13960/t5v69dp9p</v>
      </c>
      <c r="H4777" t="str">
        <f>HYPERLINK("http://catalog.hathitrust.org/Record/007686546")</f>
        <v>http://catalog.hathitrust.org/Record/007686546</v>
      </c>
      <c r="J4777" s="1">
        <v>1915</v>
      </c>
      <c r="K4777" t="s">
        <v>9624</v>
      </c>
      <c r="L4777" t="s">
        <v>9625</v>
      </c>
    </row>
    <row r="4778" spans="1:12">
      <c r="A4778" t="s">
        <v>9626</v>
      </c>
      <c r="B4778" s="1" t="s">
        <v>9627</v>
      </c>
      <c r="F4778">
        <v>1</v>
      </c>
      <c r="G4778" t="str">
        <f>HYPERLINK("http://babel.hathitrust.org/cgi/pt?id=uc2.ark:/13960/t1mg7kf4x")</f>
        <v>http://babel.hathitrust.org/cgi/pt?id=uc2.ark:/13960/t1mg7kf4x</v>
      </c>
      <c r="H4778" t="str">
        <f>HYPERLINK("http://catalog.hathitrust.org/Record/007686640")</f>
        <v>http://catalog.hathitrust.org/Record/007686640</v>
      </c>
      <c r="J4778" s="1">
        <v>1904</v>
      </c>
      <c r="K4778" t="s">
        <v>9628</v>
      </c>
      <c r="L4778" t="s">
        <v>9629</v>
      </c>
    </row>
    <row r="4779" spans="1:12">
      <c r="A4779" t="s">
        <v>9630</v>
      </c>
      <c r="B4779" s="1" t="s">
        <v>9631</v>
      </c>
      <c r="F4779">
        <v>1</v>
      </c>
      <c r="G4779" t="str">
        <f>HYPERLINK("http://babel.hathitrust.org/cgi/pt?id=uc2.ark:/13960/t24b31w45")</f>
        <v>http://babel.hathitrust.org/cgi/pt?id=uc2.ark:/13960/t24b31w45</v>
      </c>
      <c r="H4779" t="str">
        <f>HYPERLINK("http://catalog.hathitrust.org/Record/007686658")</f>
        <v>http://catalog.hathitrust.org/Record/007686658</v>
      </c>
      <c r="I4779" s="1" t="s">
        <v>15823</v>
      </c>
      <c r="J4779" s="1">
        <v>1906</v>
      </c>
      <c r="K4779" t="s">
        <v>9632</v>
      </c>
      <c r="L4779" t="s">
        <v>9633</v>
      </c>
    </row>
    <row r="4780" spans="1:12">
      <c r="A4780" t="s">
        <v>9634</v>
      </c>
      <c r="B4780" s="1" t="s">
        <v>9631</v>
      </c>
      <c r="F4780">
        <v>1</v>
      </c>
      <c r="G4780" t="str">
        <f>HYPERLINK("http://babel.hathitrust.org/cgi/pt?id=uc2.ark:/13960/t9z033b76")</f>
        <v>http://babel.hathitrust.org/cgi/pt?id=uc2.ark:/13960/t9z033b76</v>
      </c>
      <c r="H4780" t="str">
        <f>HYPERLINK("http://catalog.hathitrust.org/Record/007686658")</f>
        <v>http://catalog.hathitrust.org/Record/007686658</v>
      </c>
      <c r="I4780" s="1" t="s">
        <v>15826</v>
      </c>
      <c r="J4780" s="1">
        <v>1906</v>
      </c>
      <c r="K4780" t="s">
        <v>9632</v>
      </c>
      <c r="L4780" t="s">
        <v>9633</v>
      </c>
    </row>
    <row r="4781" spans="1:12">
      <c r="A4781" t="s">
        <v>9635</v>
      </c>
      <c r="B4781" s="1" t="s">
        <v>9636</v>
      </c>
      <c r="F4781">
        <v>1</v>
      </c>
      <c r="G4781" t="str">
        <f>HYPERLINK("http://babel.hathitrust.org/cgi/pt?id=uc2.ark:/13960/t49p31h58")</f>
        <v>http://babel.hathitrust.org/cgi/pt?id=uc2.ark:/13960/t49p31h58</v>
      </c>
      <c r="H4781" t="str">
        <f>HYPERLINK("http://catalog.hathitrust.org/Record/007686765")</f>
        <v>http://catalog.hathitrust.org/Record/007686765</v>
      </c>
      <c r="J4781" s="1">
        <v>1912</v>
      </c>
      <c r="K4781" t="s">
        <v>9637</v>
      </c>
      <c r="L4781" t="s">
        <v>9638</v>
      </c>
    </row>
    <row r="4782" spans="1:12">
      <c r="A4782" t="s">
        <v>9639</v>
      </c>
      <c r="B4782" s="1" t="s">
        <v>9640</v>
      </c>
      <c r="F4782">
        <v>1</v>
      </c>
      <c r="G4782" t="str">
        <f>HYPERLINK("http://babel.hathitrust.org/cgi/pt?id=uc2.ark:/13960/t83j3gv50")</f>
        <v>http://babel.hathitrust.org/cgi/pt?id=uc2.ark:/13960/t83j3gv50</v>
      </c>
      <c r="H4782" t="str">
        <f>HYPERLINK("http://catalog.hathitrust.org/Record/007686847")</f>
        <v>http://catalog.hathitrust.org/Record/007686847</v>
      </c>
      <c r="J4782" s="1">
        <v>1896</v>
      </c>
      <c r="K4782" t="s">
        <v>9641</v>
      </c>
      <c r="L4782" t="s">
        <v>9642</v>
      </c>
    </row>
    <row r="4783" spans="1:12">
      <c r="A4783" t="s">
        <v>9643</v>
      </c>
      <c r="B4783" s="1" t="s">
        <v>9548</v>
      </c>
      <c r="F4783">
        <v>1</v>
      </c>
      <c r="G4783" t="str">
        <f>HYPERLINK("http://babel.hathitrust.org/cgi/pt?id=uc2.ark:/13960/t4rj4f28w")</f>
        <v>http://babel.hathitrust.org/cgi/pt?id=uc2.ark:/13960/t4rj4f28w</v>
      </c>
      <c r="H4783" t="str">
        <f>HYPERLINK("http://catalog.hathitrust.org/Record/007686980")</f>
        <v>http://catalog.hathitrust.org/Record/007686980</v>
      </c>
      <c r="J4783" s="1">
        <v>1893</v>
      </c>
      <c r="K4783" t="s">
        <v>9549</v>
      </c>
      <c r="L4783" t="s">
        <v>19492</v>
      </c>
    </row>
    <row r="4784" spans="1:12">
      <c r="A4784" t="s">
        <v>9550</v>
      </c>
      <c r="B4784" s="1" t="s">
        <v>9551</v>
      </c>
      <c r="F4784">
        <v>1</v>
      </c>
      <c r="G4784" t="str">
        <f>HYPERLINK("http://babel.hathitrust.org/cgi/pt?id=coo.31924065040119")</f>
        <v>http://babel.hathitrust.org/cgi/pt?id=coo.31924065040119</v>
      </c>
      <c r="H4784" t="str">
        <f>HYPERLINK("http://catalog.hathitrust.org/Record/007687045")</f>
        <v>http://catalog.hathitrust.org/Record/007687045</v>
      </c>
      <c r="I4784" s="1" t="s">
        <v>20755</v>
      </c>
      <c r="J4784" s="1">
        <v>1874</v>
      </c>
      <c r="K4784" t="s">
        <v>9552</v>
      </c>
      <c r="L4784" t="s">
        <v>17914</v>
      </c>
    </row>
    <row r="4785" spans="1:12">
      <c r="A4785" t="s">
        <v>9553</v>
      </c>
      <c r="B4785" s="1" t="s">
        <v>9551</v>
      </c>
      <c r="F4785">
        <v>1</v>
      </c>
      <c r="G4785" t="str">
        <f>HYPERLINK("http://babel.hathitrust.org/cgi/pt?id=uc2.ark:/13960/t9j38qp4w")</f>
        <v>http://babel.hathitrust.org/cgi/pt?id=uc2.ark:/13960/t9j38qp4w</v>
      </c>
      <c r="H4785" t="str">
        <f>HYPERLINK("http://catalog.hathitrust.org/Record/007687045")</f>
        <v>http://catalog.hathitrust.org/Record/007687045</v>
      </c>
      <c r="I4785" s="1" t="s">
        <v>20916</v>
      </c>
      <c r="J4785" s="1">
        <v>1874</v>
      </c>
      <c r="K4785" t="s">
        <v>9552</v>
      </c>
      <c r="L4785" t="s">
        <v>17914</v>
      </c>
    </row>
    <row r="4786" spans="1:12">
      <c r="A4786" t="s">
        <v>9554</v>
      </c>
      <c r="B4786" s="1" t="s">
        <v>9555</v>
      </c>
      <c r="F4786">
        <v>1</v>
      </c>
      <c r="G4786" t="str">
        <f>HYPERLINK("http://babel.hathitrust.org/cgi/pt?id=nyp.33433082504170")</f>
        <v>http://babel.hathitrust.org/cgi/pt?id=nyp.33433082504170</v>
      </c>
      <c r="H4786" t="str">
        <f>HYPERLINK("http://catalog.hathitrust.org/Record/007687206")</f>
        <v>http://catalog.hathitrust.org/Record/007687206</v>
      </c>
      <c r="J4786" s="1">
        <v>1897</v>
      </c>
      <c r="K4786" t="s">
        <v>9556</v>
      </c>
      <c r="L4786" t="s">
        <v>9557</v>
      </c>
    </row>
    <row r="4787" spans="1:12">
      <c r="A4787" t="s">
        <v>9558</v>
      </c>
      <c r="B4787" s="1" t="s">
        <v>9555</v>
      </c>
      <c r="F4787">
        <v>1</v>
      </c>
      <c r="G4787" t="str">
        <f>HYPERLINK("http://babel.hathitrust.org/cgi/pt?id=uc2.ark:/13960/t9765hb9f")</f>
        <v>http://babel.hathitrust.org/cgi/pt?id=uc2.ark:/13960/t9765hb9f</v>
      </c>
      <c r="H4787" t="str">
        <f>HYPERLINK("http://catalog.hathitrust.org/Record/007687206")</f>
        <v>http://catalog.hathitrust.org/Record/007687206</v>
      </c>
      <c r="J4787" s="1">
        <v>1897</v>
      </c>
      <c r="K4787" t="s">
        <v>9556</v>
      </c>
      <c r="L4787" t="s">
        <v>9557</v>
      </c>
    </row>
    <row r="4788" spans="1:12">
      <c r="A4788" t="s">
        <v>9559</v>
      </c>
      <c r="B4788" s="1" t="s">
        <v>9560</v>
      </c>
      <c r="E4788">
        <v>1</v>
      </c>
      <c r="G4788" t="str">
        <f>HYPERLINK("http://babel.hathitrust.org/cgi/pt?id=uc2.ark:/13960/t2n58gr4k")</f>
        <v>http://babel.hathitrust.org/cgi/pt?id=uc2.ark:/13960/t2n58gr4k</v>
      </c>
      <c r="H4788" t="str">
        <f>HYPERLINK("http://catalog.hathitrust.org/Record/007687264")</f>
        <v>http://catalog.hathitrust.org/Record/007687264</v>
      </c>
      <c r="I4788" s="1" t="s">
        <v>20916</v>
      </c>
      <c r="J4788" s="1">
        <v>1813</v>
      </c>
      <c r="K4788" t="s">
        <v>9561</v>
      </c>
      <c r="L4788" t="s">
        <v>9562</v>
      </c>
    </row>
    <row r="4789" spans="1:12">
      <c r="A4789" t="s">
        <v>9563</v>
      </c>
      <c r="B4789" s="1" t="s">
        <v>9560</v>
      </c>
      <c r="E4789">
        <v>1</v>
      </c>
      <c r="G4789" t="str">
        <f>HYPERLINK("http://babel.hathitrust.org/cgi/pt?id=uc2.ark:/13960/t3rv0h75t")</f>
        <v>http://babel.hathitrust.org/cgi/pt?id=uc2.ark:/13960/t3rv0h75t</v>
      </c>
      <c r="H4789" t="str">
        <f>HYPERLINK("http://catalog.hathitrust.org/Record/007687264")</f>
        <v>http://catalog.hathitrust.org/Record/007687264</v>
      </c>
      <c r="I4789" s="1" t="s">
        <v>20755</v>
      </c>
      <c r="J4789" s="1">
        <v>1813</v>
      </c>
      <c r="K4789" t="s">
        <v>9561</v>
      </c>
      <c r="L4789" t="s">
        <v>9562</v>
      </c>
    </row>
    <row r="4790" spans="1:12">
      <c r="A4790" t="s">
        <v>9564</v>
      </c>
      <c r="B4790" s="1" t="s">
        <v>9560</v>
      </c>
      <c r="E4790">
        <v>1</v>
      </c>
      <c r="G4790" t="str">
        <f>HYPERLINK("http://babel.hathitrust.org/cgi/pt?id=umn.31951001701649x")</f>
        <v>http://babel.hathitrust.org/cgi/pt?id=umn.31951001701649x</v>
      </c>
      <c r="H4790" t="str">
        <f>HYPERLINK("http://catalog.hathitrust.org/Record/007687264")</f>
        <v>http://catalog.hathitrust.org/Record/007687264</v>
      </c>
      <c r="I4790" s="1" t="s">
        <v>17397</v>
      </c>
      <c r="J4790" s="1">
        <v>1813</v>
      </c>
      <c r="K4790" t="s">
        <v>9561</v>
      </c>
      <c r="L4790" t="s">
        <v>9562</v>
      </c>
    </row>
    <row r="4791" spans="1:12">
      <c r="A4791" t="s">
        <v>9565</v>
      </c>
      <c r="B4791" s="1" t="s">
        <v>9566</v>
      </c>
      <c r="F4791">
        <v>1</v>
      </c>
      <c r="G4791" t="str">
        <f>HYPERLINK("http://babel.hathitrust.org/cgi/pt?id=njp.32101056308727")</f>
        <v>http://babel.hathitrust.org/cgi/pt?id=njp.32101056308727</v>
      </c>
      <c r="H4791" t="str">
        <f>HYPERLINK("http://catalog.hathitrust.org/Record/007687376")</f>
        <v>http://catalog.hathitrust.org/Record/007687376</v>
      </c>
      <c r="J4791" s="1">
        <v>1920</v>
      </c>
      <c r="K4791" t="s">
        <v>9567</v>
      </c>
      <c r="L4791" t="s">
        <v>15824</v>
      </c>
    </row>
    <row r="4792" spans="1:12">
      <c r="A4792" t="s">
        <v>9568</v>
      </c>
      <c r="B4792" s="1" t="s">
        <v>9566</v>
      </c>
      <c r="F4792">
        <v>1</v>
      </c>
      <c r="G4792" t="str">
        <f>HYPERLINK("http://babel.hathitrust.org/cgi/pt?id=uc2.ark:/13960/t03x8935j")</f>
        <v>http://babel.hathitrust.org/cgi/pt?id=uc2.ark:/13960/t03x8935j</v>
      </c>
      <c r="H4792" t="str">
        <f>HYPERLINK("http://catalog.hathitrust.org/Record/007687376")</f>
        <v>http://catalog.hathitrust.org/Record/007687376</v>
      </c>
      <c r="J4792" s="1">
        <v>1920</v>
      </c>
      <c r="K4792" t="s">
        <v>9567</v>
      </c>
      <c r="L4792" t="s">
        <v>15824</v>
      </c>
    </row>
    <row r="4793" spans="1:12">
      <c r="A4793" t="s">
        <v>9569</v>
      </c>
      <c r="B4793" s="1" t="s">
        <v>9570</v>
      </c>
      <c r="E4793">
        <v>1</v>
      </c>
      <c r="G4793" t="str">
        <f>HYPERLINK("http://babel.hathitrust.org/cgi/pt?id=nyp.33433076036510")</f>
        <v>http://babel.hathitrust.org/cgi/pt?id=nyp.33433076036510</v>
      </c>
      <c r="H4793" t="str">
        <f>HYPERLINK("http://catalog.hathitrust.org/Record/007687655")</f>
        <v>http://catalog.hathitrust.org/Record/007687655</v>
      </c>
      <c r="I4793" s="1" t="s">
        <v>20796</v>
      </c>
      <c r="J4793" s="1">
        <v>1805</v>
      </c>
      <c r="K4793" t="s">
        <v>9571</v>
      </c>
      <c r="L4793" t="s">
        <v>20753</v>
      </c>
    </row>
    <row r="4794" spans="1:12">
      <c r="A4794" t="s">
        <v>9572</v>
      </c>
      <c r="B4794" s="1" t="s">
        <v>9570</v>
      </c>
      <c r="E4794">
        <v>1</v>
      </c>
      <c r="G4794" t="str">
        <f>HYPERLINK("http://babel.hathitrust.org/cgi/pt?id=nyp.33433076036528")</f>
        <v>http://babel.hathitrust.org/cgi/pt?id=nyp.33433076036528</v>
      </c>
      <c r="H4794" t="str">
        <f>HYPERLINK("http://catalog.hathitrust.org/Record/007687655")</f>
        <v>http://catalog.hathitrust.org/Record/007687655</v>
      </c>
      <c r="I4794" s="1" t="s">
        <v>20799</v>
      </c>
      <c r="J4794" s="1">
        <v>1805</v>
      </c>
      <c r="K4794" t="s">
        <v>9571</v>
      </c>
      <c r="L4794" t="s">
        <v>20753</v>
      </c>
    </row>
    <row r="4795" spans="1:12">
      <c r="A4795" t="s">
        <v>9573</v>
      </c>
      <c r="B4795" s="1" t="s">
        <v>9570</v>
      </c>
      <c r="E4795">
        <v>1</v>
      </c>
      <c r="G4795" t="str">
        <f>HYPERLINK("http://babel.hathitrust.org/cgi/pt?id=nyp.33433076036536")</f>
        <v>http://babel.hathitrust.org/cgi/pt?id=nyp.33433076036536</v>
      </c>
      <c r="H4795" t="str">
        <f>HYPERLINK("http://catalog.hathitrust.org/Record/007687655")</f>
        <v>http://catalog.hathitrust.org/Record/007687655</v>
      </c>
      <c r="I4795" s="1" t="s">
        <v>20801</v>
      </c>
      <c r="J4795" s="1">
        <v>1805</v>
      </c>
      <c r="K4795" t="s">
        <v>9571</v>
      </c>
      <c r="L4795" t="s">
        <v>20753</v>
      </c>
    </row>
    <row r="4796" spans="1:12">
      <c r="A4796" t="s">
        <v>9574</v>
      </c>
      <c r="B4796" s="1" t="s">
        <v>9575</v>
      </c>
      <c r="E4796">
        <v>1</v>
      </c>
      <c r="F4796">
        <v>1</v>
      </c>
      <c r="G4796" t="str">
        <f>HYPERLINK("http://babel.hathitrust.org/cgi/pt?id=uc2.ark:/13960/t6nz84p8h")</f>
        <v>http://babel.hathitrust.org/cgi/pt?id=uc2.ark:/13960/t6nz84p8h</v>
      </c>
      <c r="H4796" t="str">
        <f>HYPERLINK("http://catalog.hathitrust.org/Record/007687681")</f>
        <v>http://catalog.hathitrust.org/Record/007687681</v>
      </c>
      <c r="J4796" s="1">
        <v>1907</v>
      </c>
      <c r="K4796" t="s">
        <v>9576</v>
      </c>
    </row>
    <row r="4797" spans="1:12">
      <c r="A4797" t="s">
        <v>9577</v>
      </c>
      <c r="B4797" s="1" t="s">
        <v>9578</v>
      </c>
      <c r="F4797">
        <v>1</v>
      </c>
      <c r="G4797" t="str">
        <f>HYPERLINK("http://babel.hathitrust.org/cgi/pt?id=uc1.31158008787334")</f>
        <v>http://babel.hathitrust.org/cgi/pt?id=uc1.31158008787334</v>
      </c>
      <c r="H4797" t="str">
        <f>HYPERLINK("http://catalog.hathitrust.org/Record/007687797")</f>
        <v>http://catalog.hathitrust.org/Record/007687797</v>
      </c>
      <c r="J4797" s="1">
        <v>1915</v>
      </c>
      <c r="K4797" t="s">
        <v>9579</v>
      </c>
      <c r="L4797" t="s">
        <v>11270</v>
      </c>
    </row>
    <row r="4798" spans="1:12">
      <c r="A4798" t="s">
        <v>9580</v>
      </c>
      <c r="B4798" s="1" t="s">
        <v>9578</v>
      </c>
      <c r="F4798">
        <v>1</v>
      </c>
      <c r="G4798" t="str">
        <f>HYPERLINK("http://babel.hathitrust.org/cgi/pt?id=uc1.l0071842702")</f>
        <v>http://babel.hathitrust.org/cgi/pt?id=uc1.l0071842702</v>
      </c>
      <c r="H4798" t="str">
        <f>HYPERLINK("http://catalog.hathitrust.org/Record/007687797")</f>
        <v>http://catalog.hathitrust.org/Record/007687797</v>
      </c>
      <c r="J4798" s="1">
        <v>1915</v>
      </c>
      <c r="K4798" t="s">
        <v>9579</v>
      </c>
      <c r="L4798" t="s">
        <v>11270</v>
      </c>
    </row>
    <row r="4799" spans="1:12">
      <c r="A4799" t="s">
        <v>9581</v>
      </c>
      <c r="B4799" s="1" t="s">
        <v>9578</v>
      </c>
      <c r="F4799">
        <v>1</v>
      </c>
      <c r="G4799" t="str">
        <f>HYPERLINK("http://babel.hathitrust.org/cgi/pt?id=uc2.ark:/13960/t07w6c73b")</f>
        <v>http://babel.hathitrust.org/cgi/pt?id=uc2.ark:/13960/t07w6c73b</v>
      </c>
      <c r="H4799" t="str">
        <f>HYPERLINK("http://catalog.hathitrust.org/Record/007687797")</f>
        <v>http://catalog.hathitrust.org/Record/007687797</v>
      </c>
      <c r="J4799" s="1">
        <v>1915</v>
      </c>
      <c r="K4799" t="s">
        <v>9579</v>
      </c>
      <c r="L4799" t="s">
        <v>11270</v>
      </c>
    </row>
    <row r="4800" spans="1:12">
      <c r="A4800" t="s">
        <v>9582</v>
      </c>
      <c r="B4800" s="1" t="s">
        <v>9583</v>
      </c>
      <c r="F4800">
        <v>1</v>
      </c>
      <c r="G4800" t="str">
        <f>HYPERLINK("http://babel.hathitrust.org/cgi/pt?id=uc2.ark:/13960/t9n29tr3h")</f>
        <v>http://babel.hathitrust.org/cgi/pt?id=uc2.ark:/13960/t9n29tr3h</v>
      </c>
      <c r="H4800" t="str">
        <f>HYPERLINK("http://catalog.hathitrust.org/Record/007687853")</f>
        <v>http://catalog.hathitrust.org/Record/007687853</v>
      </c>
      <c r="J4800" s="1">
        <v>1893</v>
      </c>
      <c r="K4800" t="s">
        <v>9584</v>
      </c>
      <c r="L4800" t="s">
        <v>9585</v>
      </c>
    </row>
    <row r="4801" spans="1:12">
      <c r="A4801" t="s">
        <v>9586</v>
      </c>
      <c r="B4801" s="1" t="s">
        <v>9587</v>
      </c>
      <c r="F4801">
        <v>1</v>
      </c>
      <c r="G4801" t="str">
        <f>HYPERLINK("http://babel.hathitrust.org/cgi/pt?id=uc1.b5060283")</f>
        <v>http://babel.hathitrust.org/cgi/pt?id=uc1.b5060283</v>
      </c>
      <c r="H4801" t="str">
        <f>HYPERLINK("http://catalog.hathitrust.org/Record/007687861")</f>
        <v>http://catalog.hathitrust.org/Record/007687861</v>
      </c>
      <c r="J4801" s="1">
        <v>1908</v>
      </c>
      <c r="K4801" t="s">
        <v>9588</v>
      </c>
      <c r="L4801" t="s">
        <v>9589</v>
      </c>
    </row>
    <row r="4802" spans="1:12">
      <c r="A4802" t="s">
        <v>9590</v>
      </c>
      <c r="B4802" s="1" t="s">
        <v>9587</v>
      </c>
      <c r="F4802">
        <v>1</v>
      </c>
      <c r="G4802" t="str">
        <f>HYPERLINK("http://babel.hathitrust.org/cgi/pt?id=uc2.ark:/13960/t6tx39j9k")</f>
        <v>http://babel.hathitrust.org/cgi/pt?id=uc2.ark:/13960/t6tx39j9k</v>
      </c>
      <c r="H4802" t="str">
        <f>HYPERLINK("http://catalog.hathitrust.org/Record/007687861")</f>
        <v>http://catalog.hathitrust.org/Record/007687861</v>
      </c>
      <c r="J4802" s="1">
        <v>1908</v>
      </c>
      <c r="K4802" t="s">
        <v>9588</v>
      </c>
      <c r="L4802" t="s">
        <v>9589</v>
      </c>
    </row>
    <row r="4803" spans="1:12">
      <c r="A4803" t="s">
        <v>9591</v>
      </c>
      <c r="B4803" s="1" t="s">
        <v>9592</v>
      </c>
      <c r="F4803">
        <v>1</v>
      </c>
      <c r="G4803" t="str">
        <f>HYPERLINK("http://babel.hathitrust.org/cgi/pt?id=uc2.ark:/13960/t3320021m")</f>
        <v>http://babel.hathitrust.org/cgi/pt?id=uc2.ark:/13960/t3320021m</v>
      </c>
      <c r="H4803" t="str">
        <f>HYPERLINK("http://catalog.hathitrust.org/Record/007687888")</f>
        <v>http://catalog.hathitrust.org/Record/007687888</v>
      </c>
      <c r="J4803" s="1">
        <v>1895</v>
      </c>
      <c r="K4803" t="s">
        <v>9593</v>
      </c>
      <c r="L4803" t="s">
        <v>9864</v>
      </c>
    </row>
    <row r="4804" spans="1:12">
      <c r="A4804" t="s">
        <v>9594</v>
      </c>
      <c r="B4804" s="1" t="s">
        <v>9595</v>
      </c>
      <c r="F4804">
        <v>1</v>
      </c>
      <c r="G4804" t="str">
        <f>HYPERLINK("http://babel.hathitrust.org/cgi/pt?id=uc2.ark:/13960/t4mk6cz73")</f>
        <v>http://babel.hathitrust.org/cgi/pt?id=uc2.ark:/13960/t4mk6cz73</v>
      </c>
      <c r="H4804" t="str">
        <f>HYPERLINK("http://catalog.hathitrust.org/Record/007687909")</f>
        <v>http://catalog.hathitrust.org/Record/007687909</v>
      </c>
      <c r="J4804" s="1">
        <v>1907</v>
      </c>
      <c r="K4804" t="s">
        <v>9596</v>
      </c>
      <c r="L4804" t="s">
        <v>9597</v>
      </c>
    </row>
    <row r="4805" spans="1:12">
      <c r="A4805" t="s">
        <v>9598</v>
      </c>
      <c r="B4805" s="1" t="s">
        <v>9599</v>
      </c>
      <c r="F4805">
        <v>1</v>
      </c>
      <c r="G4805" t="str">
        <f>HYPERLINK("http://babel.hathitrust.org/cgi/pt?id=uc2.ark:/13960/t1zc7wt73")</f>
        <v>http://babel.hathitrust.org/cgi/pt?id=uc2.ark:/13960/t1zc7wt73</v>
      </c>
      <c r="H4805" t="str">
        <f>HYPERLINK("http://catalog.hathitrust.org/Record/007687916")</f>
        <v>http://catalog.hathitrust.org/Record/007687916</v>
      </c>
      <c r="J4805" s="1">
        <v>1892</v>
      </c>
      <c r="K4805" t="s">
        <v>9600</v>
      </c>
      <c r="L4805" t="s">
        <v>9601</v>
      </c>
    </row>
    <row r="4806" spans="1:12">
      <c r="A4806" t="s">
        <v>9503</v>
      </c>
      <c r="B4806" s="1" t="s">
        <v>9504</v>
      </c>
      <c r="C4806">
        <v>1</v>
      </c>
      <c r="G4806" t="str">
        <f>HYPERLINK("http://babel.hathitrust.org/cgi/pt?id=uc2.ark:/13960/t2s46ps4n")</f>
        <v>http://babel.hathitrust.org/cgi/pt?id=uc2.ark:/13960/t2s46ps4n</v>
      </c>
      <c r="H4806" t="str">
        <f>HYPERLINK("http://catalog.hathitrust.org/Record/007687996")</f>
        <v>http://catalog.hathitrust.org/Record/007687996</v>
      </c>
      <c r="J4806" s="1">
        <v>1824</v>
      </c>
      <c r="K4806" t="s">
        <v>9505</v>
      </c>
      <c r="L4806" t="s">
        <v>20312</v>
      </c>
    </row>
    <row r="4807" spans="1:12">
      <c r="A4807" t="s">
        <v>9506</v>
      </c>
      <c r="B4807" s="1" t="s">
        <v>9507</v>
      </c>
      <c r="E4807">
        <v>1</v>
      </c>
      <c r="G4807" t="str">
        <f>HYPERLINK("http://babel.hathitrust.org/cgi/pt?id=loc.ark:/13960/t3gx4vv86")</f>
        <v>http://babel.hathitrust.org/cgi/pt?id=loc.ark:/13960/t3gx4vv86</v>
      </c>
      <c r="H4807" t="str">
        <f>HYPERLINK("http://catalog.hathitrust.org/Record/007688018")</f>
        <v>http://catalog.hathitrust.org/Record/007688018</v>
      </c>
      <c r="J4807" s="1">
        <v>1902</v>
      </c>
      <c r="K4807" t="s">
        <v>9508</v>
      </c>
      <c r="L4807" t="s">
        <v>17071</v>
      </c>
    </row>
    <row r="4808" spans="1:12">
      <c r="A4808" t="s">
        <v>9509</v>
      </c>
      <c r="B4808" s="1" t="s">
        <v>9510</v>
      </c>
      <c r="F4808">
        <v>1</v>
      </c>
      <c r="G4808" t="str">
        <f>HYPERLINK("http://babel.hathitrust.org/cgi/pt?id=uc2.ark:/13960/t9b56jq69")</f>
        <v>http://babel.hathitrust.org/cgi/pt?id=uc2.ark:/13960/t9b56jq69</v>
      </c>
      <c r="H4808" t="str">
        <f>HYPERLINK("http://catalog.hathitrust.org/Record/007688039")</f>
        <v>http://catalog.hathitrust.org/Record/007688039</v>
      </c>
      <c r="J4808" s="1">
        <v>1908</v>
      </c>
      <c r="K4808" t="s">
        <v>9511</v>
      </c>
      <c r="L4808" t="s">
        <v>11400</v>
      </c>
    </row>
    <row r="4809" spans="1:12">
      <c r="A4809" t="s">
        <v>9512</v>
      </c>
      <c r="B4809" s="1" t="s">
        <v>9513</v>
      </c>
      <c r="F4809">
        <v>1</v>
      </c>
      <c r="G4809" t="str">
        <f>HYPERLINK("http://babel.hathitrust.org/cgi/pt?id=uc2.ark:/13960/t6m043k69")</f>
        <v>http://babel.hathitrust.org/cgi/pt?id=uc2.ark:/13960/t6m043k69</v>
      </c>
      <c r="H4809" t="str">
        <f>HYPERLINK("http://catalog.hathitrust.org/Record/007688142")</f>
        <v>http://catalog.hathitrust.org/Record/007688142</v>
      </c>
      <c r="J4809" s="1">
        <v>1877</v>
      </c>
      <c r="K4809" t="s">
        <v>9514</v>
      </c>
      <c r="L4809" t="s">
        <v>18986</v>
      </c>
    </row>
    <row r="4810" spans="1:12">
      <c r="A4810" t="s">
        <v>9515</v>
      </c>
      <c r="B4810" s="1" t="s">
        <v>9516</v>
      </c>
      <c r="F4810">
        <v>1</v>
      </c>
      <c r="G4810" t="str">
        <f>HYPERLINK("http://babel.hathitrust.org/cgi/pt?id=uc2.ark:/13960/t20c4x869")</f>
        <v>http://babel.hathitrust.org/cgi/pt?id=uc2.ark:/13960/t20c4x869</v>
      </c>
      <c r="H4810" t="str">
        <f>HYPERLINK("http://catalog.hathitrust.org/Record/007688351")</f>
        <v>http://catalog.hathitrust.org/Record/007688351</v>
      </c>
      <c r="J4810" s="1">
        <v>1922</v>
      </c>
      <c r="K4810" t="s">
        <v>9517</v>
      </c>
      <c r="L4810" t="s">
        <v>19321</v>
      </c>
    </row>
    <row r="4811" spans="1:12">
      <c r="A4811" t="s">
        <v>9518</v>
      </c>
      <c r="B4811" s="1" t="s">
        <v>9519</v>
      </c>
      <c r="E4811">
        <v>1</v>
      </c>
      <c r="F4811">
        <v>1</v>
      </c>
      <c r="G4811" t="str">
        <f>HYPERLINK("http://babel.hathitrust.org/cgi/pt?id=nyp.33433082511530")</f>
        <v>http://babel.hathitrust.org/cgi/pt?id=nyp.33433082511530</v>
      </c>
      <c r="H4811" t="str">
        <f>HYPERLINK("http://catalog.hathitrust.org/Record/007688405")</f>
        <v>http://catalog.hathitrust.org/Record/007688405</v>
      </c>
      <c r="J4811" s="1">
        <v>1808</v>
      </c>
      <c r="K4811" t="s">
        <v>9520</v>
      </c>
      <c r="L4811" t="s">
        <v>9521</v>
      </c>
    </row>
    <row r="4812" spans="1:12">
      <c r="A4812" t="s">
        <v>9522</v>
      </c>
      <c r="B4812" s="1" t="s">
        <v>9519</v>
      </c>
      <c r="F4812">
        <v>1</v>
      </c>
      <c r="G4812" t="str">
        <f>HYPERLINK("http://babel.hathitrust.org/cgi/pt?id=uc2.ark:/13960/t3tt4jw7h")</f>
        <v>http://babel.hathitrust.org/cgi/pt?id=uc2.ark:/13960/t3tt4jw7h</v>
      </c>
      <c r="H4812" t="str">
        <f>HYPERLINK("http://catalog.hathitrust.org/Record/007688405")</f>
        <v>http://catalog.hathitrust.org/Record/007688405</v>
      </c>
      <c r="I4812" s="1" t="s">
        <v>15823</v>
      </c>
      <c r="J4812" s="1">
        <v>1808</v>
      </c>
      <c r="K4812" t="s">
        <v>9520</v>
      </c>
      <c r="L4812" t="s">
        <v>9521</v>
      </c>
    </row>
    <row r="4813" spans="1:12">
      <c r="A4813" t="s">
        <v>9523</v>
      </c>
      <c r="B4813" s="1" t="s">
        <v>9519</v>
      </c>
      <c r="F4813">
        <v>1</v>
      </c>
      <c r="G4813" t="str">
        <f>HYPERLINK("http://babel.hathitrust.org/cgi/pt?id=uc2.ark:/13960/t7pn91t40")</f>
        <v>http://babel.hathitrust.org/cgi/pt?id=uc2.ark:/13960/t7pn91t40</v>
      </c>
      <c r="H4813" t="str">
        <f>HYPERLINK("http://catalog.hathitrust.org/Record/007688405")</f>
        <v>http://catalog.hathitrust.org/Record/007688405</v>
      </c>
      <c r="I4813" s="1" t="s">
        <v>15826</v>
      </c>
      <c r="J4813" s="1">
        <v>1808</v>
      </c>
      <c r="K4813" t="s">
        <v>9520</v>
      </c>
      <c r="L4813" t="s">
        <v>9521</v>
      </c>
    </row>
    <row r="4814" spans="1:12">
      <c r="A4814" t="s">
        <v>9524</v>
      </c>
      <c r="B4814" s="1" t="s">
        <v>9525</v>
      </c>
      <c r="F4814">
        <v>1</v>
      </c>
      <c r="G4814" t="str">
        <f>HYPERLINK("http://babel.hathitrust.org/cgi/pt?id=nyp.33433084113590")</f>
        <v>http://babel.hathitrust.org/cgi/pt?id=nyp.33433084113590</v>
      </c>
      <c r="H4814" t="str">
        <f>HYPERLINK("http://catalog.hathitrust.org/Record/007688523")</f>
        <v>http://catalog.hathitrust.org/Record/007688523</v>
      </c>
      <c r="J4814" s="1">
        <v>1906</v>
      </c>
      <c r="K4814" t="s">
        <v>9526</v>
      </c>
      <c r="L4814" t="s">
        <v>9527</v>
      </c>
    </row>
    <row r="4815" spans="1:12">
      <c r="A4815" t="s">
        <v>9528</v>
      </c>
      <c r="B4815" s="1" t="s">
        <v>9525</v>
      </c>
      <c r="F4815">
        <v>1</v>
      </c>
      <c r="G4815" t="str">
        <f>HYPERLINK("http://babel.hathitrust.org/cgi/pt?id=uc2.ark:/13960/t09w0d10z")</f>
        <v>http://babel.hathitrust.org/cgi/pt?id=uc2.ark:/13960/t09w0d10z</v>
      </c>
      <c r="H4815" t="str">
        <f>HYPERLINK("http://catalog.hathitrust.org/Record/007688523")</f>
        <v>http://catalog.hathitrust.org/Record/007688523</v>
      </c>
      <c r="J4815" s="1">
        <v>1906</v>
      </c>
      <c r="K4815" t="s">
        <v>9526</v>
      </c>
      <c r="L4815" t="s">
        <v>9527</v>
      </c>
    </row>
    <row r="4816" spans="1:12">
      <c r="A4816" t="s">
        <v>9529</v>
      </c>
      <c r="B4816" s="1" t="s">
        <v>9530</v>
      </c>
      <c r="E4816">
        <v>1</v>
      </c>
      <c r="G4816" t="str">
        <f>HYPERLINK("http://babel.hathitrust.org/cgi/pt?id=uc1.b3350556")</f>
        <v>http://babel.hathitrust.org/cgi/pt?id=uc1.b3350556</v>
      </c>
      <c r="H4816" t="str">
        <f>HYPERLINK("http://catalog.hathitrust.org/Record/007688527")</f>
        <v>http://catalog.hathitrust.org/Record/007688527</v>
      </c>
      <c r="I4816" s="1" t="s">
        <v>20701</v>
      </c>
      <c r="J4816" s="1">
        <v>1884</v>
      </c>
      <c r="K4816" t="s">
        <v>15055</v>
      </c>
      <c r="L4816" t="s">
        <v>15050</v>
      </c>
    </row>
    <row r="4817" spans="1:12">
      <c r="A4817" t="s">
        <v>9531</v>
      </c>
      <c r="B4817" s="1" t="s">
        <v>9530</v>
      </c>
      <c r="E4817">
        <v>1</v>
      </c>
      <c r="G4817" t="str">
        <f>HYPERLINK("http://babel.hathitrust.org/cgi/pt?id=uc1.b3350557")</f>
        <v>http://babel.hathitrust.org/cgi/pt?id=uc1.b3350557</v>
      </c>
      <c r="H4817" t="str">
        <f>HYPERLINK("http://catalog.hathitrust.org/Record/007688527")</f>
        <v>http://catalog.hathitrust.org/Record/007688527</v>
      </c>
      <c r="I4817" s="1" t="s">
        <v>17823</v>
      </c>
      <c r="J4817" s="1">
        <v>1884</v>
      </c>
      <c r="K4817" t="s">
        <v>15055</v>
      </c>
      <c r="L4817" t="s">
        <v>15050</v>
      </c>
    </row>
    <row r="4818" spans="1:12">
      <c r="A4818" t="s">
        <v>9532</v>
      </c>
      <c r="B4818" s="1" t="s">
        <v>9533</v>
      </c>
      <c r="E4818">
        <v>1</v>
      </c>
      <c r="G4818" t="str">
        <f>HYPERLINK("http://babel.hathitrust.org/cgi/pt?id=uc2.ark:/13960/t9d50j00b")</f>
        <v>http://babel.hathitrust.org/cgi/pt?id=uc2.ark:/13960/t9d50j00b</v>
      </c>
      <c r="H4818" t="str">
        <f>HYPERLINK("http://catalog.hathitrust.org/Record/007688528")</f>
        <v>http://catalog.hathitrust.org/Record/007688528</v>
      </c>
      <c r="I4818" s="1" t="s">
        <v>9690</v>
      </c>
      <c r="J4818" s="1">
        <v>1854</v>
      </c>
      <c r="K4818" t="s">
        <v>9534</v>
      </c>
      <c r="L4818" t="s">
        <v>15050</v>
      </c>
    </row>
    <row r="4819" spans="1:12">
      <c r="A4819" t="s">
        <v>9535</v>
      </c>
      <c r="B4819" s="1" t="s">
        <v>9536</v>
      </c>
      <c r="E4819">
        <v>1</v>
      </c>
      <c r="G4819" t="str">
        <f>HYPERLINK("http://babel.hathitrust.org/cgi/pt?id=uc2.ark:/13960/t26972t30")</f>
        <v>http://babel.hathitrust.org/cgi/pt?id=uc2.ark:/13960/t26972t30</v>
      </c>
      <c r="H4819" t="str">
        <f>HYPERLINK("http://catalog.hathitrust.org/Record/007688529")</f>
        <v>http://catalog.hathitrust.org/Record/007688529</v>
      </c>
      <c r="I4819" s="1" t="s">
        <v>20916</v>
      </c>
      <c r="J4819" s="1">
        <v>1800</v>
      </c>
      <c r="K4819" t="s">
        <v>9537</v>
      </c>
      <c r="L4819" t="s">
        <v>15050</v>
      </c>
    </row>
    <row r="4820" spans="1:12">
      <c r="A4820" t="s">
        <v>9538</v>
      </c>
      <c r="B4820" s="1" t="s">
        <v>9536</v>
      </c>
      <c r="E4820">
        <v>1</v>
      </c>
      <c r="G4820" t="str">
        <f>HYPERLINK("http://babel.hathitrust.org/cgi/pt?id=uc2.ark:/13960/t81j9bk00")</f>
        <v>http://babel.hathitrust.org/cgi/pt?id=uc2.ark:/13960/t81j9bk00</v>
      </c>
      <c r="H4820" t="str">
        <f>HYPERLINK("http://catalog.hathitrust.org/Record/007688529")</f>
        <v>http://catalog.hathitrust.org/Record/007688529</v>
      </c>
      <c r="I4820" s="1" t="s">
        <v>20755</v>
      </c>
      <c r="J4820" s="1">
        <v>1800</v>
      </c>
      <c r="K4820" t="s">
        <v>9537</v>
      </c>
      <c r="L4820" t="s">
        <v>15050</v>
      </c>
    </row>
    <row r="4821" spans="1:12">
      <c r="A4821" t="s">
        <v>9539</v>
      </c>
      <c r="B4821" s="1" t="s">
        <v>9540</v>
      </c>
      <c r="F4821">
        <v>1</v>
      </c>
      <c r="G4821" t="str">
        <f>HYPERLINK("http://babel.hathitrust.org/cgi/pt?id=uc2.ark:/13960/t6nz8537t")</f>
        <v>http://babel.hathitrust.org/cgi/pt?id=uc2.ark:/13960/t6nz8537t</v>
      </c>
      <c r="H4821" t="str">
        <f>HYPERLINK("http://catalog.hathitrust.org/Record/007688531")</f>
        <v>http://catalog.hathitrust.org/Record/007688531</v>
      </c>
      <c r="J4821" s="1">
        <v>1905</v>
      </c>
      <c r="K4821" t="s">
        <v>9541</v>
      </c>
      <c r="L4821" t="s">
        <v>9542</v>
      </c>
    </row>
    <row r="4822" spans="1:12">
      <c r="A4822" t="s">
        <v>9543</v>
      </c>
      <c r="B4822" s="1" t="s">
        <v>9540</v>
      </c>
      <c r="F4822">
        <v>1</v>
      </c>
      <c r="G4822" t="str">
        <f>HYPERLINK("http://babel.hathitrust.org/cgi/pt?id=uc2.ark:/13960/t9j38t312")</f>
        <v>http://babel.hathitrust.org/cgi/pt?id=uc2.ark:/13960/t9j38t312</v>
      </c>
      <c r="H4822" t="str">
        <f>HYPERLINK("http://catalog.hathitrust.org/Record/007688531")</f>
        <v>http://catalog.hathitrust.org/Record/007688531</v>
      </c>
      <c r="J4822" s="1">
        <v>1905</v>
      </c>
      <c r="K4822" t="s">
        <v>9541</v>
      </c>
      <c r="L4822" t="s">
        <v>9542</v>
      </c>
    </row>
    <row r="4823" spans="1:12">
      <c r="A4823" t="s">
        <v>9544</v>
      </c>
      <c r="B4823" s="1" t="s">
        <v>9545</v>
      </c>
      <c r="F4823">
        <v>1</v>
      </c>
      <c r="G4823" t="str">
        <f>HYPERLINK("http://babel.hathitrust.org/cgi/pt?id=uc2.ark:/13960/t70v8g132")</f>
        <v>http://babel.hathitrust.org/cgi/pt?id=uc2.ark:/13960/t70v8g132</v>
      </c>
      <c r="H4823" t="str">
        <f>HYPERLINK("http://catalog.hathitrust.org/Record/007688584")</f>
        <v>http://catalog.hathitrust.org/Record/007688584</v>
      </c>
      <c r="J4823" s="1">
        <v>1877</v>
      </c>
      <c r="K4823" t="s">
        <v>9546</v>
      </c>
      <c r="L4823" t="s">
        <v>9547</v>
      </c>
    </row>
    <row r="4824" spans="1:12">
      <c r="A4824" t="s">
        <v>9451</v>
      </c>
      <c r="B4824" s="1" t="s">
        <v>9452</v>
      </c>
      <c r="F4824">
        <v>1</v>
      </c>
      <c r="G4824" t="str">
        <f>HYPERLINK("http://babel.hathitrust.org/cgi/pt?id=uc2.ark:/13960/t9z033s52")</f>
        <v>http://babel.hathitrust.org/cgi/pt?id=uc2.ark:/13960/t9z033s52</v>
      </c>
      <c r="H4824" t="str">
        <f>HYPERLINK("http://catalog.hathitrust.org/Record/007688639")</f>
        <v>http://catalog.hathitrust.org/Record/007688639</v>
      </c>
      <c r="J4824" s="1">
        <v>1902</v>
      </c>
      <c r="K4824" t="s">
        <v>9453</v>
      </c>
      <c r="L4824" t="s">
        <v>9454</v>
      </c>
    </row>
    <row r="4825" spans="1:12">
      <c r="A4825" t="s">
        <v>9455</v>
      </c>
      <c r="B4825" s="1" t="s">
        <v>9456</v>
      </c>
      <c r="F4825">
        <v>1</v>
      </c>
      <c r="G4825" t="str">
        <f>HYPERLINK("http://babel.hathitrust.org/cgi/pt?id=uc2.ark:/13960/t88g97w3q")</f>
        <v>http://babel.hathitrust.org/cgi/pt?id=uc2.ark:/13960/t88g97w3q</v>
      </c>
      <c r="H4825" t="str">
        <f>HYPERLINK("http://catalog.hathitrust.org/Record/007688640")</f>
        <v>http://catalog.hathitrust.org/Record/007688640</v>
      </c>
      <c r="J4825" s="1">
        <v>1911</v>
      </c>
      <c r="K4825" t="s">
        <v>9457</v>
      </c>
      <c r="L4825" t="s">
        <v>9454</v>
      </c>
    </row>
    <row r="4826" spans="1:12">
      <c r="A4826" t="s">
        <v>9458</v>
      </c>
      <c r="B4826" s="1" t="s">
        <v>9459</v>
      </c>
      <c r="F4826">
        <v>1</v>
      </c>
      <c r="G4826" t="str">
        <f>HYPERLINK("http://babel.hathitrust.org/cgi/pt?id=njp.32101074499805")</f>
        <v>http://babel.hathitrust.org/cgi/pt?id=njp.32101074499805</v>
      </c>
      <c r="H4826" t="str">
        <f t="shared" ref="H4826:H4838" si="56">HYPERLINK("http://catalog.hathitrust.org/Record/007688671")</f>
        <v>http://catalog.hathitrust.org/Record/007688671</v>
      </c>
      <c r="I4826" s="1" t="s">
        <v>20916</v>
      </c>
      <c r="J4826" s="1">
        <v>1903</v>
      </c>
      <c r="K4826" t="s">
        <v>9460</v>
      </c>
      <c r="L4826" t="s">
        <v>9461</v>
      </c>
    </row>
    <row r="4827" spans="1:12">
      <c r="A4827" t="s">
        <v>9462</v>
      </c>
      <c r="B4827" s="1" t="s">
        <v>9459</v>
      </c>
      <c r="F4827">
        <v>1</v>
      </c>
      <c r="G4827" t="str">
        <f>HYPERLINK("http://babel.hathitrust.org/cgi/pt?id=njp.32101074499813")</f>
        <v>http://babel.hathitrust.org/cgi/pt?id=njp.32101074499813</v>
      </c>
      <c r="H4827" t="str">
        <f t="shared" si="56"/>
        <v>http://catalog.hathitrust.org/Record/007688671</v>
      </c>
      <c r="I4827" s="1" t="s">
        <v>20755</v>
      </c>
      <c r="J4827" s="1">
        <v>1903</v>
      </c>
      <c r="K4827" t="s">
        <v>9460</v>
      </c>
      <c r="L4827" t="s">
        <v>9461</v>
      </c>
    </row>
    <row r="4828" spans="1:12">
      <c r="A4828" t="s">
        <v>9463</v>
      </c>
      <c r="B4828" s="1" t="s">
        <v>9459</v>
      </c>
      <c r="F4828">
        <v>1</v>
      </c>
      <c r="G4828" t="str">
        <f>HYPERLINK("http://babel.hathitrust.org/cgi/pt?id=njp.32101074499821")</f>
        <v>http://babel.hathitrust.org/cgi/pt?id=njp.32101074499821</v>
      </c>
      <c r="H4828" t="str">
        <f t="shared" si="56"/>
        <v>http://catalog.hathitrust.org/Record/007688671</v>
      </c>
      <c r="I4828" s="1" t="s">
        <v>20920</v>
      </c>
      <c r="J4828" s="1">
        <v>1903</v>
      </c>
      <c r="K4828" t="s">
        <v>9460</v>
      </c>
      <c r="L4828" t="s">
        <v>9461</v>
      </c>
    </row>
    <row r="4829" spans="1:12">
      <c r="A4829" t="s">
        <v>9464</v>
      </c>
      <c r="B4829" s="1" t="s">
        <v>9459</v>
      </c>
      <c r="F4829">
        <v>1</v>
      </c>
      <c r="G4829" t="str">
        <f>HYPERLINK("http://babel.hathitrust.org/cgi/pt?id=nyp.33433069139396")</f>
        <v>http://babel.hathitrust.org/cgi/pt?id=nyp.33433069139396</v>
      </c>
      <c r="H4829" t="str">
        <f t="shared" si="56"/>
        <v>http://catalog.hathitrust.org/Record/007688671</v>
      </c>
      <c r="I4829" s="1" t="s">
        <v>20796</v>
      </c>
      <c r="J4829" s="1">
        <v>1903</v>
      </c>
      <c r="K4829" t="s">
        <v>9460</v>
      </c>
      <c r="L4829" t="s">
        <v>9461</v>
      </c>
    </row>
    <row r="4830" spans="1:12">
      <c r="A4830" t="s">
        <v>9465</v>
      </c>
      <c r="B4830" s="1" t="s">
        <v>9459</v>
      </c>
      <c r="F4830">
        <v>1</v>
      </c>
      <c r="G4830" t="str">
        <f>HYPERLINK("http://babel.hathitrust.org/cgi/pt?id=nyp.33433069139404")</f>
        <v>http://babel.hathitrust.org/cgi/pt?id=nyp.33433069139404</v>
      </c>
      <c r="H4830" t="str">
        <f t="shared" si="56"/>
        <v>http://catalog.hathitrust.org/Record/007688671</v>
      </c>
      <c r="I4830" s="1" t="s">
        <v>20799</v>
      </c>
      <c r="J4830" s="1">
        <v>1903</v>
      </c>
      <c r="K4830" t="s">
        <v>9460</v>
      </c>
      <c r="L4830" t="s">
        <v>9461</v>
      </c>
    </row>
    <row r="4831" spans="1:12">
      <c r="A4831" t="s">
        <v>9466</v>
      </c>
      <c r="B4831" s="1" t="s">
        <v>9459</v>
      </c>
      <c r="F4831">
        <v>1</v>
      </c>
      <c r="G4831" t="str">
        <f>HYPERLINK("http://babel.hathitrust.org/cgi/pt?id=nyp.33433069139412")</f>
        <v>http://babel.hathitrust.org/cgi/pt?id=nyp.33433069139412</v>
      </c>
      <c r="H4831" t="str">
        <f t="shared" si="56"/>
        <v>http://catalog.hathitrust.org/Record/007688671</v>
      </c>
      <c r="I4831" s="1" t="s">
        <v>20801</v>
      </c>
      <c r="J4831" s="1">
        <v>1903</v>
      </c>
      <c r="K4831" t="s">
        <v>9460</v>
      </c>
      <c r="L4831" t="s">
        <v>9461</v>
      </c>
    </row>
    <row r="4832" spans="1:12">
      <c r="A4832" t="s">
        <v>9467</v>
      </c>
      <c r="B4832" s="1" t="s">
        <v>9459</v>
      </c>
      <c r="F4832">
        <v>1</v>
      </c>
      <c r="G4832" t="str">
        <f>HYPERLINK("http://babel.hathitrust.org/cgi/pt?id=nyp.33433069139420")</f>
        <v>http://babel.hathitrust.org/cgi/pt?id=nyp.33433069139420</v>
      </c>
      <c r="H4832" t="str">
        <f t="shared" si="56"/>
        <v>http://catalog.hathitrust.org/Record/007688671</v>
      </c>
      <c r="I4832" s="1" t="s">
        <v>20803</v>
      </c>
      <c r="J4832" s="1">
        <v>1903</v>
      </c>
      <c r="K4832" t="s">
        <v>9460</v>
      </c>
      <c r="L4832" t="s">
        <v>9461</v>
      </c>
    </row>
    <row r="4833" spans="1:12">
      <c r="A4833" t="s">
        <v>9468</v>
      </c>
      <c r="B4833" s="1" t="s">
        <v>9459</v>
      </c>
      <c r="F4833">
        <v>1</v>
      </c>
      <c r="G4833" t="str">
        <f>HYPERLINK("http://babel.hathitrust.org/cgi/pt?id=nyp.33433069139438")</f>
        <v>http://babel.hathitrust.org/cgi/pt?id=nyp.33433069139438</v>
      </c>
      <c r="H4833" t="str">
        <f t="shared" si="56"/>
        <v>http://catalog.hathitrust.org/Record/007688671</v>
      </c>
      <c r="I4833" s="1" t="s">
        <v>19038</v>
      </c>
      <c r="J4833" s="1">
        <v>1903</v>
      </c>
      <c r="K4833" t="s">
        <v>9460</v>
      </c>
      <c r="L4833" t="s">
        <v>9461</v>
      </c>
    </row>
    <row r="4834" spans="1:12">
      <c r="A4834" t="s">
        <v>9469</v>
      </c>
      <c r="B4834" s="1" t="s">
        <v>9459</v>
      </c>
      <c r="F4834">
        <v>1</v>
      </c>
      <c r="G4834" t="str">
        <f>HYPERLINK("http://babel.hathitrust.org/cgi/pt?id=uc2.ark:/13960/t0rr1x22m")</f>
        <v>http://babel.hathitrust.org/cgi/pt?id=uc2.ark:/13960/t0rr1x22m</v>
      </c>
      <c r="H4834" t="str">
        <f t="shared" si="56"/>
        <v>http://catalog.hathitrust.org/Record/007688671</v>
      </c>
      <c r="I4834" s="1" t="s">
        <v>20679</v>
      </c>
      <c r="J4834" s="1">
        <v>1903</v>
      </c>
      <c r="K4834" t="s">
        <v>9460</v>
      </c>
      <c r="L4834" t="s">
        <v>9461</v>
      </c>
    </row>
    <row r="4835" spans="1:12">
      <c r="A4835" t="s">
        <v>9470</v>
      </c>
      <c r="B4835" s="1" t="s">
        <v>9459</v>
      </c>
      <c r="F4835">
        <v>1</v>
      </c>
      <c r="G4835" t="str">
        <f>HYPERLINK("http://babel.hathitrust.org/cgi/pt?id=uc2.ark:/13960/t3222zw8s")</f>
        <v>http://babel.hathitrust.org/cgi/pt?id=uc2.ark:/13960/t3222zw8s</v>
      </c>
      <c r="H4835" t="str">
        <f t="shared" si="56"/>
        <v>http://catalog.hathitrust.org/Record/007688671</v>
      </c>
      <c r="I4835" s="1" t="s">
        <v>20755</v>
      </c>
      <c r="J4835" s="1">
        <v>1903</v>
      </c>
      <c r="K4835" t="s">
        <v>9460</v>
      </c>
      <c r="L4835" t="s">
        <v>9461</v>
      </c>
    </row>
    <row r="4836" spans="1:12">
      <c r="A4836" t="s">
        <v>9471</v>
      </c>
      <c r="B4836" s="1" t="s">
        <v>9459</v>
      </c>
      <c r="F4836">
        <v>1</v>
      </c>
      <c r="G4836" t="str">
        <f>HYPERLINK("http://babel.hathitrust.org/cgi/pt?id=uc2.ark:/13960/t5gb2594r")</f>
        <v>http://babel.hathitrust.org/cgi/pt?id=uc2.ark:/13960/t5gb2594r</v>
      </c>
      <c r="H4836" t="str">
        <f t="shared" si="56"/>
        <v>http://catalog.hathitrust.org/Record/007688671</v>
      </c>
      <c r="I4836" s="1" t="s">
        <v>20681</v>
      </c>
      <c r="J4836" s="1">
        <v>1903</v>
      </c>
      <c r="K4836" t="s">
        <v>9460</v>
      </c>
      <c r="L4836" t="s">
        <v>9461</v>
      </c>
    </row>
    <row r="4837" spans="1:12">
      <c r="A4837" t="s">
        <v>9472</v>
      </c>
      <c r="B4837" s="1" t="s">
        <v>9459</v>
      </c>
      <c r="F4837">
        <v>1</v>
      </c>
      <c r="G4837" t="str">
        <f>HYPERLINK("http://babel.hathitrust.org/cgi/pt?id=uc2.ark:/13960/t6ww7ft5p")</f>
        <v>http://babel.hathitrust.org/cgi/pt?id=uc2.ark:/13960/t6ww7ft5p</v>
      </c>
      <c r="H4837" t="str">
        <f t="shared" si="56"/>
        <v>http://catalog.hathitrust.org/Record/007688671</v>
      </c>
      <c r="I4837" s="1" t="s">
        <v>20916</v>
      </c>
      <c r="J4837" s="1">
        <v>1903</v>
      </c>
      <c r="K4837" t="s">
        <v>9460</v>
      </c>
      <c r="L4837" t="s">
        <v>9461</v>
      </c>
    </row>
    <row r="4838" spans="1:12">
      <c r="A4838" t="s">
        <v>9473</v>
      </c>
      <c r="B4838" s="1" t="s">
        <v>9459</v>
      </c>
      <c r="F4838">
        <v>1</v>
      </c>
      <c r="G4838" t="str">
        <f>HYPERLINK("http://babel.hathitrust.org/cgi/pt?id=uc2.ark:/13960/t7jq11s4z")</f>
        <v>http://babel.hathitrust.org/cgi/pt?id=uc2.ark:/13960/t7jq11s4z</v>
      </c>
      <c r="H4838" t="str">
        <f t="shared" si="56"/>
        <v>http://catalog.hathitrust.org/Record/007688671</v>
      </c>
      <c r="I4838" s="1" t="s">
        <v>20920</v>
      </c>
      <c r="J4838" s="1">
        <v>1903</v>
      </c>
      <c r="K4838" t="s">
        <v>9460</v>
      </c>
      <c r="L4838" t="s">
        <v>9461</v>
      </c>
    </row>
    <row r="4839" spans="1:12">
      <c r="A4839" t="s">
        <v>9474</v>
      </c>
      <c r="B4839" s="1" t="s">
        <v>9475</v>
      </c>
      <c r="F4839">
        <v>1</v>
      </c>
      <c r="G4839" t="str">
        <f>HYPERLINK("http://babel.hathitrust.org/cgi/pt?id=hvd.hw1wwf")</f>
        <v>http://babel.hathitrust.org/cgi/pt?id=hvd.hw1wwf</v>
      </c>
      <c r="H4839" t="str">
        <f>HYPERLINK("http://catalog.hathitrust.org/Record/007688729")</f>
        <v>http://catalog.hathitrust.org/Record/007688729</v>
      </c>
      <c r="J4839" s="1">
        <v>1846</v>
      </c>
      <c r="K4839" t="s">
        <v>11859</v>
      </c>
      <c r="L4839" t="s">
        <v>17631</v>
      </c>
    </row>
    <row r="4840" spans="1:12">
      <c r="A4840" t="s">
        <v>9476</v>
      </c>
      <c r="B4840" s="1" t="s">
        <v>9475</v>
      </c>
      <c r="F4840">
        <v>1</v>
      </c>
      <c r="G4840" t="str">
        <f>HYPERLINK("http://babel.hathitrust.org/cgi/pt?id=uc2.ark:/13960/t2n58hf01")</f>
        <v>http://babel.hathitrust.org/cgi/pt?id=uc2.ark:/13960/t2n58hf01</v>
      </c>
      <c r="H4840" t="str">
        <f>HYPERLINK("http://catalog.hathitrust.org/Record/007688729")</f>
        <v>http://catalog.hathitrust.org/Record/007688729</v>
      </c>
      <c r="J4840" s="1">
        <v>1846</v>
      </c>
      <c r="K4840" t="s">
        <v>11859</v>
      </c>
      <c r="L4840" t="s">
        <v>17631</v>
      </c>
    </row>
    <row r="4841" spans="1:12">
      <c r="A4841" t="s">
        <v>9477</v>
      </c>
      <c r="B4841" s="1" t="s">
        <v>9478</v>
      </c>
      <c r="F4841">
        <v>1</v>
      </c>
      <c r="G4841" t="str">
        <f>HYPERLINK("http://babel.hathitrust.org/cgi/pt?id=nyp.33433082522966")</f>
        <v>http://babel.hathitrust.org/cgi/pt?id=nyp.33433082522966</v>
      </c>
      <c r="H4841" t="str">
        <f>HYPERLINK("http://catalog.hathitrust.org/Record/007688798")</f>
        <v>http://catalog.hathitrust.org/Record/007688798</v>
      </c>
      <c r="J4841" s="1">
        <v>1891</v>
      </c>
      <c r="K4841" t="s">
        <v>9479</v>
      </c>
      <c r="L4841" t="s">
        <v>9480</v>
      </c>
    </row>
    <row r="4842" spans="1:12">
      <c r="A4842" t="s">
        <v>9481</v>
      </c>
      <c r="B4842" s="1" t="s">
        <v>9478</v>
      </c>
      <c r="F4842">
        <v>1</v>
      </c>
      <c r="G4842" t="str">
        <f>HYPERLINK("http://babel.hathitrust.org/cgi/pt?id=uc2.ark:/13960/t3mw2fv6d")</f>
        <v>http://babel.hathitrust.org/cgi/pt?id=uc2.ark:/13960/t3mw2fv6d</v>
      </c>
      <c r="H4842" t="str">
        <f>HYPERLINK("http://catalog.hathitrust.org/Record/007688798")</f>
        <v>http://catalog.hathitrust.org/Record/007688798</v>
      </c>
      <c r="J4842" s="1">
        <v>1891</v>
      </c>
      <c r="K4842" t="s">
        <v>9479</v>
      </c>
      <c r="L4842" t="s">
        <v>9480</v>
      </c>
    </row>
    <row r="4843" spans="1:12">
      <c r="A4843" t="s">
        <v>9482</v>
      </c>
      <c r="B4843" s="1" t="s">
        <v>9483</v>
      </c>
      <c r="F4843">
        <v>1</v>
      </c>
      <c r="G4843" t="str">
        <f>HYPERLINK("http://babel.hathitrust.org/cgi/pt?id=hvd.32044081497109")</f>
        <v>http://babel.hathitrust.org/cgi/pt?id=hvd.32044081497109</v>
      </c>
      <c r="H4843" t="str">
        <f>HYPERLINK("http://catalog.hathitrust.org/Record/007688809")</f>
        <v>http://catalog.hathitrust.org/Record/007688809</v>
      </c>
      <c r="J4843" s="1">
        <v>1861</v>
      </c>
      <c r="K4843" t="s">
        <v>9484</v>
      </c>
      <c r="L4843" t="s">
        <v>13577</v>
      </c>
    </row>
    <row r="4844" spans="1:12">
      <c r="A4844" t="s">
        <v>9485</v>
      </c>
      <c r="B4844" s="1" t="s">
        <v>9483</v>
      </c>
      <c r="F4844">
        <v>1</v>
      </c>
      <c r="G4844" t="str">
        <f>HYPERLINK("http://babel.hathitrust.org/cgi/pt?id=uc2.ark:/13960/t6vx0bf4d")</f>
        <v>http://babel.hathitrust.org/cgi/pt?id=uc2.ark:/13960/t6vx0bf4d</v>
      </c>
      <c r="H4844" t="str">
        <f>HYPERLINK("http://catalog.hathitrust.org/Record/007688809")</f>
        <v>http://catalog.hathitrust.org/Record/007688809</v>
      </c>
      <c r="J4844" s="1">
        <v>1861</v>
      </c>
      <c r="K4844" t="s">
        <v>9484</v>
      </c>
      <c r="L4844" t="s">
        <v>13577</v>
      </c>
    </row>
    <row r="4845" spans="1:12">
      <c r="A4845" t="s">
        <v>9486</v>
      </c>
      <c r="B4845" s="1" t="s">
        <v>9487</v>
      </c>
      <c r="F4845">
        <v>1</v>
      </c>
      <c r="G4845" t="str">
        <f>HYPERLINK("http://babel.hathitrust.org/cgi/pt?id=uc2.ark:/13960/t2q52kh9f")</f>
        <v>http://babel.hathitrust.org/cgi/pt?id=uc2.ark:/13960/t2q52kh9f</v>
      </c>
      <c r="H4845" t="str">
        <f>HYPERLINK("http://catalog.hathitrust.org/Record/007688860")</f>
        <v>http://catalog.hathitrust.org/Record/007688860</v>
      </c>
      <c r="J4845" s="1">
        <v>1907</v>
      </c>
      <c r="K4845" t="s">
        <v>9488</v>
      </c>
      <c r="L4845" t="s">
        <v>20297</v>
      </c>
    </row>
    <row r="4846" spans="1:12">
      <c r="A4846" t="s">
        <v>9489</v>
      </c>
      <c r="B4846" s="1" t="s">
        <v>9490</v>
      </c>
      <c r="F4846">
        <v>1</v>
      </c>
      <c r="G4846" t="str">
        <f>HYPERLINK("http://babel.hathitrust.org/cgi/pt?id=uc2.ark:/13960/t0zp40n69")</f>
        <v>http://babel.hathitrust.org/cgi/pt?id=uc2.ark:/13960/t0zp40n69</v>
      </c>
      <c r="H4846" t="str">
        <f>HYPERLINK("http://catalog.hathitrust.org/Record/007688872")</f>
        <v>http://catalog.hathitrust.org/Record/007688872</v>
      </c>
      <c r="J4846" s="1">
        <v>1860</v>
      </c>
      <c r="K4846" t="s">
        <v>9491</v>
      </c>
      <c r="L4846" t="s">
        <v>9492</v>
      </c>
    </row>
    <row r="4847" spans="1:12">
      <c r="A4847" t="s">
        <v>9493</v>
      </c>
      <c r="B4847" s="1" t="s">
        <v>9494</v>
      </c>
      <c r="F4847">
        <v>1</v>
      </c>
      <c r="G4847" t="str">
        <f>HYPERLINK("http://babel.hathitrust.org/cgi/pt?id=uc2.ark:/13960/t8kd1w359")</f>
        <v>http://babel.hathitrust.org/cgi/pt?id=uc2.ark:/13960/t8kd1w359</v>
      </c>
      <c r="H4847" t="str">
        <f>HYPERLINK("http://catalog.hathitrust.org/Record/007689008")</f>
        <v>http://catalog.hathitrust.org/Record/007689008</v>
      </c>
      <c r="J4847" s="1">
        <v>1908</v>
      </c>
      <c r="K4847" t="s">
        <v>9495</v>
      </c>
      <c r="L4847" t="s">
        <v>13294</v>
      </c>
    </row>
    <row r="4848" spans="1:12">
      <c r="A4848" t="s">
        <v>9496</v>
      </c>
      <c r="B4848" s="1" t="s">
        <v>9497</v>
      </c>
      <c r="E4848">
        <v>1</v>
      </c>
      <c r="F4848">
        <v>1</v>
      </c>
      <c r="G4848" t="str">
        <f>HYPERLINK("http://babel.hathitrust.org/cgi/pt?id=uc2.ark:/13960/t77s7nv2h")</f>
        <v>http://babel.hathitrust.org/cgi/pt?id=uc2.ark:/13960/t77s7nv2h</v>
      </c>
      <c r="H4848" t="str">
        <f>HYPERLINK("http://catalog.hathitrust.org/Record/007689232")</f>
        <v>http://catalog.hathitrust.org/Record/007689232</v>
      </c>
      <c r="J4848" s="1">
        <v>1848</v>
      </c>
      <c r="K4848" t="s">
        <v>9498</v>
      </c>
      <c r="L4848" t="s">
        <v>17631</v>
      </c>
    </row>
    <row r="4849" spans="1:12">
      <c r="A4849" t="s">
        <v>9499</v>
      </c>
      <c r="B4849" s="1" t="s">
        <v>9500</v>
      </c>
      <c r="F4849">
        <v>1</v>
      </c>
      <c r="G4849" t="str">
        <f>HYPERLINK("http://babel.hathitrust.org/cgi/pt?id=njp.32101074758523")</f>
        <v>http://babel.hathitrust.org/cgi/pt?id=njp.32101074758523</v>
      </c>
      <c r="H4849" t="str">
        <f>HYPERLINK("http://catalog.hathitrust.org/Record/007689297")</f>
        <v>http://catalog.hathitrust.org/Record/007689297</v>
      </c>
      <c r="J4849" s="1">
        <v>1895</v>
      </c>
      <c r="K4849" t="s">
        <v>9501</v>
      </c>
      <c r="L4849" t="s">
        <v>9502</v>
      </c>
    </row>
    <row r="4850" spans="1:12">
      <c r="A4850" t="s">
        <v>9396</v>
      </c>
      <c r="B4850" s="1" t="s">
        <v>9500</v>
      </c>
      <c r="F4850">
        <v>1</v>
      </c>
      <c r="G4850" t="str">
        <f>HYPERLINK("http://babel.hathitrust.org/cgi/pt?id=uc2.ark:/13960/t0dv1h739")</f>
        <v>http://babel.hathitrust.org/cgi/pt?id=uc2.ark:/13960/t0dv1h739</v>
      </c>
      <c r="H4850" t="str">
        <f>HYPERLINK("http://catalog.hathitrust.org/Record/007689297")</f>
        <v>http://catalog.hathitrust.org/Record/007689297</v>
      </c>
      <c r="J4850" s="1">
        <v>1895</v>
      </c>
      <c r="K4850" t="s">
        <v>9501</v>
      </c>
      <c r="L4850" t="s">
        <v>9502</v>
      </c>
    </row>
    <row r="4851" spans="1:12">
      <c r="A4851" t="s">
        <v>9397</v>
      </c>
      <c r="B4851" s="1" t="s">
        <v>9398</v>
      </c>
      <c r="F4851">
        <v>1</v>
      </c>
      <c r="G4851" t="str">
        <f>HYPERLINK("http://babel.hathitrust.org/cgi/pt?id=hvd.hxg8hr")</f>
        <v>http://babel.hathitrust.org/cgi/pt?id=hvd.hxg8hr</v>
      </c>
      <c r="H4851" t="str">
        <f>HYPERLINK("http://catalog.hathitrust.org/Record/007689347")</f>
        <v>http://catalog.hathitrust.org/Record/007689347</v>
      </c>
      <c r="I4851" s="1" t="s">
        <v>20755</v>
      </c>
      <c r="J4851" s="1">
        <v>1804</v>
      </c>
      <c r="K4851" t="s">
        <v>9399</v>
      </c>
      <c r="L4851" t="s">
        <v>15375</v>
      </c>
    </row>
    <row r="4852" spans="1:12">
      <c r="A4852" t="s">
        <v>9400</v>
      </c>
      <c r="B4852" s="1" t="s">
        <v>9398</v>
      </c>
      <c r="F4852">
        <v>1</v>
      </c>
      <c r="G4852" t="str">
        <f>HYPERLINK("http://babel.hathitrust.org/cgi/pt?id=hvd.hxg8hs")</f>
        <v>http://babel.hathitrust.org/cgi/pt?id=hvd.hxg8hs</v>
      </c>
      <c r="H4852" t="str">
        <f>HYPERLINK("http://catalog.hathitrust.org/Record/007689347")</f>
        <v>http://catalog.hathitrust.org/Record/007689347</v>
      </c>
      <c r="I4852" s="1" t="s">
        <v>20916</v>
      </c>
      <c r="J4852" s="1">
        <v>1804</v>
      </c>
      <c r="K4852" t="s">
        <v>9399</v>
      </c>
      <c r="L4852" t="s">
        <v>15375</v>
      </c>
    </row>
    <row r="4853" spans="1:12">
      <c r="A4853" t="s">
        <v>9401</v>
      </c>
      <c r="B4853" s="1" t="s">
        <v>9398</v>
      </c>
      <c r="F4853">
        <v>1</v>
      </c>
      <c r="G4853" t="str">
        <f>HYPERLINK("http://babel.hathitrust.org/cgi/pt?id=nyp.33433067277065")</f>
        <v>http://babel.hathitrust.org/cgi/pt?id=nyp.33433067277065</v>
      </c>
      <c r="H4853" t="str">
        <f>HYPERLINK("http://catalog.hathitrust.org/Record/007689347")</f>
        <v>http://catalog.hathitrust.org/Record/007689347</v>
      </c>
      <c r="I4853" s="1" t="s">
        <v>20796</v>
      </c>
      <c r="J4853" s="1">
        <v>1804</v>
      </c>
      <c r="K4853" t="s">
        <v>9399</v>
      </c>
      <c r="L4853" t="s">
        <v>15375</v>
      </c>
    </row>
    <row r="4854" spans="1:12">
      <c r="A4854" t="s">
        <v>9402</v>
      </c>
      <c r="B4854" s="1" t="s">
        <v>9398</v>
      </c>
      <c r="F4854">
        <v>1</v>
      </c>
      <c r="G4854" t="str">
        <f>HYPERLINK("http://babel.hathitrust.org/cgi/pt?id=nyp.33433067277073")</f>
        <v>http://babel.hathitrust.org/cgi/pt?id=nyp.33433067277073</v>
      </c>
      <c r="H4854" t="str">
        <f>HYPERLINK("http://catalog.hathitrust.org/Record/007689347")</f>
        <v>http://catalog.hathitrust.org/Record/007689347</v>
      </c>
      <c r="I4854" s="1" t="s">
        <v>20799</v>
      </c>
      <c r="J4854" s="1">
        <v>1804</v>
      </c>
      <c r="K4854" t="s">
        <v>9399</v>
      </c>
      <c r="L4854" t="s">
        <v>15375</v>
      </c>
    </row>
    <row r="4855" spans="1:12">
      <c r="A4855" t="s">
        <v>9403</v>
      </c>
      <c r="B4855" s="1" t="s">
        <v>9398</v>
      </c>
      <c r="F4855">
        <v>1</v>
      </c>
      <c r="G4855" t="str">
        <f>HYPERLINK("http://babel.hathitrust.org/cgi/pt?id=uc2.ark:/13960/t6m042b2t")</f>
        <v>http://babel.hathitrust.org/cgi/pt?id=uc2.ark:/13960/t6m042b2t</v>
      </c>
      <c r="H4855" t="str">
        <f>HYPERLINK("http://catalog.hathitrust.org/Record/007689347")</f>
        <v>http://catalog.hathitrust.org/Record/007689347</v>
      </c>
      <c r="I4855" s="1" t="s">
        <v>20916</v>
      </c>
      <c r="J4855" s="1">
        <v>1804</v>
      </c>
      <c r="K4855" t="s">
        <v>9399</v>
      </c>
      <c r="L4855" t="s">
        <v>15375</v>
      </c>
    </row>
    <row r="4856" spans="1:12">
      <c r="A4856" t="s">
        <v>9404</v>
      </c>
      <c r="B4856" s="1" t="s">
        <v>9405</v>
      </c>
      <c r="F4856">
        <v>1</v>
      </c>
      <c r="G4856" t="str">
        <f>HYPERLINK("http://babel.hathitrust.org/cgi/pt?id=nyp.33433082512033")</f>
        <v>http://babel.hathitrust.org/cgi/pt?id=nyp.33433082512033</v>
      </c>
      <c r="H4856" t="str">
        <f>HYPERLINK("http://catalog.hathitrust.org/Record/007689428")</f>
        <v>http://catalog.hathitrust.org/Record/007689428</v>
      </c>
      <c r="J4856" s="1">
        <v>1920</v>
      </c>
      <c r="K4856" t="s">
        <v>9406</v>
      </c>
      <c r="L4856" t="s">
        <v>9407</v>
      </c>
    </row>
    <row r="4857" spans="1:12">
      <c r="A4857" t="s">
        <v>9408</v>
      </c>
      <c r="B4857" s="1" t="s">
        <v>9405</v>
      </c>
      <c r="F4857">
        <v>1</v>
      </c>
      <c r="G4857" t="str">
        <f>HYPERLINK("http://babel.hathitrust.org/cgi/pt?id=uc2.ark:/13960/t9v121486")</f>
        <v>http://babel.hathitrust.org/cgi/pt?id=uc2.ark:/13960/t9v121486</v>
      </c>
      <c r="H4857" t="str">
        <f>HYPERLINK("http://catalog.hathitrust.org/Record/007689428")</f>
        <v>http://catalog.hathitrust.org/Record/007689428</v>
      </c>
      <c r="J4857" s="1">
        <v>1920</v>
      </c>
      <c r="K4857" t="s">
        <v>9406</v>
      </c>
      <c r="L4857" t="s">
        <v>9407</v>
      </c>
    </row>
    <row r="4858" spans="1:12">
      <c r="A4858" t="s">
        <v>9409</v>
      </c>
      <c r="B4858" s="1" t="s">
        <v>9410</v>
      </c>
      <c r="F4858">
        <v>1</v>
      </c>
      <c r="G4858" t="str">
        <f>HYPERLINK("http://babel.hathitrust.org/cgi/pt?id=uc2.ark:/13960/t3ws8mt96")</f>
        <v>http://babel.hathitrust.org/cgi/pt?id=uc2.ark:/13960/t3ws8mt96</v>
      </c>
      <c r="H4858" t="str">
        <f>HYPERLINK("http://catalog.hathitrust.org/Record/007689448")</f>
        <v>http://catalog.hathitrust.org/Record/007689448</v>
      </c>
      <c r="J4858" s="1">
        <v>1771</v>
      </c>
      <c r="K4858" t="s">
        <v>9411</v>
      </c>
      <c r="L4858" t="s">
        <v>9412</v>
      </c>
    </row>
    <row r="4859" spans="1:12">
      <c r="A4859" t="s">
        <v>9413</v>
      </c>
      <c r="B4859" s="1" t="s">
        <v>9414</v>
      </c>
      <c r="F4859">
        <v>1</v>
      </c>
      <c r="G4859" t="str">
        <f>HYPERLINK("http://babel.hathitrust.org/cgi/pt?id=nnc1.cu58483756")</f>
        <v>http://babel.hathitrust.org/cgi/pt?id=nnc1.cu58483756</v>
      </c>
      <c r="H4859" t="str">
        <f>HYPERLINK("http://catalog.hathitrust.org/Record/007689502")</f>
        <v>http://catalog.hathitrust.org/Record/007689502</v>
      </c>
      <c r="J4859" s="1">
        <v>1914</v>
      </c>
      <c r="K4859" t="s">
        <v>9415</v>
      </c>
      <c r="L4859" t="s">
        <v>9416</v>
      </c>
    </row>
    <row r="4860" spans="1:12">
      <c r="A4860" t="s">
        <v>9417</v>
      </c>
      <c r="B4860" s="1" t="s">
        <v>9414</v>
      </c>
      <c r="F4860">
        <v>1</v>
      </c>
      <c r="G4860" t="str">
        <f>HYPERLINK("http://babel.hathitrust.org/cgi/pt?id=uc1.$b617064")</f>
        <v>http://babel.hathitrust.org/cgi/pt?id=uc1.$b617064</v>
      </c>
      <c r="H4860" t="str">
        <f>HYPERLINK("http://catalog.hathitrust.org/Record/007689502")</f>
        <v>http://catalog.hathitrust.org/Record/007689502</v>
      </c>
      <c r="J4860" s="1">
        <v>1914</v>
      </c>
      <c r="K4860" t="s">
        <v>9415</v>
      </c>
      <c r="L4860" t="s">
        <v>9416</v>
      </c>
    </row>
    <row r="4861" spans="1:12">
      <c r="A4861" t="s">
        <v>9418</v>
      </c>
      <c r="B4861" s="1" t="s">
        <v>9414</v>
      </c>
      <c r="F4861">
        <v>1</v>
      </c>
      <c r="G4861" t="str">
        <f>HYPERLINK("http://babel.hathitrust.org/cgi/pt?id=uc2.ark:/13960/t6b27v48w")</f>
        <v>http://babel.hathitrust.org/cgi/pt?id=uc2.ark:/13960/t6b27v48w</v>
      </c>
      <c r="H4861" t="str">
        <f>HYPERLINK("http://catalog.hathitrust.org/Record/007689502")</f>
        <v>http://catalog.hathitrust.org/Record/007689502</v>
      </c>
      <c r="J4861" s="1">
        <v>1914</v>
      </c>
      <c r="K4861" t="s">
        <v>9415</v>
      </c>
      <c r="L4861" t="s">
        <v>9416</v>
      </c>
    </row>
    <row r="4862" spans="1:12">
      <c r="A4862" t="s">
        <v>9419</v>
      </c>
      <c r="B4862" s="1" t="s">
        <v>9420</v>
      </c>
      <c r="F4862">
        <v>1</v>
      </c>
      <c r="G4862" t="str">
        <f>HYPERLINK("http://babel.hathitrust.org/cgi/pt?id=uc2.ark:/13960/t6rx97q9n")</f>
        <v>http://babel.hathitrust.org/cgi/pt?id=uc2.ark:/13960/t6rx97q9n</v>
      </c>
      <c r="H4862" t="str">
        <f>HYPERLINK("http://catalog.hathitrust.org/Record/007689512")</f>
        <v>http://catalog.hathitrust.org/Record/007689512</v>
      </c>
      <c r="J4862" s="1">
        <v>1906</v>
      </c>
      <c r="K4862" t="s">
        <v>9511</v>
      </c>
      <c r="L4862" t="s">
        <v>12467</v>
      </c>
    </row>
    <row r="4863" spans="1:12">
      <c r="A4863" t="s">
        <v>9421</v>
      </c>
      <c r="B4863" s="1" t="s">
        <v>9422</v>
      </c>
      <c r="E4863">
        <v>1</v>
      </c>
      <c r="F4863">
        <v>1</v>
      </c>
      <c r="G4863" t="str">
        <f>HYPERLINK("http://babel.hathitrust.org/cgi/pt?id=uc1.31822013405121")</f>
        <v>http://babel.hathitrust.org/cgi/pt?id=uc1.31822013405121</v>
      </c>
      <c r="H4863" t="str">
        <f>HYPERLINK("http://catalog.hathitrust.org/Record/007689520")</f>
        <v>http://catalog.hathitrust.org/Record/007689520</v>
      </c>
      <c r="J4863" s="1">
        <v>1898</v>
      </c>
      <c r="K4863" t="s">
        <v>9423</v>
      </c>
      <c r="L4863" t="s">
        <v>20707</v>
      </c>
    </row>
    <row r="4864" spans="1:12">
      <c r="A4864" t="s">
        <v>9424</v>
      </c>
      <c r="B4864" s="1" t="s">
        <v>9422</v>
      </c>
      <c r="F4864">
        <v>1</v>
      </c>
      <c r="G4864" t="str">
        <f>HYPERLINK("http://babel.hathitrust.org/cgi/pt?id=uc1.32106001352837")</f>
        <v>http://babel.hathitrust.org/cgi/pt?id=uc1.32106001352837</v>
      </c>
      <c r="H4864" t="str">
        <f>HYPERLINK("http://catalog.hathitrust.org/Record/007689520")</f>
        <v>http://catalog.hathitrust.org/Record/007689520</v>
      </c>
      <c r="J4864" s="1">
        <v>1898</v>
      </c>
      <c r="K4864" t="s">
        <v>9423</v>
      </c>
      <c r="L4864" t="s">
        <v>20707</v>
      </c>
    </row>
    <row r="4865" spans="1:12">
      <c r="A4865" t="s">
        <v>9425</v>
      </c>
      <c r="B4865" s="1" t="s">
        <v>9422</v>
      </c>
      <c r="F4865">
        <v>1</v>
      </c>
      <c r="G4865" t="str">
        <f>HYPERLINK("http://babel.hathitrust.org/cgi/pt?id=uc2.ark:/13960/t47p9288n")</f>
        <v>http://babel.hathitrust.org/cgi/pt?id=uc2.ark:/13960/t47p9288n</v>
      </c>
      <c r="H4865" t="str">
        <f>HYPERLINK("http://catalog.hathitrust.org/Record/007689520")</f>
        <v>http://catalog.hathitrust.org/Record/007689520</v>
      </c>
      <c r="J4865" s="1">
        <v>1898</v>
      </c>
      <c r="K4865" t="s">
        <v>9423</v>
      </c>
      <c r="L4865" t="s">
        <v>20707</v>
      </c>
    </row>
    <row r="4866" spans="1:12">
      <c r="A4866" t="s">
        <v>9426</v>
      </c>
      <c r="B4866" s="1" t="s">
        <v>9427</v>
      </c>
      <c r="F4866">
        <v>1</v>
      </c>
      <c r="G4866" t="str">
        <f>HYPERLINK("http://babel.hathitrust.org/cgi/pt?id=uc2.ark:/13960/t45q4x227")</f>
        <v>http://babel.hathitrust.org/cgi/pt?id=uc2.ark:/13960/t45q4x227</v>
      </c>
      <c r="H4866" t="str">
        <f>HYPERLINK("http://catalog.hathitrust.org/Record/007689660")</f>
        <v>http://catalog.hathitrust.org/Record/007689660</v>
      </c>
      <c r="J4866" s="1">
        <v>1878</v>
      </c>
      <c r="K4866" t="s">
        <v>9428</v>
      </c>
      <c r="L4866" t="s">
        <v>9429</v>
      </c>
    </row>
    <row r="4867" spans="1:12">
      <c r="A4867" t="s">
        <v>9430</v>
      </c>
      <c r="B4867" s="1" t="s">
        <v>9431</v>
      </c>
      <c r="F4867">
        <v>1</v>
      </c>
      <c r="G4867" t="str">
        <f>HYPERLINK("http://babel.hathitrust.org/cgi/pt?id=uc2.ark:/13960/t6j101g6b")</f>
        <v>http://babel.hathitrust.org/cgi/pt?id=uc2.ark:/13960/t6j101g6b</v>
      </c>
      <c r="H4867" t="str">
        <f>HYPERLINK("http://catalog.hathitrust.org/Record/007689665")</f>
        <v>http://catalog.hathitrust.org/Record/007689665</v>
      </c>
      <c r="J4867" s="1">
        <v>1896</v>
      </c>
      <c r="K4867" t="s">
        <v>9432</v>
      </c>
      <c r="L4867" t="s">
        <v>9433</v>
      </c>
    </row>
    <row r="4868" spans="1:12">
      <c r="A4868" t="s">
        <v>9434</v>
      </c>
      <c r="B4868" s="1" t="s">
        <v>9435</v>
      </c>
      <c r="F4868">
        <v>1</v>
      </c>
      <c r="G4868" t="str">
        <f>HYPERLINK("http://babel.hathitrust.org/cgi/pt?id=uc2.ark:/13960/t2g73c80c")</f>
        <v>http://babel.hathitrust.org/cgi/pt?id=uc2.ark:/13960/t2g73c80c</v>
      </c>
      <c r="H4868" t="str">
        <f>HYPERLINK("http://catalog.hathitrust.org/Record/007689694")</f>
        <v>http://catalog.hathitrust.org/Record/007689694</v>
      </c>
      <c r="J4868" s="1">
        <v>1888</v>
      </c>
      <c r="K4868" t="s">
        <v>9436</v>
      </c>
      <c r="L4868" t="s">
        <v>9437</v>
      </c>
    </row>
    <row r="4869" spans="1:12">
      <c r="A4869" t="s">
        <v>9438</v>
      </c>
      <c r="B4869" s="1" t="s">
        <v>9439</v>
      </c>
      <c r="F4869">
        <v>1</v>
      </c>
      <c r="G4869" t="str">
        <f>HYPERLINK("http://babel.hathitrust.org/cgi/pt?id=uc2.ark:/13960/t8gf0rn0f")</f>
        <v>http://babel.hathitrust.org/cgi/pt?id=uc2.ark:/13960/t8gf0rn0f</v>
      </c>
      <c r="H4869" t="str">
        <f>HYPERLINK("http://catalog.hathitrust.org/Record/007690003")</f>
        <v>http://catalog.hathitrust.org/Record/007690003</v>
      </c>
      <c r="J4869" s="1">
        <v>1819</v>
      </c>
      <c r="K4869" t="s">
        <v>9440</v>
      </c>
      <c r="L4869" t="s">
        <v>9441</v>
      </c>
    </row>
    <row r="4870" spans="1:12">
      <c r="A4870" t="s">
        <v>9442</v>
      </c>
      <c r="B4870" s="1" t="s">
        <v>9439</v>
      </c>
      <c r="F4870">
        <v>1</v>
      </c>
      <c r="G4870" t="str">
        <f>HYPERLINK("http://babel.hathitrust.org/cgi/pt?id=uva.x000372108")</f>
        <v>http://babel.hathitrust.org/cgi/pt?id=uva.x000372108</v>
      </c>
      <c r="H4870" t="str">
        <f>HYPERLINK("http://catalog.hathitrust.org/Record/007690003")</f>
        <v>http://catalog.hathitrust.org/Record/007690003</v>
      </c>
      <c r="J4870" s="1">
        <v>1819</v>
      </c>
      <c r="K4870" t="s">
        <v>9440</v>
      </c>
      <c r="L4870" t="s">
        <v>9441</v>
      </c>
    </row>
    <row r="4871" spans="1:12">
      <c r="A4871" t="s">
        <v>9443</v>
      </c>
      <c r="B4871" s="1" t="s">
        <v>9444</v>
      </c>
      <c r="F4871">
        <v>1</v>
      </c>
      <c r="G4871" t="str">
        <f>HYPERLINK("http://babel.hathitrust.org/cgi/pt?id=uc2.ark:/13960/t0pr7rt03")</f>
        <v>http://babel.hathitrust.org/cgi/pt?id=uc2.ark:/13960/t0pr7rt03</v>
      </c>
      <c r="H4871" t="str">
        <f>HYPERLINK("http://catalog.hathitrust.org/Record/007690007")</f>
        <v>http://catalog.hathitrust.org/Record/007690007</v>
      </c>
      <c r="J4871" s="1">
        <v>1894</v>
      </c>
      <c r="K4871" t="s">
        <v>14247</v>
      </c>
      <c r="L4871" t="s">
        <v>16360</v>
      </c>
    </row>
    <row r="4872" spans="1:12">
      <c r="A4872" t="s">
        <v>9445</v>
      </c>
      <c r="B4872" s="1" t="s">
        <v>9446</v>
      </c>
      <c r="F4872">
        <v>1</v>
      </c>
      <c r="G4872" t="str">
        <f>HYPERLINK("http://babel.hathitrust.org/cgi/pt?id=uc2.ark:/13960/t07w6c47x")</f>
        <v>http://babel.hathitrust.org/cgi/pt?id=uc2.ark:/13960/t07w6c47x</v>
      </c>
      <c r="H4872" t="str">
        <f>HYPERLINK("http://catalog.hathitrust.org/Record/007690123")</f>
        <v>http://catalog.hathitrust.org/Record/007690123</v>
      </c>
      <c r="J4872" s="1">
        <v>1885</v>
      </c>
      <c r="K4872" t="s">
        <v>9447</v>
      </c>
      <c r="L4872" t="s">
        <v>9448</v>
      </c>
    </row>
    <row r="4873" spans="1:12">
      <c r="A4873" t="s">
        <v>9449</v>
      </c>
      <c r="B4873" s="1" t="s">
        <v>9450</v>
      </c>
      <c r="F4873">
        <v>1</v>
      </c>
      <c r="G4873" t="str">
        <f>HYPERLINK("http://babel.hathitrust.org/cgi/pt?id=nyp.33433082512249")</f>
        <v>http://babel.hathitrust.org/cgi/pt?id=nyp.33433082512249</v>
      </c>
      <c r="H4873" t="str">
        <f>HYPERLINK("http://catalog.hathitrust.org/Record/007690159")</f>
        <v>http://catalog.hathitrust.org/Record/007690159</v>
      </c>
      <c r="I4873" s="1" t="s">
        <v>20796</v>
      </c>
      <c r="J4873" s="1">
        <v>1915</v>
      </c>
      <c r="K4873" t="s">
        <v>9341</v>
      </c>
      <c r="L4873" t="s">
        <v>9342</v>
      </c>
    </row>
    <row r="4874" spans="1:12">
      <c r="A4874" t="s">
        <v>9343</v>
      </c>
      <c r="B4874" s="1" t="s">
        <v>9450</v>
      </c>
      <c r="F4874">
        <v>1</v>
      </c>
      <c r="G4874" t="str">
        <f>HYPERLINK("http://babel.hathitrust.org/cgi/pt?id=uc2.ark:/13960/t36110z17")</f>
        <v>http://babel.hathitrust.org/cgi/pt?id=uc2.ark:/13960/t36110z17</v>
      </c>
      <c r="H4874" t="str">
        <f>HYPERLINK("http://catalog.hathitrust.org/Record/007690159")</f>
        <v>http://catalog.hathitrust.org/Record/007690159</v>
      </c>
      <c r="J4874" s="1">
        <v>1915</v>
      </c>
      <c r="K4874" t="s">
        <v>9341</v>
      </c>
      <c r="L4874" t="s">
        <v>9342</v>
      </c>
    </row>
    <row r="4875" spans="1:12">
      <c r="A4875" t="s">
        <v>9344</v>
      </c>
      <c r="B4875" s="1" t="s">
        <v>9345</v>
      </c>
      <c r="F4875">
        <v>1</v>
      </c>
      <c r="G4875" t="str">
        <f>HYPERLINK("http://babel.hathitrust.org/cgi/pt?id=uc2.ark:/13960/t58c9wf3w")</f>
        <v>http://babel.hathitrust.org/cgi/pt?id=uc2.ark:/13960/t58c9wf3w</v>
      </c>
      <c r="H4875" t="str">
        <f>HYPERLINK("http://catalog.hathitrust.org/Record/007690179")</f>
        <v>http://catalog.hathitrust.org/Record/007690179</v>
      </c>
      <c r="J4875" s="1">
        <v>1913</v>
      </c>
      <c r="K4875" t="s">
        <v>9346</v>
      </c>
      <c r="L4875" t="s">
        <v>12748</v>
      </c>
    </row>
    <row r="4876" spans="1:12">
      <c r="A4876" t="s">
        <v>9347</v>
      </c>
      <c r="B4876" s="1" t="s">
        <v>9345</v>
      </c>
      <c r="F4876">
        <v>1</v>
      </c>
      <c r="G4876" t="str">
        <f>HYPERLINK("http://babel.hathitrust.org/cgi/pt?id=wu.89099906232")</f>
        <v>http://babel.hathitrust.org/cgi/pt?id=wu.89099906232</v>
      </c>
      <c r="H4876" t="str">
        <f>HYPERLINK("http://catalog.hathitrust.org/Record/007690179")</f>
        <v>http://catalog.hathitrust.org/Record/007690179</v>
      </c>
      <c r="J4876" s="1">
        <v>1913</v>
      </c>
      <c r="K4876" t="s">
        <v>9346</v>
      </c>
      <c r="L4876" t="s">
        <v>12748</v>
      </c>
    </row>
    <row r="4877" spans="1:12">
      <c r="A4877" t="s">
        <v>9348</v>
      </c>
      <c r="B4877" s="1" t="s">
        <v>9349</v>
      </c>
      <c r="F4877">
        <v>1</v>
      </c>
      <c r="G4877" t="str">
        <f>HYPERLINK("http://babel.hathitrust.org/cgi/pt?id=uc1.b4020468")</f>
        <v>http://babel.hathitrust.org/cgi/pt?id=uc1.b4020468</v>
      </c>
      <c r="H4877" t="str">
        <f>HYPERLINK("http://catalog.hathitrust.org/Record/007690207")</f>
        <v>http://catalog.hathitrust.org/Record/007690207</v>
      </c>
      <c r="J4877" s="1">
        <v>1888</v>
      </c>
      <c r="K4877" t="s">
        <v>9350</v>
      </c>
      <c r="L4877" t="s">
        <v>9351</v>
      </c>
    </row>
    <row r="4878" spans="1:12">
      <c r="A4878" t="s">
        <v>9352</v>
      </c>
      <c r="B4878" s="1" t="s">
        <v>9349</v>
      </c>
      <c r="F4878">
        <v>1</v>
      </c>
      <c r="G4878" t="str">
        <f>HYPERLINK("http://babel.hathitrust.org/cgi/pt?id=uc2.ark:/13960/t2t43p608")</f>
        <v>http://babel.hathitrust.org/cgi/pt?id=uc2.ark:/13960/t2t43p608</v>
      </c>
      <c r="H4878" t="str">
        <f>HYPERLINK("http://catalog.hathitrust.org/Record/007690207")</f>
        <v>http://catalog.hathitrust.org/Record/007690207</v>
      </c>
      <c r="J4878" s="1">
        <v>1888</v>
      </c>
      <c r="K4878" t="s">
        <v>9350</v>
      </c>
      <c r="L4878" t="s">
        <v>9351</v>
      </c>
    </row>
    <row r="4879" spans="1:12">
      <c r="A4879" t="s">
        <v>9353</v>
      </c>
      <c r="B4879" s="1" t="s">
        <v>9354</v>
      </c>
      <c r="F4879">
        <v>1</v>
      </c>
      <c r="G4879" t="str">
        <f>HYPERLINK("http://babel.hathitrust.org/cgi/pt?id=uc2.ark:/13960/t6j101h1c")</f>
        <v>http://babel.hathitrust.org/cgi/pt?id=uc2.ark:/13960/t6j101h1c</v>
      </c>
      <c r="H4879" t="str">
        <f>HYPERLINK("http://catalog.hathitrust.org/Record/007690225")</f>
        <v>http://catalog.hathitrust.org/Record/007690225</v>
      </c>
      <c r="J4879" s="1">
        <v>1895</v>
      </c>
      <c r="K4879" t="s">
        <v>10146</v>
      </c>
      <c r="L4879" t="s">
        <v>9355</v>
      </c>
    </row>
    <row r="4880" spans="1:12">
      <c r="A4880" t="s">
        <v>9356</v>
      </c>
      <c r="B4880" s="1" t="s">
        <v>9357</v>
      </c>
      <c r="F4880">
        <v>1</v>
      </c>
      <c r="G4880" t="str">
        <f>HYPERLINK("http://babel.hathitrust.org/cgi/pt?id=uc1.$b616470")</f>
        <v>http://babel.hathitrust.org/cgi/pt?id=uc1.$b616470</v>
      </c>
      <c r="H4880" t="str">
        <f>HYPERLINK("http://catalog.hathitrust.org/Record/007690267")</f>
        <v>http://catalog.hathitrust.org/Record/007690267</v>
      </c>
      <c r="J4880" s="1">
        <v>1901</v>
      </c>
      <c r="K4880" t="s">
        <v>9358</v>
      </c>
      <c r="L4880" t="s">
        <v>20952</v>
      </c>
    </row>
    <row r="4881" spans="1:12">
      <c r="A4881" t="s">
        <v>9359</v>
      </c>
      <c r="B4881" s="1" t="s">
        <v>9357</v>
      </c>
      <c r="F4881">
        <v>1</v>
      </c>
      <c r="G4881" t="str">
        <f>HYPERLINK("http://babel.hathitrust.org/cgi/pt?id=uc2.ark:/13960/t1sf2rd4v")</f>
        <v>http://babel.hathitrust.org/cgi/pt?id=uc2.ark:/13960/t1sf2rd4v</v>
      </c>
      <c r="H4881" t="str">
        <f>HYPERLINK("http://catalog.hathitrust.org/Record/007690267")</f>
        <v>http://catalog.hathitrust.org/Record/007690267</v>
      </c>
      <c r="J4881" s="1">
        <v>1901</v>
      </c>
      <c r="K4881" t="s">
        <v>9358</v>
      </c>
      <c r="L4881" t="s">
        <v>20952</v>
      </c>
    </row>
    <row r="4882" spans="1:12">
      <c r="A4882" t="s">
        <v>9360</v>
      </c>
      <c r="B4882" s="1" t="s">
        <v>9361</v>
      </c>
      <c r="E4882">
        <v>1</v>
      </c>
      <c r="F4882">
        <v>1</v>
      </c>
      <c r="G4882" t="str">
        <f>HYPERLINK("http://babel.hathitrust.org/cgi/pt?id=uc2.ark:/13960/t48p60k05")</f>
        <v>http://babel.hathitrust.org/cgi/pt?id=uc2.ark:/13960/t48p60k05</v>
      </c>
      <c r="H4882" t="str">
        <f>HYPERLINK("http://catalog.hathitrust.org/Record/007690549")</f>
        <v>http://catalog.hathitrust.org/Record/007690549</v>
      </c>
      <c r="J4882" s="1">
        <v>1912</v>
      </c>
      <c r="K4882" t="s">
        <v>9362</v>
      </c>
      <c r="L4882" t="s">
        <v>16233</v>
      </c>
    </row>
    <row r="4883" spans="1:12">
      <c r="A4883" t="s">
        <v>9363</v>
      </c>
      <c r="B4883" s="1" t="s">
        <v>9364</v>
      </c>
      <c r="F4883">
        <v>1</v>
      </c>
      <c r="G4883" t="str">
        <f>HYPERLINK("http://babel.hathitrust.org/cgi/pt?id=uc2.ark:/13960/t4gm83k0b")</f>
        <v>http://babel.hathitrust.org/cgi/pt?id=uc2.ark:/13960/t4gm83k0b</v>
      </c>
      <c r="H4883" t="str">
        <f>HYPERLINK("http://catalog.hathitrust.org/Record/007690807")</f>
        <v>http://catalog.hathitrust.org/Record/007690807</v>
      </c>
      <c r="I4883" s="1" t="s">
        <v>9692</v>
      </c>
      <c r="J4883" s="1">
        <v>1774</v>
      </c>
      <c r="K4883" t="s">
        <v>9365</v>
      </c>
      <c r="L4883" t="s">
        <v>18463</v>
      </c>
    </row>
    <row r="4884" spans="1:12">
      <c r="A4884" t="s">
        <v>9366</v>
      </c>
      <c r="B4884" s="1" t="s">
        <v>9364</v>
      </c>
      <c r="F4884">
        <v>1</v>
      </c>
      <c r="G4884" t="str">
        <f>HYPERLINK("http://babel.hathitrust.org/cgi/pt?id=uc2.ark:/13960/t5h992s8b")</f>
        <v>http://babel.hathitrust.org/cgi/pt?id=uc2.ark:/13960/t5h992s8b</v>
      </c>
      <c r="H4884" t="str">
        <f>HYPERLINK("http://catalog.hathitrust.org/Record/007690807")</f>
        <v>http://catalog.hathitrust.org/Record/007690807</v>
      </c>
      <c r="I4884" s="1" t="s">
        <v>9690</v>
      </c>
      <c r="J4884" s="1">
        <v>1774</v>
      </c>
      <c r="K4884" t="s">
        <v>9365</v>
      </c>
      <c r="L4884" t="s">
        <v>18463</v>
      </c>
    </row>
    <row r="4885" spans="1:12">
      <c r="A4885" t="s">
        <v>9367</v>
      </c>
      <c r="B4885" s="1" t="s">
        <v>9368</v>
      </c>
      <c r="F4885">
        <v>1</v>
      </c>
      <c r="G4885" t="str">
        <f>HYPERLINK("http://babel.hathitrust.org/cgi/pt?id=nyp.33433069256729")</f>
        <v>http://babel.hathitrust.org/cgi/pt?id=nyp.33433069256729</v>
      </c>
      <c r="H4885" t="str">
        <f>HYPERLINK("http://catalog.hathitrust.org/Record/007691015")</f>
        <v>http://catalog.hathitrust.org/Record/007691015</v>
      </c>
      <c r="I4885" s="1" t="s">
        <v>20796</v>
      </c>
      <c r="J4885" s="1">
        <v>1853</v>
      </c>
      <c r="K4885" t="s">
        <v>9369</v>
      </c>
      <c r="L4885" t="s">
        <v>20043</v>
      </c>
    </row>
    <row r="4886" spans="1:12">
      <c r="A4886" t="s">
        <v>9370</v>
      </c>
      <c r="B4886" s="1" t="s">
        <v>9368</v>
      </c>
      <c r="F4886">
        <v>1</v>
      </c>
      <c r="G4886" t="str">
        <f>HYPERLINK("http://babel.hathitrust.org/cgi/pt?id=uc2.ark:/13960/t2z31ss46")</f>
        <v>http://babel.hathitrust.org/cgi/pt?id=uc2.ark:/13960/t2z31ss46</v>
      </c>
      <c r="H4886" t="str">
        <f>HYPERLINK("http://catalog.hathitrust.org/Record/007691015")</f>
        <v>http://catalog.hathitrust.org/Record/007691015</v>
      </c>
      <c r="I4886" s="1" t="s">
        <v>19351</v>
      </c>
      <c r="J4886" s="1">
        <v>1853</v>
      </c>
      <c r="K4886" t="s">
        <v>9369</v>
      </c>
      <c r="L4886" t="s">
        <v>20043</v>
      </c>
    </row>
    <row r="4887" spans="1:12">
      <c r="A4887" t="s">
        <v>9371</v>
      </c>
      <c r="B4887" s="1" t="s">
        <v>9372</v>
      </c>
      <c r="F4887">
        <v>1</v>
      </c>
      <c r="G4887" t="str">
        <f>HYPERLINK("http://babel.hathitrust.org/cgi/pt?id=uc2.ark:/13960/t0cv4gr4x")</f>
        <v>http://babel.hathitrust.org/cgi/pt?id=uc2.ark:/13960/t0cv4gr4x</v>
      </c>
      <c r="H4887" t="str">
        <f>HYPERLINK("http://catalog.hathitrust.org/Record/007691063")</f>
        <v>http://catalog.hathitrust.org/Record/007691063</v>
      </c>
      <c r="J4887" s="1">
        <v>1894</v>
      </c>
      <c r="K4887" t="s">
        <v>9373</v>
      </c>
    </row>
    <row r="4888" spans="1:12">
      <c r="A4888" t="s">
        <v>9374</v>
      </c>
      <c r="B4888" s="1" t="s">
        <v>9375</v>
      </c>
      <c r="F4888">
        <v>1</v>
      </c>
      <c r="G4888" t="str">
        <f>HYPERLINK("http://babel.hathitrust.org/cgi/pt?id=uc2.ark:/13960/t8w95536c")</f>
        <v>http://babel.hathitrust.org/cgi/pt?id=uc2.ark:/13960/t8w95536c</v>
      </c>
      <c r="H4888" t="str">
        <f>HYPERLINK("http://catalog.hathitrust.org/Record/007691080")</f>
        <v>http://catalog.hathitrust.org/Record/007691080</v>
      </c>
      <c r="J4888" s="1">
        <v>1899</v>
      </c>
      <c r="K4888" t="s">
        <v>9376</v>
      </c>
      <c r="L4888" t="s">
        <v>11330</v>
      </c>
    </row>
    <row r="4889" spans="1:12">
      <c r="A4889" t="s">
        <v>9377</v>
      </c>
      <c r="B4889" s="1" t="s">
        <v>9378</v>
      </c>
      <c r="F4889">
        <v>1</v>
      </c>
      <c r="G4889" t="str">
        <f>HYPERLINK("http://babel.hathitrust.org/cgi/pt?id=uc2.ark:/13960/t5fb5337h")</f>
        <v>http://babel.hathitrust.org/cgi/pt?id=uc2.ark:/13960/t5fb5337h</v>
      </c>
      <c r="H4889" t="str">
        <f>HYPERLINK("http://catalog.hathitrust.org/Record/007691154")</f>
        <v>http://catalog.hathitrust.org/Record/007691154</v>
      </c>
      <c r="J4889" s="1">
        <v>1895</v>
      </c>
      <c r="K4889" t="s">
        <v>9379</v>
      </c>
      <c r="L4889" t="s">
        <v>9380</v>
      </c>
    </row>
    <row r="4890" spans="1:12">
      <c r="A4890" t="s">
        <v>9381</v>
      </c>
      <c r="B4890" s="1" t="s">
        <v>9382</v>
      </c>
      <c r="F4890">
        <v>1</v>
      </c>
      <c r="G4890" t="str">
        <f>HYPERLINK("http://babel.hathitrust.org/cgi/pt?id=uc2.ark:/13960/t6348mv9s")</f>
        <v>http://babel.hathitrust.org/cgi/pt?id=uc2.ark:/13960/t6348mv9s</v>
      </c>
      <c r="H4890" t="str">
        <f>HYPERLINK("http://catalog.hathitrust.org/Record/007691155")</f>
        <v>http://catalog.hathitrust.org/Record/007691155</v>
      </c>
      <c r="J4890" s="1">
        <v>1912</v>
      </c>
      <c r="K4890" t="s">
        <v>9383</v>
      </c>
      <c r="L4890" t="s">
        <v>9384</v>
      </c>
    </row>
    <row r="4891" spans="1:12">
      <c r="A4891" t="s">
        <v>9385</v>
      </c>
      <c r="B4891" s="1" t="s">
        <v>9386</v>
      </c>
      <c r="F4891">
        <v>1</v>
      </c>
      <c r="G4891" t="str">
        <f>HYPERLINK("http://babel.hathitrust.org/cgi/pt?id=uc2.ark:/13960/t35141n0z")</f>
        <v>http://babel.hathitrust.org/cgi/pt?id=uc2.ark:/13960/t35141n0z</v>
      </c>
      <c r="H4891" t="str">
        <f>HYPERLINK("http://catalog.hathitrust.org/Record/007691257")</f>
        <v>http://catalog.hathitrust.org/Record/007691257</v>
      </c>
      <c r="J4891" s="1">
        <v>1915</v>
      </c>
      <c r="K4891" t="s">
        <v>9387</v>
      </c>
      <c r="L4891" t="s">
        <v>12506</v>
      </c>
    </row>
    <row r="4892" spans="1:12">
      <c r="A4892" t="s">
        <v>9388</v>
      </c>
      <c r="B4892" s="1" t="s">
        <v>9389</v>
      </c>
      <c r="F4892">
        <v>1</v>
      </c>
      <c r="G4892" t="str">
        <f>HYPERLINK("http://babel.hathitrust.org/cgi/pt?id=nyp.33433082511456")</f>
        <v>http://babel.hathitrust.org/cgi/pt?id=nyp.33433082511456</v>
      </c>
      <c r="H4892" t="str">
        <f>HYPERLINK("http://catalog.hathitrust.org/Record/007691314")</f>
        <v>http://catalog.hathitrust.org/Record/007691314</v>
      </c>
      <c r="J4892" s="1">
        <v>1895</v>
      </c>
      <c r="K4892" t="s">
        <v>9390</v>
      </c>
      <c r="L4892" t="s">
        <v>9391</v>
      </c>
    </row>
    <row r="4893" spans="1:12">
      <c r="A4893" t="s">
        <v>9392</v>
      </c>
      <c r="B4893" s="1" t="s">
        <v>9389</v>
      </c>
      <c r="F4893">
        <v>1</v>
      </c>
      <c r="G4893" t="str">
        <f>HYPERLINK("http://babel.hathitrust.org/cgi/pt?id=uc2.ark:/13960/t02z16p59")</f>
        <v>http://babel.hathitrust.org/cgi/pt?id=uc2.ark:/13960/t02z16p59</v>
      </c>
      <c r="H4893" t="str">
        <f>HYPERLINK("http://catalog.hathitrust.org/Record/007691314")</f>
        <v>http://catalog.hathitrust.org/Record/007691314</v>
      </c>
      <c r="J4893" s="1">
        <v>1895</v>
      </c>
      <c r="K4893" t="s">
        <v>9390</v>
      </c>
      <c r="L4893" t="s">
        <v>9391</v>
      </c>
    </row>
    <row r="4894" spans="1:12">
      <c r="A4894" t="s">
        <v>9393</v>
      </c>
      <c r="B4894" s="1" t="s">
        <v>9389</v>
      </c>
      <c r="F4894">
        <v>1</v>
      </c>
      <c r="G4894" t="str">
        <f>HYPERLINK("http://babel.hathitrust.org/cgi/pt?id=uva.x000474393")</f>
        <v>http://babel.hathitrust.org/cgi/pt?id=uva.x000474393</v>
      </c>
      <c r="H4894" t="str">
        <f>HYPERLINK("http://catalog.hathitrust.org/Record/007691314")</f>
        <v>http://catalog.hathitrust.org/Record/007691314</v>
      </c>
      <c r="J4894" s="1">
        <v>1895</v>
      </c>
      <c r="K4894" t="s">
        <v>9390</v>
      </c>
      <c r="L4894" t="s">
        <v>9391</v>
      </c>
    </row>
    <row r="4895" spans="1:12">
      <c r="A4895" t="s">
        <v>9394</v>
      </c>
      <c r="B4895" s="1" t="s">
        <v>9395</v>
      </c>
      <c r="F4895">
        <v>1</v>
      </c>
      <c r="G4895" t="str">
        <f>HYPERLINK("http://babel.hathitrust.org/cgi/pt?id=uc2.ark:/13960/t6542r75s")</f>
        <v>http://babel.hathitrust.org/cgi/pt?id=uc2.ark:/13960/t6542r75s</v>
      </c>
      <c r="H4895" t="str">
        <f>HYPERLINK("http://catalog.hathitrust.org/Record/007691318")</f>
        <v>http://catalog.hathitrust.org/Record/007691318</v>
      </c>
      <c r="J4895" s="1">
        <v>1910</v>
      </c>
      <c r="K4895" t="s">
        <v>9296</v>
      </c>
      <c r="L4895" t="s">
        <v>9297</v>
      </c>
    </row>
    <row r="4896" spans="1:12">
      <c r="A4896" t="s">
        <v>9298</v>
      </c>
      <c r="B4896" s="1" t="s">
        <v>9299</v>
      </c>
      <c r="E4896">
        <v>1</v>
      </c>
      <c r="G4896" t="str">
        <f>HYPERLINK("http://babel.hathitrust.org/cgi/pt?id=uc2.ark:/13960/t6sx6c85q")</f>
        <v>http://babel.hathitrust.org/cgi/pt?id=uc2.ark:/13960/t6sx6c85q</v>
      </c>
      <c r="H4896" t="str">
        <f>HYPERLINK("http://catalog.hathitrust.org/Record/007691397")</f>
        <v>http://catalog.hathitrust.org/Record/007691397</v>
      </c>
      <c r="J4896" s="1">
        <v>1843</v>
      </c>
      <c r="K4896" t="s">
        <v>13696</v>
      </c>
      <c r="L4896" t="s">
        <v>13697</v>
      </c>
    </row>
    <row r="4897" spans="1:12">
      <c r="A4897" t="s">
        <v>9300</v>
      </c>
      <c r="B4897" s="1" t="s">
        <v>9301</v>
      </c>
      <c r="F4897">
        <v>1</v>
      </c>
      <c r="G4897" t="str">
        <f>HYPERLINK("http://babel.hathitrust.org/cgi/pt?id=uc2.ark:/13960/t09w0dz21")</f>
        <v>http://babel.hathitrust.org/cgi/pt?id=uc2.ark:/13960/t09w0dz21</v>
      </c>
      <c r="H4897" t="str">
        <f>HYPERLINK("http://catalog.hathitrust.org/Record/007691533")</f>
        <v>http://catalog.hathitrust.org/Record/007691533</v>
      </c>
      <c r="J4897" s="1">
        <v>1902</v>
      </c>
      <c r="K4897" t="s">
        <v>9302</v>
      </c>
      <c r="L4897" t="s">
        <v>13910</v>
      </c>
    </row>
    <row r="4898" spans="1:12">
      <c r="A4898" t="s">
        <v>9303</v>
      </c>
      <c r="B4898" s="1" t="s">
        <v>9304</v>
      </c>
      <c r="E4898">
        <v>1</v>
      </c>
      <c r="G4898" t="str">
        <f>HYPERLINK("http://babel.hathitrust.org/cgi/pt?id=uc2.ark:/13960/t24b31f7s")</f>
        <v>http://babel.hathitrust.org/cgi/pt?id=uc2.ark:/13960/t24b31f7s</v>
      </c>
      <c r="H4898" t="str">
        <f>HYPERLINK("http://catalog.hathitrust.org/Record/007691794")</f>
        <v>http://catalog.hathitrust.org/Record/007691794</v>
      </c>
      <c r="I4898" s="1" t="s">
        <v>20681</v>
      </c>
      <c r="J4898" s="1">
        <v>1894</v>
      </c>
      <c r="K4898" t="s">
        <v>14562</v>
      </c>
      <c r="L4898" t="s">
        <v>16848</v>
      </c>
    </row>
    <row r="4899" spans="1:12">
      <c r="A4899" t="s">
        <v>9305</v>
      </c>
      <c r="B4899" s="1" t="s">
        <v>9306</v>
      </c>
      <c r="E4899">
        <v>1</v>
      </c>
      <c r="G4899" t="str">
        <f>HYPERLINK("http://babel.hathitrust.org/cgi/pt?id=uc2.ark:/13960/t89g5mj04")</f>
        <v>http://babel.hathitrust.org/cgi/pt?id=uc2.ark:/13960/t89g5mj04</v>
      </c>
      <c r="H4899" t="str">
        <f>HYPERLINK("http://catalog.hathitrust.org/Record/007692054")</f>
        <v>http://catalog.hathitrust.org/Record/007692054</v>
      </c>
      <c r="J4899" s="1">
        <v>1901</v>
      </c>
      <c r="K4899" t="s">
        <v>19767</v>
      </c>
      <c r="L4899" t="s">
        <v>19768</v>
      </c>
    </row>
    <row r="4900" spans="1:12">
      <c r="A4900" t="s">
        <v>9307</v>
      </c>
      <c r="B4900" s="1" t="s">
        <v>9308</v>
      </c>
      <c r="F4900">
        <v>1</v>
      </c>
      <c r="G4900" t="str">
        <f>HYPERLINK("http://babel.hathitrust.org/cgi/pt?id=uc2.ark:/13960/t3hx19x2r")</f>
        <v>http://babel.hathitrust.org/cgi/pt?id=uc2.ark:/13960/t3hx19x2r</v>
      </c>
      <c r="H4900" t="str">
        <f>HYPERLINK("http://catalog.hathitrust.org/Record/007692105")</f>
        <v>http://catalog.hathitrust.org/Record/007692105</v>
      </c>
      <c r="J4900" s="1">
        <v>1922</v>
      </c>
      <c r="K4900" t="s">
        <v>16999</v>
      </c>
      <c r="L4900" t="s">
        <v>17000</v>
      </c>
    </row>
    <row r="4901" spans="1:12">
      <c r="A4901" t="s">
        <v>9309</v>
      </c>
      <c r="B4901" s="1" t="s">
        <v>9310</v>
      </c>
      <c r="E4901">
        <v>1</v>
      </c>
      <c r="F4901">
        <v>1</v>
      </c>
      <c r="G4901" t="str">
        <f>HYPERLINK("http://babel.hathitrust.org/cgi/pt?id=uc2.ark:/13960/t1wd3v35h")</f>
        <v>http://babel.hathitrust.org/cgi/pt?id=uc2.ark:/13960/t1wd3v35h</v>
      </c>
      <c r="H4901" t="str">
        <f>HYPERLINK("http://catalog.hathitrust.org/Record/007692121")</f>
        <v>http://catalog.hathitrust.org/Record/007692121</v>
      </c>
      <c r="J4901" s="1">
        <v>1837</v>
      </c>
      <c r="K4901" t="s">
        <v>9311</v>
      </c>
      <c r="L4901" t="s">
        <v>11681</v>
      </c>
    </row>
    <row r="4902" spans="1:12">
      <c r="A4902" t="s">
        <v>9312</v>
      </c>
      <c r="B4902" s="1" t="s">
        <v>9313</v>
      </c>
      <c r="F4902">
        <v>1</v>
      </c>
      <c r="G4902" t="str">
        <f>HYPERLINK("http://babel.hathitrust.org/cgi/pt?id=uc1.b4662045")</f>
        <v>http://babel.hathitrust.org/cgi/pt?id=uc1.b4662045</v>
      </c>
      <c r="H4902" t="str">
        <f>HYPERLINK("http://catalog.hathitrust.org/Record/007692255")</f>
        <v>http://catalog.hathitrust.org/Record/007692255</v>
      </c>
      <c r="J4902" s="1">
        <v>1920</v>
      </c>
      <c r="K4902" t="s">
        <v>9314</v>
      </c>
      <c r="L4902" t="s">
        <v>19690</v>
      </c>
    </row>
    <row r="4903" spans="1:12">
      <c r="A4903" t="s">
        <v>9315</v>
      </c>
      <c r="B4903" s="1" t="s">
        <v>9313</v>
      </c>
      <c r="F4903">
        <v>1</v>
      </c>
      <c r="G4903" t="str">
        <f>HYPERLINK("http://babel.hathitrust.org/cgi/pt?id=uc2.ark:/13960/t1kh0jj66")</f>
        <v>http://babel.hathitrust.org/cgi/pt?id=uc2.ark:/13960/t1kh0jj66</v>
      </c>
      <c r="H4903" t="str">
        <f>HYPERLINK("http://catalog.hathitrust.org/Record/007692255")</f>
        <v>http://catalog.hathitrust.org/Record/007692255</v>
      </c>
      <c r="J4903" s="1">
        <v>1920</v>
      </c>
      <c r="K4903" t="s">
        <v>9314</v>
      </c>
      <c r="L4903" t="s">
        <v>19690</v>
      </c>
    </row>
    <row r="4904" spans="1:12">
      <c r="A4904" t="s">
        <v>9316</v>
      </c>
      <c r="B4904" s="1" t="s">
        <v>9317</v>
      </c>
      <c r="F4904">
        <v>1</v>
      </c>
      <c r="G4904" t="str">
        <f>HYPERLINK("http://babel.hathitrust.org/cgi/pt?id=uc1.$b662809")</f>
        <v>http://babel.hathitrust.org/cgi/pt?id=uc1.$b662809</v>
      </c>
      <c r="H4904" t="str">
        <f>HYPERLINK("http://catalog.hathitrust.org/Record/007692551")</f>
        <v>http://catalog.hathitrust.org/Record/007692551</v>
      </c>
      <c r="J4904" s="1">
        <v>1871</v>
      </c>
      <c r="K4904" t="s">
        <v>9318</v>
      </c>
      <c r="L4904" t="s">
        <v>9319</v>
      </c>
    </row>
    <row r="4905" spans="1:12">
      <c r="A4905" t="s">
        <v>9320</v>
      </c>
      <c r="B4905" s="1" t="s">
        <v>9317</v>
      </c>
      <c r="F4905">
        <v>1</v>
      </c>
      <c r="G4905" t="str">
        <f>HYPERLINK("http://babel.hathitrust.org/cgi/pt?id=uc2.ark:/13960/t83j3gw20")</f>
        <v>http://babel.hathitrust.org/cgi/pt?id=uc2.ark:/13960/t83j3gw20</v>
      </c>
      <c r="H4905" t="str">
        <f>HYPERLINK("http://catalog.hathitrust.org/Record/007692551")</f>
        <v>http://catalog.hathitrust.org/Record/007692551</v>
      </c>
      <c r="J4905" s="1">
        <v>1871</v>
      </c>
      <c r="K4905" t="s">
        <v>9318</v>
      </c>
      <c r="L4905" t="s">
        <v>9319</v>
      </c>
    </row>
    <row r="4906" spans="1:12">
      <c r="A4906" t="s">
        <v>9321</v>
      </c>
      <c r="B4906" s="1" t="s">
        <v>9322</v>
      </c>
      <c r="F4906">
        <v>1</v>
      </c>
      <c r="G4906" t="str">
        <f>HYPERLINK("http://babel.hathitrust.org/cgi/pt?id=uc2.ark:/13960/t4kk9xd9b")</f>
        <v>http://babel.hathitrust.org/cgi/pt?id=uc2.ark:/13960/t4kk9xd9b</v>
      </c>
      <c r="H4906" t="str">
        <f>HYPERLINK("http://catalog.hathitrust.org/Record/007692700")</f>
        <v>http://catalog.hathitrust.org/Record/007692700</v>
      </c>
      <c r="J4906" s="1">
        <v>1917</v>
      </c>
      <c r="K4906" t="s">
        <v>9323</v>
      </c>
      <c r="L4906" t="s">
        <v>9324</v>
      </c>
    </row>
    <row r="4907" spans="1:12">
      <c r="A4907" t="s">
        <v>9325</v>
      </c>
      <c r="B4907" s="1" t="s">
        <v>9326</v>
      </c>
      <c r="F4907">
        <v>1</v>
      </c>
      <c r="G4907" t="str">
        <f>HYPERLINK("http://babel.hathitrust.org/cgi/pt?id=uc2.ark:/13960/t6b27wp8g")</f>
        <v>http://babel.hathitrust.org/cgi/pt?id=uc2.ark:/13960/t6b27wp8g</v>
      </c>
      <c r="H4907" t="str">
        <f>HYPERLINK("http://catalog.hathitrust.org/Record/007692806")</f>
        <v>http://catalog.hathitrust.org/Record/007692806</v>
      </c>
      <c r="J4907" s="1">
        <v>1896</v>
      </c>
      <c r="K4907" t="s">
        <v>9327</v>
      </c>
      <c r="L4907" t="s">
        <v>9839</v>
      </c>
    </row>
    <row r="4908" spans="1:12">
      <c r="A4908" t="s">
        <v>9328</v>
      </c>
      <c r="B4908" s="1" t="s">
        <v>9329</v>
      </c>
      <c r="F4908">
        <v>1</v>
      </c>
      <c r="G4908" t="str">
        <f>HYPERLINK("http://babel.hathitrust.org/cgi/pt?id=uc2.ark:/13960/t1td9s754")</f>
        <v>http://babel.hathitrust.org/cgi/pt?id=uc2.ark:/13960/t1td9s754</v>
      </c>
      <c r="H4908" t="str">
        <f>HYPERLINK("http://catalog.hathitrust.org/Record/007693118")</f>
        <v>http://catalog.hathitrust.org/Record/007693118</v>
      </c>
      <c r="J4908" s="1">
        <v>1909</v>
      </c>
      <c r="K4908" t="s">
        <v>9330</v>
      </c>
      <c r="L4908" t="s">
        <v>17940</v>
      </c>
    </row>
    <row r="4909" spans="1:12">
      <c r="A4909" t="s">
        <v>9331</v>
      </c>
      <c r="B4909" s="1" t="s">
        <v>9332</v>
      </c>
      <c r="F4909">
        <v>1</v>
      </c>
      <c r="G4909" t="str">
        <f>HYPERLINK("http://babel.hathitrust.org/cgi/pt?id=uc2.ark:/13960/t74t6kj6m")</f>
        <v>http://babel.hathitrust.org/cgi/pt?id=uc2.ark:/13960/t74t6kj6m</v>
      </c>
      <c r="H4909" t="str">
        <f>HYPERLINK("http://catalog.hathitrust.org/Record/007693215")</f>
        <v>http://catalog.hathitrust.org/Record/007693215</v>
      </c>
      <c r="J4909" s="1">
        <v>1889</v>
      </c>
      <c r="K4909" t="s">
        <v>13313</v>
      </c>
      <c r="L4909" t="s">
        <v>20884</v>
      </c>
    </row>
    <row r="4910" spans="1:12">
      <c r="A4910" t="s">
        <v>9333</v>
      </c>
      <c r="B4910" s="1" t="s">
        <v>9332</v>
      </c>
      <c r="F4910">
        <v>1</v>
      </c>
      <c r="G4910" t="str">
        <f>HYPERLINK("http://babel.hathitrust.org/cgi/pt?id=uva.x001153756")</f>
        <v>http://babel.hathitrust.org/cgi/pt?id=uva.x001153756</v>
      </c>
      <c r="H4910" t="str">
        <f>HYPERLINK("http://catalog.hathitrust.org/Record/007693215")</f>
        <v>http://catalog.hathitrust.org/Record/007693215</v>
      </c>
      <c r="J4910" s="1">
        <v>1889</v>
      </c>
      <c r="K4910" t="s">
        <v>13313</v>
      </c>
      <c r="L4910" t="s">
        <v>20884</v>
      </c>
    </row>
    <row r="4911" spans="1:12">
      <c r="A4911" t="s">
        <v>9334</v>
      </c>
      <c r="B4911" s="1" t="s">
        <v>9335</v>
      </c>
      <c r="F4911">
        <v>1</v>
      </c>
      <c r="G4911" t="str">
        <f>HYPERLINK("http://babel.hathitrust.org/cgi/pt?id=uc2.ark:/13960/t42r3t658")</f>
        <v>http://babel.hathitrust.org/cgi/pt?id=uc2.ark:/13960/t42r3t658</v>
      </c>
      <c r="H4911" t="str">
        <f>HYPERLINK("http://catalog.hathitrust.org/Record/007693217")</f>
        <v>http://catalog.hathitrust.org/Record/007693217</v>
      </c>
      <c r="J4911" s="1">
        <v>1893</v>
      </c>
      <c r="K4911" t="s">
        <v>20883</v>
      </c>
      <c r="L4911" t="s">
        <v>20884</v>
      </c>
    </row>
    <row r="4912" spans="1:12">
      <c r="A4912" t="s">
        <v>9336</v>
      </c>
      <c r="B4912" s="1" t="s">
        <v>9337</v>
      </c>
      <c r="F4912">
        <v>1</v>
      </c>
      <c r="G4912" t="str">
        <f>HYPERLINK("http://babel.hathitrust.org/cgi/pt?id=uc2.ark:/13960/t2m61gt4v")</f>
        <v>http://babel.hathitrust.org/cgi/pt?id=uc2.ark:/13960/t2m61gt4v</v>
      </c>
      <c r="H4912" t="str">
        <f>HYPERLINK("http://catalog.hathitrust.org/Record/007693219")</f>
        <v>http://catalog.hathitrust.org/Record/007693219</v>
      </c>
      <c r="J4912" s="1">
        <v>1869</v>
      </c>
      <c r="K4912" t="s">
        <v>9338</v>
      </c>
      <c r="L4912" t="s">
        <v>20884</v>
      </c>
    </row>
    <row r="4913" spans="1:12">
      <c r="A4913" t="s">
        <v>9339</v>
      </c>
      <c r="B4913" s="1" t="s">
        <v>9340</v>
      </c>
      <c r="F4913">
        <v>1</v>
      </c>
      <c r="G4913" t="str">
        <f>HYPERLINK("http://babel.hathitrust.org/cgi/pt?id=hvd.32044054765409")</f>
        <v>http://babel.hathitrust.org/cgi/pt?id=hvd.32044054765409</v>
      </c>
      <c r="H4913" t="str">
        <f>HYPERLINK("http://catalog.hathitrust.org/Record/007693362")</f>
        <v>http://catalog.hathitrust.org/Record/007693362</v>
      </c>
      <c r="J4913" s="1">
        <v>1810</v>
      </c>
      <c r="K4913" t="s">
        <v>9261</v>
      </c>
      <c r="L4913" t="s">
        <v>20960</v>
      </c>
    </row>
    <row r="4914" spans="1:12">
      <c r="A4914" t="s">
        <v>9262</v>
      </c>
      <c r="B4914" s="1" t="s">
        <v>9340</v>
      </c>
      <c r="F4914">
        <v>1</v>
      </c>
      <c r="G4914" t="str">
        <f>HYPERLINK("http://babel.hathitrust.org/cgi/pt?id=uc2.ark:/13960/t2f769938")</f>
        <v>http://babel.hathitrust.org/cgi/pt?id=uc2.ark:/13960/t2f769938</v>
      </c>
      <c r="H4914" t="str">
        <f>HYPERLINK("http://catalog.hathitrust.org/Record/007693362")</f>
        <v>http://catalog.hathitrust.org/Record/007693362</v>
      </c>
      <c r="J4914" s="1">
        <v>1810</v>
      </c>
      <c r="K4914" t="s">
        <v>9261</v>
      </c>
      <c r="L4914" t="s">
        <v>20960</v>
      </c>
    </row>
    <row r="4915" spans="1:12">
      <c r="A4915" t="s">
        <v>9263</v>
      </c>
      <c r="B4915" s="1" t="s">
        <v>9264</v>
      </c>
      <c r="F4915">
        <v>1</v>
      </c>
      <c r="G4915" t="str">
        <f>HYPERLINK("http://babel.hathitrust.org/cgi/pt?id=uc2.ark:/13960/t2q52kg0n")</f>
        <v>http://babel.hathitrust.org/cgi/pt?id=uc2.ark:/13960/t2q52kg0n</v>
      </c>
      <c r="H4915" t="str">
        <f>HYPERLINK("http://catalog.hathitrust.org/Record/007693381")</f>
        <v>http://catalog.hathitrust.org/Record/007693381</v>
      </c>
      <c r="J4915" s="1">
        <v>1918</v>
      </c>
      <c r="K4915" t="s">
        <v>9265</v>
      </c>
      <c r="L4915" t="s">
        <v>9266</v>
      </c>
    </row>
    <row r="4916" spans="1:12">
      <c r="A4916" t="s">
        <v>9267</v>
      </c>
      <c r="B4916" s="1" t="s">
        <v>9268</v>
      </c>
      <c r="F4916">
        <v>1</v>
      </c>
      <c r="G4916" t="str">
        <f>HYPERLINK("http://babel.hathitrust.org/cgi/pt?id=uc2.ark:/13960/t6f18z01x")</f>
        <v>http://babel.hathitrust.org/cgi/pt?id=uc2.ark:/13960/t6f18z01x</v>
      </c>
      <c r="H4916" t="str">
        <f>HYPERLINK("http://catalog.hathitrust.org/Record/007693470")</f>
        <v>http://catalog.hathitrust.org/Record/007693470</v>
      </c>
      <c r="J4916" s="1">
        <v>1890</v>
      </c>
      <c r="K4916" t="s">
        <v>9269</v>
      </c>
      <c r="L4916" t="s">
        <v>9270</v>
      </c>
    </row>
    <row r="4917" spans="1:12">
      <c r="A4917" t="s">
        <v>9271</v>
      </c>
      <c r="B4917" s="1" t="s">
        <v>9272</v>
      </c>
      <c r="F4917">
        <v>1</v>
      </c>
      <c r="G4917" t="str">
        <f>HYPERLINK("http://babel.hathitrust.org/cgi/pt?id=hvd.32044019415009")</f>
        <v>http://babel.hathitrust.org/cgi/pt?id=hvd.32044019415009</v>
      </c>
      <c r="H4917" t="str">
        <f>HYPERLINK("http://catalog.hathitrust.org/Record/007693477")</f>
        <v>http://catalog.hathitrust.org/Record/007693477</v>
      </c>
      <c r="J4917" s="1">
        <v>1847</v>
      </c>
      <c r="K4917" t="s">
        <v>9273</v>
      </c>
      <c r="L4917" t="s">
        <v>15042</v>
      </c>
    </row>
    <row r="4918" spans="1:12">
      <c r="A4918" t="s">
        <v>9274</v>
      </c>
      <c r="B4918" s="1" t="s">
        <v>9272</v>
      </c>
      <c r="F4918">
        <v>1</v>
      </c>
      <c r="G4918" t="str">
        <f>HYPERLINK("http://babel.hathitrust.org/cgi/pt?id=hvd.hwpa9a")</f>
        <v>http://babel.hathitrust.org/cgi/pt?id=hvd.hwpa9a</v>
      </c>
      <c r="H4918" t="str">
        <f>HYPERLINK("http://catalog.hathitrust.org/Record/007693477")</f>
        <v>http://catalog.hathitrust.org/Record/007693477</v>
      </c>
      <c r="J4918" s="1">
        <v>1847</v>
      </c>
      <c r="K4918" t="s">
        <v>9273</v>
      </c>
      <c r="L4918" t="s">
        <v>15042</v>
      </c>
    </row>
    <row r="4919" spans="1:12">
      <c r="A4919" t="s">
        <v>9275</v>
      </c>
      <c r="B4919" s="1" t="s">
        <v>9272</v>
      </c>
      <c r="F4919">
        <v>1</v>
      </c>
      <c r="G4919" t="str">
        <f>HYPERLINK("http://babel.hathitrust.org/cgi/pt?id=uc2.ark:/13960/t9862j51x")</f>
        <v>http://babel.hathitrust.org/cgi/pt?id=uc2.ark:/13960/t9862j51x</v>
      </c>
      <c r="H4919" t="str">
        <f>HYPERLINK("http://catalog.hathitrust.org/Record/007693477")</f>
        <v>http://catalog.hathitrust.org/Record/007693477</v>
      </c>
      <c r="J4919" s="1">
        <v>1847</v>
      </c>
      <c r="K4919" t="s">
        <v>9273</v>
      </c>
      <c r="L4919" t="s">
        <v>15042</v>
      </c>
    </row>
    <row r="4920" spans="1:12">
      <c r="A4920" t="s">
        <v>9276</v>
      </c>
      <c r="B4920" s="1" t="s">
        <v>9277</v>
      </c>
      <c r="F4920">
        <v>1</v>
      </c>
      <c r="G4920" t="str">
        <f>HYPERLINK("http://babel.hathitrust.org/cgi/pt?id=nyp.33433082513650")</f>
        <v>http://babel.hathitrust.org/cgi/pt?id=nyp.33433082513650</v>
      </c>
      <c r="H4920" t="str">
        <f>HYPERLINK("http://catalog.hathitrust.org/Record/007693527")</f>
        <v>http://catalog.hathitrust.org/Record/007693527</v>
      </c>
      <c r="J4920" s="1">
        <v>1889</v>
      </c>
      <c r="K4920" t="s">
        <v>9278</v>
      </c>
      <c r="L4920" t="s">
        <v>9279</v>
      </c>
    </row>
    <row r="4921" spans="1:12">
      <c r="A4921" t="s">
        <v>9280</v>
      </c>
      <c r="B4921" s="1" t="s">
        <v>9277</v>
      </c>
      <c r="F4921">
        <v>1</v>
      </c>
      <c r="G4921" t="str">
        <f>HYPERLINK("http://babel.hathitrust.org/cgi/pt?id=uc2.ark:/13960/t7mp51269")</f>
        <v>http://babel.hathitrust.org/cgi/pt?id=uc2.ark:/13960/t7mp51269</v>
      </c>
      <c r="H4921" t="str">
        <f>HYPERLINK("http://catalog.hathitrust.org/Record/007693527")</f>
        <v>http://catalog.hathitrust.org/Record/007693527</v>
      </c>
      <c r="J4921" s="1">
        <v>1889</v>
      </c>
      <c r="K4921" t="s">
        <v>9278</v>
      </c>
      <c r="L4921" t="s">
        <v>9279</v>
      </c>
    </row>
    <row r="4922" spans="1:12">
      <c r="A4922" t="s">
        <v>9281</v>
      </c>
      <c r="B4922" s="1" t="s">
        <v>9282</v>
      </c>
      <c r="F4922">
        <v>1</v>
      </c>
      <c r="G4922" t="str">
        <f>HYPERLINK("http://babel.hathitrust.org/cgi/pt?id=uc2.ark:/13960/t17m07226")</f>
        <v>http://babel.hathitrust.org/cgi/pt?id=uc2.ark:/13960/t17m07226</v>
      </c>
      <c r="H4922" t="str">
        <f>HYPERLINK("http://catalog.hathitrust.org/Record/007693542")</f>
        <v>http://catalog.hathitrust.org/Record/007693542</v>
      </c>
      <c r="J4922" s="1">
        <v>1810</v>
      </c>
      <c r="K4922" t="s">
        <v>9283</v>
      </c>
      <c r="L4922" t="s">
        <v>20960</v>
      </c>
    </row>
    <row r="4923" spans="1:12">
      <c r="A4923" t="s">
        <v>9284</v>
      </c>
      <c r="B4923" s="1" t="s">
        <v>9285</v>
      </c>
      <c r="F4923">
        <v>1</v>
      </c>
      <c r="G4923" t="str">
        <f>HYPERLINK("http://babel.hathitrust.org/cgi/pt?id=uc2.ark:/13960/t9r210062")</f>
        <v>http://babel.hathitrust.org/cgi/pt?id=uc2.ark:/13960/t9r210062</v>
      </c>
      <c r="H4923" t="str">
        <f>HYPERLINK("http://catalog.hathitrust.org/Record/007693594")</f>
        <v>http://catalog.hathitrust.org/Record/007693594</v>
      </c>
      <c r="J4923" s="1">
        <v>1889</v>
      </c>
      <c r="K4923" t="s">
        <v>9286</v>
      </c>
      <c r="L4923" t="s">
        <v>19460</v>
      </c>
    </row>
    <row r="4924" spans="1:12">
      <c r="A4924" t="s">
        <v>9287</v>
      </c>
      <c r="B4924" s="1" t="s">
        <v>9288</v>
      </c>
      <c r="F4924">
        <v>1</v>
      </c>
      <c r="G4924" t="str">
        <f>HYPERLINK("http://babel.hathitrust.org/cgi/pt?id=uc2.ark:/13960/t8kd1w33b")</f>
        <v>http://babel.hathitrust.org/cgi/pt?id=uc2.ark:/13960/t8kd1w33b</v>
      </c>
      <c r="H4924" t="str">
        <f>HYPERLINK("http://catalog.hathitrust.org/Record/007693662")</f>
        <v>http://catalog.hathitrust.org/Record/007693662</v>
      </c>
      <c r="J4924" s="1">
        <v>1891</v>
      </c>
      <c r="K4924" t="s">
        <v>10683</v>
      </c>
      <c r="L4924" t="s">
        <v>14746</v>
      </c>
    </row>
    <row r="4925" spans="1:12">
      <c r="A4925" t="s">
        <v>9289</v>
      </c>
      <c r="B4925" s="1" t="s">
        <v>9290</v>
      </c>
      <c r="F4925">
        <v>1</v>
      </c>
      <c r="G4925" t="str">
        <f>HYPERLINK("http://babel.hathitrust.org/cgi/pt?id=uc1.$b624782")</f>
        <v>http://babel.hathitrust.org/cgi/pt?id=uc1.$b624782</v>
      </c>
      <c r="H4925" t="str">
        <f>HYPERLINK("http://catalog.hathitrust.org/Record/007693669")</f>
        <v>http://catalog.hathitrust.org/Record/007693669</v>
      </c>
      <c r="J4925" s="1">
        <v>1901</v>
      </c>
      <c r="K4925" t="s">
        <v>9291</v>
      </c>
      <c r="L4925" t="s">
        <v>9292</v>
      </c>
    </row>
    <row r="4926" spans="1:12">
      <c r="A4926" t="s">
        <v>9293</v>
      </c>
      <c r="B4926" s="1" t="s">
        <v>9290</v>
      </c>
      <c r="F4926">
        <v>1</v>
      </c>
      <c r="G4926" t="str">
        <f>HYPERLINK("http://babel.hathitrust.org/cgi/pt?id=uc2.ark:/13960/t8jd4v652")</f>
        <v>http://babel.hathitrust.org/cgi/pt?id=uc2.ark:/13960/t8jd4v652</v>
      </c>
      <c r="H4926" t="str">
        <f>HYPERLINK("http://catalog.hathitrust.org/Record/007693669")</f>
        <v>http://catalog.hathitrust.org/Record/007693669</v>
      </c>
      <c r="J4926" s="1">
        <v>1901</v>
      </c>
      <c r="K4926" t="s">
        <v>9291</v>
      </c>
      <c r="L4926" t="s">
        <v>9292</v>
      </c>
    </row>
    <row r="4927" spans="1:12">
      <c r="A4927" t="s">
        <v>9294</v>
      </c>
      <c r="B4927" s="1" t="s">
        <v>9295</v>
      </c>
      <c r="F4927">
        <v>1</v>
      </c>
      <c r="G4927" t="str">
        <f>HYPERLINK("http://babel.hathitrust.org/cgi/pt?id=uc2.ark:/13960/t1zc7z39g")</f>
        <v>http://babel.hathitrust.org/cgi/pt?id=uc2.ark:/13960/t1zc7z39g</v>
      </c>
      <c r="H4927" t="str">
        <f>HYPERLINK("http://catalog.hathitrust.org/Record/007693793")</f>
        <v>http://catalog.hathitrust.org/Record/007693793</v>
      </c>
      <c r="J4927" s="1">
        <v>1915</v>
      </c>
      <c r="K4927" t="s">
        <v>19270</v>
      </c>
      <c r="L4927" t="s">
        <v>9212</v>
      </c>
    </row>
    <row r="4928" spans="1:12">
      <c r="A4928" t="s">
        <v>9213</v>
      </c>
      <c r="B4928" s="1" t="s">
        <v>9214</v>
      </c>
      <c r="F4928">
        <v>1</v>
      </c>
      <c r="G4928" t="str">
        <f>HYPERLINK("http://babel.hathitrust.org/cgi/pt?id=uc2.ark:/13960/t01z45v11")</f>
        <v>http://babel.hathitrust.org/cgi/pt?id=uc2.ark:/13960/t01z45v11</v>
      </c>
      <c r="H4928" t="str">
        <f>HYPERLINK("http://catalog.hathitrust.org/Record/007693800")</f>
        <v>http://catalog.hathitrust.org/Record/007693800</v>
      </c>
      <c r="J4928" s="1">
        <v>1906</v>
      </c>
      <c r="K4928" t="s">
        <v>9215</v>
      </c>
      <c r="L4928" t="s">
        <v>9216</v>
      </c>
    </row>
    <row r="4929" spans="1:12">
      <c r="A4929" t="s">
        <v>9217</v>
      </c>
      <c r="B4929" s="1" t="s">
        <v>9218</v>
      </c>
      <c r="F4929">
        <v>1</v>
      </c>
      <c r="G4929" t="str">
        <f>HYPERLINK("http://babel.hathitrust.org/cgi/pt?id=uc2.ark:/13960/t9n29tr21")</f>
        <v>http://babel.hathitrust.org/cgi/pt?id=uc2.ark:/13960/t9n29tr21</v>
      </c>
      <c r="H4929" t="str">
        <f>HYPERLINK("http://catalog.hathitrust.org/Record/007693858")</f>
        <v>http://catalog.hathitrust.org/Record/007693858</v>
      </c>
      <c r="J4929" s="1">
        <v>1892</v>
      </c>
      <c r="K4929" t="s">
        <v>9219</v>
      </c>
      <c r="L4929" t="s">
        <v>9220</v>
      </c>
    </row>
    <row r="4930" spans="1:12">
      <c r="A4930" t="s">
        <v>9221</v>
      </c>
      <c r="B4930" s="1" t="s">
        <v>9222</v>
      </c>
      <c r="F4930">
        <v>1</v>
      </c>
      <c r="G4930" t="str">
        <f>HYPERLINK("http://babel.hathitrust.org/cgi/pt?id=uc1.l0063607675")</f>
        <v>http://babel.hathitrust.org/cgi/pt?id=uc1.l0063607675</v>
      </c>
      <c r="H4930" t="str">
        <f>HYPERLINK("http://catalog.hathitrust.org/Record/007693906")</f>
        <v>http://catalog.hathitrust.org/Record/007693906</v>
      </c>
      <c r="J4930" s="1">
        <v>1898</v>
      </c>
      <c r="K4930" t="s">
        <v>9223</v>
      </c>
      <c r="L4930" t="s">
        <v>9216</v>
      </c>
    </row>
    <row r="4931" spans="1:12">
      <c r="A4931" t="s">
        <v>9224</v>
      </c>
      <c r="B4931" s="1" t="s">
        <v>9222</v>
      </c>
      <c r="F4931">
        <v>1</v>
      </c>
      <c r="G4931" t="str">
        <f>HYPERLINK("http://babel.hathitrust.org/cgi/pt?id=uc2.ark:/13960/t1qf8pm9s")</f>
        <v>http://babel.hathitrust.org/cgi/pt?id=uc2.ark:/13960/t1qf8pm9s</v>
      </c>
      <c r="H4931" t="str">
        <f>HYPERLINK("http://catalog.hathitrust.org/Record/007693906")</f>
        <v>http://catalog.hathitrust.org/Record/007693906</v>
      </c>
      <c r="J4931" s="1">
        <v>1898</v>
      </c>
      <c r="K4931" t="s">
        <v>9223</v>
      </c>
      <c r="L4931" t="s">
        <v>9216</v>
      </c>
    </row>
    <row r="4932" spans="1:12">
      <c r="A4932" t="s">
        <v>9225</v>
      </c>
      <c r="B4932" s="1" t="s">
        <v>9226</v>
      </c>
      <c r="F4932">
        <v>1</v>
      </c>
      <c r="G4932" t="str">
        <f>HYPERLINK("http://babel.hathitrust.org/cgi/pt?id=uc2.ark:/13960/t3qv3gv6s")</f>
        <v>http://babel.hathitrust.org/cgi/pt?id=uc2.ark:/13960/t3qv3gv6s</v>
      </c>
      <c r="H4932" t="str">
        <f>HYPERLINK("http://catalog.hathitrust.org/Record/007694323")</f>
        <v>http://catalog.hathitrust.org/Record/007694323</v>
      </c>
      <c r="J4932" s="1">
        <v>1906</v>
      </c>
      <c r="K4932" t="s">
        <v>9227</v>
      </c>
    </row>
    <row r="4933" spans="1:12">
      <c r="A4933" t="s">
        <v>9228</v>
      </c>
      <c r="B4933" s="1" t="s">
        <v>9229</v>
      </c>
      <c r="F4933">
        <v>1</v>
      </c>
      <c r="G4933" t="str">
        <f>HYPERLINK("http://babel.hathitrust.org/cgi/pt?id=uc2.ark:/13960/t3125tk6z")</f>
        <v>http://babel.hathitrust.org/cgi/pt?id=uc2.ark:/13960/t3125tk6z</v>
      </c>
      <c r="H4933" t="str">
        <f>HYPERLINK("http://catalog.hathitrust.org/Record/007694396")</f>
        <v>http://catalog.hathitrust.org/Record/007694396</v>
      </c>
      <c r="I4933" s="1" t="s">
        <v>15823</v>
      </c>
      <c r="J4933" s="1">
        <v>1884</v>
      </c>
      <c r="K4933" t="s">
        <v>9230</v>
      </c>
      <c r="L4933" t="s">
        <v>9231</v>
      </c>
    </row>
    <row r="4934" spans="1:12">
      <c r="A4934" t="s">
        <v>9232</v>
      </c>
      <c r="B4934" s="1" t="s">
        <v>9229</v>
      </c>
      <c r="F4934">
        <v>1</v>
      </c>
      <c r="G4934" t="str">
        <f>HYPERLINK("http://babel.hathitrust.org/cgi/pt?id=uc2.ark:/13960/t7gq6vm5d")</f>
        <v>http://babel.hathitrust.org/cgi/pt?id=uc2.ark:/13960/t7gq6vm5d</v>
      </c>
      <c r="H4934" t="str">
        <f>HYPERLINK("http://catalog.hathitrust.org/Record/007694396")</f>
        <v>http://catalog.hathitrust.org/Record/007694396</v>
      </c>
      <c r="I4934" s="1" t="s">
        <v>15826</v>
      </c>
      <c r="J4934" s="1">
        <v>1884</v>
      </c>
      <c r="K4934" t="s">
        <v>9230</v>
      </c>
      <c r="L4934" t="s">
        <v>9231</v>
      </c>
    </row>
    <row r="4935" spans="1:12">
      <c r="A4935" t="s">
        <v>9233</v>
      </c>
      <c r="B4935" s="1" t="s">
        <v>9234</v>
      </c>
      <c r="F4935">
        <v>1</v>
      </c>
      <c r="G4935" t="str">
        <f>HYPERLINK("http://babel.hathitrust.org/cgi/pt?id=uc2.ark:/13960/t79s1t163")</f>
        <v>http://babel.hathitrust.org/cgi/pt?id=uc2.ark:/13960/t79s1t163</v>
      </c>
      <c r="H4935" t="str">
        <f>HYPERLINK("http://catalog.hathitrust.org/Record/007695223")</f>
        <v>http://catalog.hathitrust.org/Record/007695223</v>
      </c>
      <c r="J4935" s="1">
        <v>1916</v>
      </c>
      <c r="K4935" t="s">
        <v>10979</v>
      </c>
      <c r="L4935" t="s">
        <v>20000</v>
      </c>
    </row>
    <row r="4936" spans="1:12">
      <c r="A4936" t="s">
        <v>9235</v>
      </c>
      <c r="B4936" s="1" t="s">
        <v>9236</v>
      </c>
      <c r="E4936">
        <v>1</v>
      </c>
      <c r="G4936" t="str">
        <f>HYPERLINK("http://babel.hathitrust.org/cgi/pt?id=uc2.ark:/13960/t2h70g35z")</f>
        <v>http://babel.hathitrust.org/cgi/pt?id=uc2.ark:/13960/t2h70g35z</v>
      </c>
      <c r="H4936" t="str">
        <f>HYPERLINK("http://catalog.hathitrust.org/Record/007695353")</f>
        <v>http://catalog.hathitrust.org/Record/007695353</v>
      </c>
      <c r="J4936" s="1">
        <v>1872</v>
      </c>
      <c r="K4936" t="s">
        <v>12126</v>
      </c>
      <c r="L4936" t="s">
        <v>17914</v>
      </c>
    </row>
    <row r="4937" spans="1:12">
      <c r="A4937" t="s">
        <v>9237</v>
      </c>
      <c r="B4937" s="1" t="s">
        <v>9238</v>
      </c>
      <c r="E4937">
        <v>1</v>
      </c>
      <c r="G4937" t="str">
        <f>HYPERLINK("http://babel.hathitrust.org/cgi/pt?id=uc2.ark:/13960/t21c21v6q")</f>
        <v>http://babel.hathitrust.org/cgi/pt?id=uc2.ark:/13960/t21c21v6q</v>
      </c>
      <c r="H4937" t="str">
        <f>HYPERLINK("http://catalog.hathitrust.org/Record/007695423")</f>
        <v>http://catalog.hathitrust.org/Record/007695423</v>
      </c>
      <c r="J4937" s="1">
        <v>1894</v>
      </c>
      <c r="K4937" t="s">
        <v>9239</v>
      </c>
      <c r="L4937" t="s">
        <v>20925</v>
      </c>
    </row>
    <row r="4938" spans="1:12">
      <c r="A4938" t="s">
        <v>9240</v>
      </c>
      <c r="B4938" s="1" t="s">
        <v>9241</v>
      </c>
      <c r="F4938">
        <v>1</v>
      </c>
      <c r="G4938" t="str">
        <f>HYPERLINK("http://babel.hathitrust.org/cgi/pt?id=uc2.ark:/13960/t3cz38r9b")</f>
        <v>http://babel.hathitrust.org/cgi/pt?id=uc2.ark:/13960/t3cz38r9b</v>
      </c>
      <c r="H4938" t="str">
        <f>HYPERLINK("http://catalog.hathitrust.org/Record/007695555")</f>
        <v>http://catalog.hathitrust.org/Record/007695555</v>
      </c>
      <c r="J4938" s="1">
        <v>1895</v>
      </c>
      <c r="K4938" t="s">
        <v>9242</v>
      </c>
      <c r="L4938" t="s">
        <v>20960</v>
      </c>
    </row>
    <row r="4939" spans="1:12">
      <c r="A4939" t="s">
        <v>9243</v>
      </c>
      <c r="B4939" s="1" t="s">
        <v>9244</v>
      </c>
      <c r="F4939">
        <v>1</v>
      </c>
      <c r="G4939" t="str">
        <f>HYPERLINK("http://babel.hathitrust.org/cgi/pt?id=uc2.ark:/13960/t8hd7wq2k")</f>
        <v>http://babel.hathitrust.org/cgi/pt?id=uc2.ark:/13960/t8hd7wq2k</v>
      </c>
      <c r="H4939" t="str">
        <f>HYPERLINK("http://catalog.hathitrust.org/Record/007695567")</f>
        <v>http://catalog.hathitrust.org/Record/007695567</v>
      </c>
      <c r="J4939" s="1">
        <v>1885</v>
      </c>
      <c r="K4939" t="s">
        <v>9245</v>
      </c>
      <c r="L4939" t="s">
        <v>20831</v>
      </c>
    </row>
    <row r="4940" spans="1:12">
      <c r="A4940" t="s">
        <v>9246</v>
      </c>
      <c r="B4940" s="1" t="s">
        <v>9247</v>
      </c>
      <c r="F4940">
        <v>1</v>
      </c>
      <c r="G4940" t="str">
        <f>HYPERLINK("http://babel.hathitrust.org/cgi/pt?id=uc2.ark:/13960/t5h99689r")</f>
        <v>http://babel.hathitrust.org/cgi/pt?id=uc2.ark:/13960/t5h99689r</v>
      </c>
      <c r="H4940" t="str">
        <f>HYPERLINK("http://catalog.hathitrust.org/Record/007695586")</f>
        <v>http://catalog.hathitrust.org/Record/007695586</v>
      </c>
      <c r="J4940" s="1">
        <v>1863</v>
      </c>
      <c r="K4940" t="s">
        <v>11994</v>
      </c>
      <c r="L4940" t="s">
        <v>19384</v>
      </c>
    </row>
    <row r="4941" spans="1:12">
      <c r="A4941" t="s">
        <v>9248</v>
      </c>
      <c r="B4941" s="1" t="s">
        <v>9249</v>
      </c>
      <c r="F4941">
        <v>1</v>
      </c>
      <c r="G4941" t="str">
        <f>HYPERLINK("http://babel.hathitrust.org/cgi/pt?id=hvd.32044029879137")</f>
        <v>http://babel.hathitrust.org/cgi/pt?id=hvd.32044029879137</v>
      </c>
      <c r="H4941" t="str">
        <f>HYPERLINK("http://catalog.hathitrust.org/Record/007696050")</f>
        <v>http://catalog.hathitrust.org/Record/007696050</v>
      </c>
      <c r="I4941" s="1" t="s">
        <v>20916</v>
      </c>
      <c r="J4941" s="1">
        <v>1823</v>
      </c>
      <c r="K4941" t="s">
        <v>9250</v>
      </c>
      <c r="L4941" t="s">
        <v>14751</v>
      </c>
    </row>
    <row r="4942" spans="1:12">
      <c r="A4942" t="s">
        <v>9251</v>
      </c>
      <c r="B4942" s="1" t="s">
        <v>9249</v>
      </c>
      <c r="F4942">
        <v>1</v>
      </c>
      <c r="G4942" t="str">
        <f>HYPERLINK("http://babel.hathitrust.org/cgi/pt?id=uc2.ark:/13960/t4vh5sf8x")</f>
        <v>http://babel.hathitrust.org/cgi/pt?id=uc2.ark:/13960/t4vh5sf8x</v>
      </c>
      <c r="H4942" t="str">
        <f>HYPERLINK("http://catalog.hathitrust.org/Record/007696050")</f>
        <v>http://catalog.hathitrust.org/Record/007696050</v>
      </c>
      <c r="I4942" s="1" t="s">
        <v>20755</v>
      </c>
      <c r="J4942" s="1">
        <v>1823</v>
      </c>
      <c r="K4942" t="s">
        <v>9250</v>
      </c>
      <c r="L4942" t="s">
        <v>14751</v>
      </c>
    </row>
    <row r="4943" spans="1:12">
      <c r="A4943" t="s">
        <v>9252</v>
      </c>
      <c r="B4943" s="1" t="s">
        <v>9253</v>
      </c>
      <c r="F4943">
        <v>1</v>
      </c>
      <c r="G4943" t="str">
        <f>HYPERLINK("http://babel.hathitrust.org/cgi/pt?id=uc2.ark:/13960/t0qr50z67")</f>
        <v>http://babel.hathitrust.org/cgi/pt?id=uc2.ark:/13960/t0qr50z67</v>
      </c>
      <c r="H4943" t="str">
        <f>HYPERLINK("http://catalog.hathitrust.org/Record/007696209")</f>
        <v>http://catalog.hathitrust.org/Record/007696209</v>
      </c>
      <c r="J4943" s="1">
        <v>1902</v>
      </c>
      <c r="K4943" t="s">
        <v>9254</v>
      </c>
      <c r="L4943" t="s">
        <v>9255</v>
      </c>
    </row>
    <row r="4944" spans="1:12">
      <c r="A4944" t="s">
        <v>9256</v>
      </c>
      <c r="B4944" s="1" t="s">
        <v>9257</v>
      </c>
      <c r="E4944">
        <v>1</v>
      </c>
      <c r="F4944">
        <v>1</v>
      </c>
      <c r="G4944" t="str">
        <f>HYPERLINK("http://babel.hathitrust.org/cgi/pt?id=uc2.ark:/13960/t19k4jf91")</f>
        <v>http://babel.hathitrust.org/cgi/pt?id=uc2.ark:/13960/t19k4jf91</v>
      </c>
      <c r="H4944" t="str">
        <f>HYPERLINK("http://catalog.hathitrust.org/Record/007696221")</f>
        <v>http://catalog.hathitrust.org/Record/007696221</v>
      </c>
      <c r="J4944" s="1">
        <v>1888</v>
      </c>
      <c r="K4944" t="s">
        <v>9258</v>
      </c>
      <c r="L4944" t="s">
        <v>20629</v>
      </c>
    </row>
    <row r="4945" spans="1:12">
      <c r="A4945" t="s">
        <v>9259</v>
      </c>
      <c r="B4945" s="1" t="s">
        <v>9260</v>
      </c>
      <c r="F4945">
        <v>1</v>
      </c>
      <c r="G4945" t="str">
        <f>HYPERLINK("http://babel.hathitrust.org/cgi/pt?id=uc2.ark:/13960/t5db86d26")</f>
        <v>http://babel.hathitrust.org/cgi/pt?id=uc2.ark:/13960/t5db86d26</v>
      </c>
      <c r="H4945" t="str">
        <f>HYPERLINK("http://catalog.hathitrust.org/Record/007696272")</f>
        <v>http://catalog.hathitrust.org/Record/007696272</v>
      </c>
      <c r="J4945" s="1">
        <v>1806</v>
      </c>
      <c r="K4945" t="s">
        <v>9162</v>
      </c>
      <c r="L4945" t="s">
        <v>14751</v>
      </c>
    </row>
    <row r="4946" spans="1:12">
      <c r="A4946" t="s">
        <v>9163</v>
      </c>
      <c r="B4946" s="1" t="s">
        <v>9164</v>
      </c>
      <c r="E4946">
        <v>1</v>
      </c>
      <c r="G4946" t="str">
        <f>HYPERLINK("http://babel.hathitrust.org/cgi/pt?id=uc1.b4023220")</f>
        <v>http://babel.hathitrust.org/cgi/pt?id=uc1.b4023220</v>
      </c>
      <c r="H4946" t="str">
        <f>HYPERLINK("http://catalog.hathitrust.org/Record/007696557")</f>
        <v>http://catalog.hathitrust.org/Record/007696557</v>
      </c>
      <c r="J4946" s="1">
        <v>1900</v>
      </c>
      <c r="K4946" t="s">
        <v>9165</v>
      </c>
      <c r="L4946" t="s">
        <v>20629</v>
      </c>
    </row>
    <row r="4947" spans="1:12">
      <c r="A4947" t="s">
        <v>9166</v>
      </c>
      <c r="B4947" s="1" t="s">
        <v>9167</v>
      </c>
      <c r="F4947">
        <v>1</v>
      </c>
      <c r="G4947" t="str">
        <f>HYPERLINK("http://babel.hathitrust.org/cgi/pt?id=loc.ark:/13960/t1mg8fh13")</f>
        <v>http://babel.hathitrust.org/cgi/pt?id=loc.ark:/13960/t1mg8fh13</v>
      </c>
      <c r="H4947" t="str">
        <f>HYPERLINK("http://catalog.hathitrust.org/Record/007696600")</f>
        <v>http://catalog.hathitrust.org/Record/007696600</v>
      </c>
      <c r="J4947" s="1">
        <v>1908</v>
      </c>
      <c r="K4947" t="s">
        <v>9168</v>
      </c>
      <c r="L4947" t="s">
        <v>9169</v>
      </c>
    </row>
    <row r="4948" spans="1:12">
      <c r="A4948" t="s">
        <v>9170</v>
      </c>
      <c r="B4948" s="1" t="s">
        <v>9167</v>
      </c>
      <c r="F4948">
        <v>1</v>
      </c>
      <c r="G4948" t="str">
        <f>HYPERLINK("http://babel.hathitrust.org/cgi/pt?id=uc2.ark:/13960/t9959pt9k")</f>
        <v>http://babel.hathitrust.org/cgi/pt?id=uc2.ark:/13960/t9959pt9k</v>
      </c>
      <c r="H4948" t="str">
        <f>HYPERLINK("http://catalog.hathitrust.org/Record/007696600")</f>
        <v>http://catalog.hathitrust.org/Record/007696600</v>
      </c>
      <c r="J4948" s="1">
        <v>1908</v>
      </c>
      <c r="K4948" t="s">
        <v>9168</v>
      </c>
      <c r="L4948" t="s">
        <v>9169</v>
      </c>
    </row>
    <row r="4949" spans="1:12">
      <c r="A4949" t="s">
        <v>9171</v>
      </c>
      <c r="B4949" s="1" t="s">
        <v>9172</v>
      </c>
      <c r="F4949">
        <v>1</v>
      </c>
      <c r="G4949" t="str">
        <f>HYPERLINK("http://babel.hathitrust.org/cgi/pt?id=uc2.ark:/13960/t6n01cj89")</f>
        <v>http://babel.hathitrust.org/cgi/pt?id=uc2.ark:/13960/t6n01cj89</v>
      </c>
      <c r="H4949" t="str">
        <f>HYPERLINK("http://catalog.hathitrust.org/Record/007696746")</f>
        <v>http://catalog.hathitrust.org/Record/007696746</v>
      </c>
      <c r="J4949" s="1">
        <v>1916</v>
      </c>
      <c r="K4949" t="s">
        <v>9173</v>
      </c>
    </row>
    <row r="4950" spans="1:12">
      <c r="A4950" t="s">
        <v>9174</v>
      </c>
      <c r="B4950" s="1" t="s">
        <v>9175</v>
      </c>
      <c r="F4950">
        <v>1</v>
      </c>
      <c r="G4950" t="str">
        <f>HYPERLINK("http://babel.hathitrust.org/cgi/pt?id=uc2.ark:/13960/t9f47r63k")</f>
        <v>http://babel.hathitrust.org/cgi/pt?id=uc2.ark:/13960/t9f47r63k</v>
      </c>
      <c r="H4950" t="str">
        <f>HYPERLINK("http://catalog.hathitrust.org/Record/007696781")</f>
        <v>http://catalog.hathitrust.org/Record/007696781</v>
      </c>
      <c r="J4950" s="1">
        <v>1846</v>
      </c>
      <c r="K4950" t="s">
        <v>9176</v>
      </c>
      <c r="L4950" t="s">
        <v>9177</v>
      </c>
    </row>
    <row r="4951" spans="1:12">
      <c r="A4951" t="s">
        <v>9178</v>
      </c>
      <c r="B4951" s="1" t="s">
        <v>9179</v>
      </c>
      <c r="E4951">
        <v>1</v>
      </c>
      <c r="G4951" t="str">
        <f>HYPERLINK("http://babel.hathitrust.org/cgi/pt?id=uc2.ark:/13960/t82j6pj4s")</f>
        <v>http://babel.hathitrust.org/cgi/pt?id=uc2.ark:/13960/t82j6pj4s</v>
      </c>
      <c r="H4951" t="str">
        <f>HYPERLINK("http://catalog.hathitrust.org/Record/007697047")</f>
        <v>http://catalog.hathitrust.org/Record/007697047</v>
      </c>
      <c r="I4951" s="1" t="s">
        <v>9180</v>
      </c>
      <c r="J4951" s="1">
        <v>1905</v>
      </c>
      <c r="K4951" t="s">
        <v>11932</v>
      </c>
      <c r="L4951" t="s">
        <v>17875</v>
      </c>
    </row>
    <row r="4952" spans="1:12">
      <c r="A4952" t="s">
        <v>9181</v>
      </c>
      <c r="B4952" s="1" t="s">
        <v>9182</v>
      </c>
      <c r="F4952">
        <v>1</v>
      </c>
      <c r="G4952" t="str">
        <f>HYPERLINK("http://babel.hathitrust.org/cgi/pt?id=uc2.ark:/13960/t5r78jg3s")</f>
        <v>http://babel.hathitrust.org/cgi/pt?id=uc2.ark:/13960/t5r78jg3s</v>
      </c>
      <c r="H4952" t="str">
        <f>HYPERLINK("http://catalog.hathitrust.org/Record/007697209")</f>
        <v>http://catalog.hathitrust.org/Record/007697209</v>
      </c>
      <c r="J4952" s="1">
        <v>1885</v>
      </c>
      <c r="K4952" t="s">
        <v>18884</v>
      </c>
      <c r="L4952" t="s">
        <v>18885</v>
      </c>
    </row>
    <row r="4953" spans="1:12">
      <c r="A4953" t="s">
        <v>9183</v>
      </c>
      <c r="B4953" s="1" t="s">
        <v>9184</v>
      </c>
      <c r="E4953">
        <v>1</v>
      </c>
      <c r="F4953">
        <v>1</v>
      </c>
      <c r="G4953" t="str">
        <f>HYPERLINK("http://babel.hathitrust.org/cgi/pt?id=uc2.ark:/13960/t9h41xr0q")</f>
        <v>http://babel.hathitrust.org/cgi/pt?id=uc2.ark:/13960/t9h41xr0q</v>
      </c>
      <c r="H4953" t="str">
        <f>HYPERLINK("http://catalog.hathitrust.org/Record/007697698")</f>
        <v>http://catalog.hathitrust.org/Record/007697698</v>
      </c>
      <c r="J4953" s="1">
        <v>1901</v>
      </c>
      <c r="K4953" t="s">
        <v>13429</v>
      </c>
      <c r="L4953" t="s">
        <v>15675</v>
      </c>
    </row>
    <row r="4954" spans="1:12">
      <c r="A4954" t="s">
        <v>9185</v>
      </c>
      <c r="B4954" s="1" t="s">
        <v>9186</v>
      </c>
      <c r="E4954">
        <v>1</v>
      </c>
      <c r="F4954">
        <v>1</v>
      </c>
      <c r="G4954" t="str">
        <f>HYPERLINK("http://babel.hathitrust.org/cgi/pt?id=uc2.ark:/13960/t00z7gt52")</f>
        <v>http://babel.hathitrust.org/cgi/pt?id=uc2.ark:/13960/t00z7gt52</v>
      </c>
      <c r="H4954" t="str">
        <f>HYPERLINK("http://catalog.hathitrust.org/Record/007697820")</f>
        <v>http://catalog.hathitrust.org/Record/007697820</v>
      </c>
      <c r="I4954" s="1" t="s">
        <v>20679</v>
      </c>
      <c r="J4954" s="1">
        <v>1920</v>
      </c>
      <c r="K4954" t="s">
        <v>9187</v>
      </c>
      <c r="L4954" t="s">
        <v>19309</v>
      </c>
    </row>
    <row r="4955" spans="1:12">
      <c r="A4955" t="s">
        <v>9188</v>
      </c>
      <c r="B4955" s="1" t="s">
        <v>9186</v>
      </c>
      <c r="E4955">
        <v>1</v>
      </c>
      <c r="F4955">
        <v>1</v>
      </c>
      <c r="G4955" t="str">
        <f>HYPERLINK("http://babel.hathitrust.org/cgi/pt?id=uc2.ark:/13960/t2q52zb9r")</f>
        <v>http://babel.hathitrust.org/cgi/pt?id=uc2.ark:/13960/t2q52zb9r</v>
      </c>
      <c r="H4955" t="str">
        <f>HYPERLINK("http://catalog.hathitrust.org/Record/007697820")</f>
        <v>http://catalog.hathitrust.org/Record/007697820</v>
      </c>
      <c r="I4955" s="1" t="s">
        <v>20916</v>
      </c>
      <c r="J4955" s="1">
        <v>1920</v>
      </c>
      <c r="K4955" t="s">
        <v>9187</v>
      </c>
      <c r="L4955" t="s">
        <v>19309</v>
      </c>
    </row>
    <row r="4956" spans="1:12">
      <c r="A4956" t="s">
        <v>9189</v>
      </c>
      <c r="B4956" s="1" t="s">
        <v>9186</v>
      </c>
      <c r="E4956">
        <v>1</v>
      </c>
      <c r="F4956">
        <v>1</v>
      </c>
      <c r="G4956" t="str">
        <f>HYPERLINK("http://babel.hathitrust.org/cgi/pt?id=uc2.ark:/13960/t82j6rm6g")</f>
        <v>http://babel.hathitrust.org/cgi/pt?id=uc2.ark:/13960/t82j6rm6g</v>
      </c>
      <c r="H4956" t="str">
        <f>HYPERLINK("http://catalog.hathitrust.org/Record/007697820")</f>
        <v>http://catalog.hathitrust.org/Record/007697820</v>
      </c>
      <c r="I4956" s="1" t="s">
        <v>20920</v>
      </c>
      <c r="J4956" s="1">
        <v>1920</v>
      </c>
      <c r="K4956" t="s">
        <v>9187</v>
      </c>
      <c r="L4956" t="s">
        <v>19309</v>
      </c>
    </row>
    <row r="4957" spans="1:12">
      <c r="A4957" t="s">
        <v>9190</v>
      </c>
      <c r="B4957" s="1" t="s">
        <v>9191</v>
      </c>
      <c r="F4957">
        <v>1</v>
      </c>
      <c r="G4957" t="str">
        <f>HYPERLINK("http://babel.hathitrust.org/cgi/pt?id=hvd.32044086520335")</f>
        <v>http://babel.hathitrust.org/cgi/pt?id=hvd.32044086520335</v>
      </c>
      <c r="H4957" t="str">
        <f>HYPERLINK("http://catalog.hathitrust.org/Record/007698110")</f>
        <v>http://catalog.hathitrust.org/Record/007698110</v>
      </c>
      <c r="J4957" s="1">
        <v>1865</v>
      </c>
      <c r="K4957" t="s">
        <v>9192</v>
      </c>
      <c r="L4957" t="s">
        <v>13478</v>
      </c>
    </row>
    <row r="4958" spans="1:12">
      <c r="A4958" t="s">
        <v>9193</v>
      </c>
      <c r="B4958" s="1" t="s">
        <v>9191</v>
      </c>
      <c r="F4958">
        <v>1</v>
      </c>
      <c r="G4958" t="str">
        <f>HYPERLINK("http://babel.hathitrust.org/cgi/pt?id=uc2.ark:/13960/t2p55pm6d")</f>
        <v>http://babel.hathitrust.org/cgi/pt?id=uc2.ark:/13960/t2p55pm6d</v>
      </c>
      <c r="H4958" t="str">
        <f>HYPERLINK("http://catalog.hathitrust.org/Record/007698110")</f>
        <v>http://catalog.hathitrust.org/Record/007698110</v>
      </c>
      <c r="I4958" s="1" t="s">
        <v>20916</v>
      </c>
      <c r="J4958" s="1">
        <v>1865</v>
      </c>
      <c r="K4958" t="s">
        <v>9192</v>
      </c>
      <c r="L4958" t="s">
        <v>13478</v>
      </c>
    </row>
    <row r="4959" spans="1:12">
      <c r="A4959" t="s">
        <v>9194</v>
      </c>
      <c r="B4959" s="1" t="s">
        <v>9195</v>
      </c>
      <c r="E4959">
        <v>1</v>
      </c>
      <c r="G4959" t="str">
        <f>HYPERLINK("http://babel.hathitrust.org/cgi/pt?id=uc2.ark:/13960/t5cc16x7q")</f>
        <v>http://babel.hathitrust.org/cgi/pt?id=uc2.ark:/13960/t5cc16x7q</v>
      </c>
      <c r="H4959" t="str">
        <f>HYPERLINK("http://catalog.hathitrust.org/Record/007698219")</f>
        <v>http://catalog.hathitrust.org/Record/007698219</v>
      </c>
      <c r="J4959" s="1">
        <v>1813</v>
      </c>
      <c r="K4959" t="s">
        <v>9196</v>
      </c>
      <c r="L4959" t="s">
        <v>9197</v>
      </c>
    </row>
    <row r="4960" spans="1:12">
      <c r="A4960" t="s">
        <v>9198</v>
      </c>
      <c r="B4960" s="1" t="s">
        <v>9199</v>
      </c>
      <c r="F4960">
        <v>1</v>
      </c>
      <c r="G4960" t="str">
        <f>HYPERLINK("http://babel.hathitrust.org/cgi/pt?id=uc2.ark:/13960/t0wq05r20")</f>
        <v>http://babel.hathitrust.org/cgi/pt?id=uc2.ark:/13960/t0wq05r20</v>
      </c>
      <c r="H4960" t="str">
        <f>HYPERLINK("http://catalog.hathitrust.org/Record/007698662")</f>
        <v>http://catalog.hathitrust.org/Record/007698662</v>
      </c>
      <c r="J4960" s="1">
        <v>1871</v>
      </c>
      <c r="K4960" t="s">
        <v>9200</v>
      </c>
      <c r="L4960" t="s">
        <v>14684</v>
      </c>
    </row>
    <row r="4961" spans="1:12">
      <c r="A4961" t="s">
        <v>9201</v>
      </c>
      <c r="B4961" s="1" t="s">
        <v>9202</v>
      </c>
      <c r="F4961">
        <v>1</v>
      </c>
      <c r="G4961" t="str">
        <f>HYPERLINK("http://babel.hathitrust.org/cgi/pt?id=uc2.ark:/13960/t76t0tj8t")</f>
        <v>http://babel.hathitrust.org/cgi/pt?id=uc2.ark:/13960/t76t0tj8t</v>
      </c>
      <c r="H4961" t="str">
        <f>HYPERLINK("http://catalog.hathitrust.org/Record/007699027")</f>
        <v>http://catalog.hathitrust.org/Record/007699027</v>
      </c>
      <c r="J4961" s="1">
        <v>1896</v>
      </c>
      <c r="K4961" t="s">
        <v>9203</v>
      </c>
      <c r="L4961" t="s">
        <v>19500</v>
      </c>
    </row>
    <row r="4962" spans="1:12">
      <c r="A4962" t="s">
        <v>9204</v>
      </c>
      <c r="B4962" s="1" t="s">
        <v>9205</v>
      </c>
      <c r="F4962">
        <v>1</v>
      </c>
      <c r="G4962" t="str">
        <f>HYPERLINK("http://babel.hathitrust.org/cgi/pt?id=njp.32101042685337")</f>
        <v>http://babel.hathitrust.org/cgi/pt?id=njp.32101042685337</v>
      </c>
      <c r="H4962" t="str">
        <f>HYPERLINK("http://catalog.hathitrust.org/Record/007699348")</f>
        <v>http://catalog.hathitrust.org/Record/007699348</v>
      </c>
      <c r="J4962" s="1">
        <v>1922</v>
      </c>
      <c r="K4962" t="s">
        <v>9206</v>
      </c>
      <c r="L4962" t="s">
        <v>9207</v>
      </c>
    </row>
    <row r="4963" spans="1:12">
      <c r="A4963" t="s">
        <v>9208</v>
      </c>
      <c r="B4963" s="1" t="s">
        <v>9205</v>
      </c>
      <c r="F4963">
        <v>1</v>
      </c>
      <c r="G4963" t="str">
        <f>HYPERLINK("http://babel.hathitrust.org/cgi/pt?id=uc1.b3334173")</f>
        <v>http://babel.hathitrust.org/cgi/pt?id=uc1.b3334173</v>
      </c>
      <c r="H4963" t="str">
        <f>HYPERLINK("http://catalog.hathitrust.org/Record/007699348")</f>
        <v>http://catalog.hathitrust.org/Record/007699348</v>
      </c>
      <c r="J4963" s="1">
        <v>1922</v>
      </c>
      <c r="K4963" t="s">
        <v>9206</v>
      </c>
      <c r="L4963" t="s">
        <v>9207</v>
      </c>
    </row>
    <row r="4964" spans="1:12">
      <c r="A4964" t="s">
        <v>9209</v>
      </c>
      <c r="B4964" s="1" t="s">
        <v>9205</v>
      </c>
      <c r="F4964">
        <v>1</v>
      </c>
      <c r="G4964" t="str">
        <f>HYPERLINK("http://babel.hathitrust.org/cgi/pt?id=uc2.ark:/13960/t44q84458")</f>
        <v>http://babel.hathitrust.org/cgi/pt?id=uc2.ark:/13960/t44q84458</v>
      </c>
      <c r="H4964" t="str">
        <f>HYPERLINK("http://catalog.hathitrust.org/Record/007699348")</f>
        <v>http://catalog.hathitrust.org/Record/007699348</v>
      </c>
      <c r="J4964" s="1">
        <v>1922</v>
      </c>
      <c r="K4964" t="s">
        <v>9206</v>
      </c>
      <c r="L4964" t="s">
        <v>9207</v>
      </c>
    </row>
    <row r="4965" spans="1:12">
      <c r="A4965" t="s">
        <v>9210</v>
      </c>
      <c r="B4965" s="1" t="s">
        <v>9211</v>
      </c>
      <c r="F4965">
        <v>1</v>
      </c>
      <c r="G4965" t="str">
        <f>HYPERLINK("http://babel.hathitrust.org/cgi/pt?id=uc1.$b729300")</f>
        <v>http://babel.hathitrust.org/cgi/pt?id=uc1.$b729300</v>
      </c>
      <c r="H4965" t="str">
        <f>HYPERLINK("http://catalog.hathitrust.org/Record/007699508")</f>
        <v>http://catalog.hathitrust.org/Record/007699508</v>
      </c>
      <c r="J4965" s="1">
        <v>1840</v>
      </c>
      <c r="K4965" t="s">
        <v>9128</v>
      </c>
      <c r="L4965" t="s">
        <v>9129</v>
      </c>
    </row>
    <row r="4966" spans="1:12">
      <c r="A4966" t="s">
        <v>9130</v>
      </c>
      <c r="B4966" s="1" t="s">
        <v>9211</v>
      </c>
      <c r="F4966">
        <v>1</v>
      </c>
      <c r="G4966" t="str">
        <f>HYPERLINK("http://babel.hathitrust.org/cgi/pt?id=uc2.ark:/13960/t7hq46s1d")</f>
        <v>http://babel.hathitrust.org/cgi/pt?id=uc2.ark:/13960/t7hq46s1d</v>
      </c>
      <c r="H4966" t="str">
        <f>HYPERLINK("http://catalog.hathitrust.org/Record/007699508")</f>
        <v>http://catalog.hathitrust.org/Record/007699508</v>
      </c>
      <c r="J4966" s="1">
        <v>1840</v>
      </c>
      <c r="K4966" t="s">
        <v>9128</v>
      </c>
      <c r="L4966" t="s">
        <v>9129</v>
      </c>
    </row>
    <row r="4967" spans="1:12">
      <c r="A4967" t="s">
        <v>9131</v>
      </c>
      <c r="B4967" s="1" t="s">
        <v>9132</v>
      </c>
      <c r="E4967">
        <v>1</v>
      </c>
      <c r="G4967" t="str">
        <f>HYPERLINK("http://babel.hathitrust.org/cgi/pt?id=njp.32101068141330")</f>
        <v>http://babel.hathitrust.org/cgi/pt?id=njp.32101068141330</v>
      </c>
      <c r="H4967" t="str">
        <f>HYPERLINK("http://catalog.hathitrust.org/Record/007700398")</f>
        <v>http://catalog.hathitrust.org/Record/007700398</v>
      </c>
      <c r="J4967" s="1">
        <v>1840</v>
      </c>
      <c r="K4967" t="s">
        <v>9133</v>
      </c>
      <c r="L4967" t="s">
        <v>9134</v>
      </c>
    </row>
    <row r="4968" spans="1:12">
      <c r="A4968" t="s">
        <v>9135</v>
      </c>
      <c r="B4968" s="1" t="s">
        <v>9136</v>
      </c>
      <c r="F4968">
        <v>1</v>
      </c>
      <c r="G4968" t="str">
        <f>HYPERLINK("http://babel.hathitrust.org/cgi/pt?id=njp.32101013516610")</f>
        <v>http://babel.hathitrust.org/cgi/pt?id=njp.32101013516610</v>
      </c>
      <c r="H4968" t="str">
        <f>HYPERLINK("http://catalog.hathitrust.org/Record/007700412")</f>
        <v>http://catalog.hathitrust.org/Record/007700412</v>
      </c>
      <c r="J4968" s="1">
        <v>1900</v>
      </c>
      <c r="K4968" t="s">
        <v>9137</v>
      </c>
      <c r="L4968" t="s">
        <v>16950</v>
      </c>
    </row>
    <row r="4969" spans="1:12">
      <c r="A4969" t="s">
        <v>9138</v>
      </c>
      <c r="B4969" s="1" t="s">
        <v>9136</v>
      </c>
      <c r="F4969">
        <v>1</v>
      </c>
      <c r="G4969" t="str">
        <f>HYPERLINK("http://babel.hathitrust.org/cgi/pt?id=uc2.ark:/13960/t6n01bq46")</f>
        <v>http://babel.hathitrust.org/cgi/pt?id=uc2.ark:/13960/t6n01bq46</v>
      </c>
      <c r="H4969" t="str">
        <f>HYPERLINK("http://catalog.hathitrust.org/Record/007700412")</f>
        <v>http://catalog.hathitrust.org/Record/007700412</v>
      </c>
      <c r="J4969" s="1">
        <v>1900</v>
      </c>
      <c r="K4969" t="s">
        <v>9137</v>
      </c>
      <c r="L4969" t="s">
        <v>16950</v>
      </c>
    </row>
    <row r="4970" spans="1:12">
      <c r="A4970" t="s">
        <v>9139</v>
      </c>
      <c r="B4970" s="1" t="s">
        <v>9140</v>
      </c>
      <c r="F4970">
        <v>1</v>
      </c>
      <c r="G4970" t="str">
        <f>HYPERLINK("http://babel.hathitrust.org/cgi/pt?id=uc2.ark:/13960/t6154hx5q")</f>
        <v>http://babel.hathitrust.org/cgi/pt?id=uc2.ark:/13960/t6154hx5q</v>
      </c>
      <c r="H4970" t="str">
        <f>HYPERLINK("http://catalog.hathitrust.org/Record/007700428")</f>
        <v>http://catalog.hathitrust.org/Record/007700428</v>
      </c>
      <c r="J4970" s="1">
        <v>1906</v>
      </c>
      <c r="K4970" t="s">
        <v>9141</v>
      </c>
      <c r="L4970" t="s">
        <v>9142</v>
      </c>
    </row>
    <row r="4971" spans="1:12">
      <c r="A4971" t="s">
        <v>9143</v>
      </c>
      <c r="B4971" s="1" t="s">
        <v>9144</v>
      </c>
      <c r="D4971">
        <v>1</v>
      </c>
      <c r="G4971" t="str">
        <f>HYPERLINK("http://babel.hathitrust.org/cgi/pt?id=uc2.ark:/13960/t83j3qw0x")</f>
        <v>http://babel.hathitrust.org/cgi/pt?id=uc2.ark:/13960/t83j3qw0x</v>
      </c>
      <c r="H4971" t="str">
        <f>HYPERLINK("http://catalog.hathitrust.org/Record/007700448")</f>
        <v>http://catalog.hathitrust.org/Record/007700448</v>
      </c>
      <c r="I4971" s="1" t="s">
        <v>20755</v>
      </c>
      <c r="J4971" s="1">
        <v>1799</v>
      </c>
      <c r="K4971" t="s">
        <v>9145</v>
      </c>
      <c r="L4971" t="s">
        <v>20086</v>
      </c>
    </row>
    <row r="4972" spans="1:12">
      <c r="A4972" t="s">
        <v>9146</v>
      </c>
      <c r="B4972" s="1" t="s">
        <v>9144</v>
      </c>
      <c r="D4972">
        <v>1</v>
      </c>
      <c r="G4972" t="str">
        <f>HYPERLINK("http://babel.hathitrust.org/cgi/pt?id=uc2.ark:/13960/t9s187n25")</f>
        <v>http://babel.hathitrust.org/cgi/pt?id=uc2.ark:/13960/t9s187n25</v>
      </c>
      <c r="H4972" t="str">
        <f>HYPERLINK("http://catalog.hathitrust.org/Record/007700448")</f>
        <v>http://catalog.hathitrust.org/Record/007700448</v>
      </c>
      <c r="I4972" s="1" t="s">
        <v>20916</v>
      </c>
      <c r="J4972" s="1">
        <v>1799</v>
      </c>
      <c r="K4972" t="s">
        <v>9145</v>
      </c>
      <c r="L4972" t="s">
        <v>20086</v>
      </c>
    </row>
    <row r="4973" spans="1:12">
      <c r="A4973" t="s">
        <v>9147</v>
      </c>
      <c r="B4973" s="1" t="s">
        <v>9148</v>
      </c>
      <c r="D4973">
        <v>1</v>
      </c>
      <c r="G4973" t="str">
        <f>HYPERLINK("http://babel.hathitrust.org/cgi/pt?id=uc2.ark:/13960/t09w0pk7t")</f>
        <v>http://babel.hathitrust.org/cgi/pt?id=uc2.ark:/13960/t09w0pk7t</v>
      </c>
      <c r="H4973" t="str">
        <f>HYPERLINK("http://catalog.hathitrust.org/Record/007700450")</f>
        <v>http://catalog.hathitrust.org/Record/007700450</v>
      </c>
      <c r="J4973" s="1">
        <v>1851</v>
      </c>
      <c r="K4973" t="s">
        <v>9149</v>
      </c>
      <c r="L4973" t="s">
        <v>20086</v>
      </c>
    </row>
    <row r="4974" spans="1:12">
      <c r="A4974" t="s">
        <v>9150</v>
      </c>
      <c r="B4974" s="1" t="s">
        <v>9151</v>
      </c>
      <c r="F4974">
        <v>1</v>
      </c>
      <c r="G4974" t="str">
        <f>HYPERLINK("http://babel.hathitrust.org/cgi/pt?id=uc2.ark:/13960/t09w0pv4z")</f>
        <v>http://babel.hathitrust.org/cgi/pt?id=uc2.ark:/13960/t09w0pv4z</v>
      </c>
      <c r="H4974" t="str">
        <f>HYPERLINK("http://catalog.hathitrust.org/Record/007700452")</f>
        <v>http://catalog.hathitrust.org/Record/007700452</v>
      </c>
      <c r="I4974" s="1" t="s">
        <v>20916</v>
      </c>
      <c r="J4974" s="1">
        <v>1800</v>
      </c>
      <c r="K4974" t="s">
        <v>9152</v>
      </c>
      <c r="L4974" t="s">
        <v>20086</v>
      </c>
    </row>
    <row r="4975" spans="1:12">
      <c r="A4975" t="s">
        <v>9153</v>
      </c>
      <c r="B4975" s="1" t="s">
        <v>9151</v>
      </c>
      <c r="F4975">
        <v>1</v>
      </c>
      <c r="G4975" t="str">
        <f>HYPERLINK("http://babel.hathitrust.org/cgi/pt?id=uc2.ark:/13960/t9g44z656")</f>
        <v>http://babel.hathitrust.org/cgi/pt?id=uc2.ark:/13960/t9g44z656</v>
      </c>
      <c r="H4975" t="str">
        <f>HYPERLINK("http://catalog.hathitrust.org/Record/007700452")</f>
        <v>http://catalog.hathitrust.org/Record/007700452</v>
      </c>
      <c r="I4975" s="1" t="s">
        <v>20679</v>
      </c>
      <c r="J4975" s="1">
        <v>1800</v>
      </c>
      <c r="K4975" t="s">
        <v>9152</v>
      </c>
      <c r="L4975" t="s">
        <v>20086</v>
      </c>
    </row>
    <row r="4976" spans="1:12">
      <c r="A4976" t="s">
        <v>9154</v>
      </c>
      <c r="B4976" s="1" t="s">
        <v>9155</v>
      </c>
      <c r="F4976">
        <v>1</v>
      </c>
      <c r="G4976" t="str">
        <f>HYPERLINK("http://babel.hathitrust.org/cgi/pt?id=hvd.hn2phj")</f>
        <v>http://babel.hathitrust.org/cgi/pt?id=hvd.hn2phj</v>
      </c>
      <c r="H4976" t="str">
        <f>HYPERLINK("http://catalog.hathitrust.org/Record/007700954")</f>
        <v>http://catalog.hathitrust.org/Record/007700954</v>
      </c>
      <c r="J4976" s="1">
        <v>1852</v>
      </c>
      <c r="K4976" t="s">
        <v>9156</v>
      </c>
      <c r="L4976" t="s">
        <v>9157</v>
      </c>
    </row>
    <row r="4977" spans="1:12">
      <c r="A4977" t="s">
        <v>9158</v>
      </c>
      <c r="B4977" s="1" t="s">
        <v>9155</v>
      </c>
      <c r="F4977">
        <v>1</v>
      </c>
      <c r="G4977" t="str">
        <f>HYPERLINK("http://babel.hathitrust.org/cgi/pt?id=uc2.ark:/13960/t34174c4c")</f>
        <v>http://babel.hathitrust.org/cgi/pt?id=uc2.ark:/13960/t34174c4c</v>
      </c>
      <c r="H4977" t="str">
        <f>HYPERLINK("http://catalog.hathitrust.org/Record/007700954")</f>
        <v>http://catalog.hathitrust.org/Record/007700954</v>
      </c>
      <c r="J4977" s="1">
        <v>1852</v>
      </c>
      <c r="K4977" t="s">
        <v>9156</v>
      </c>
      <c r="L4977" t="s">
        <v>9157</v>
      </c>
    </row>
    <row r="4978" spans="1:12">
      <c r="A4978" t="s">
        <v>9159</v>
      </c>
      <c r="B4978" s="1" t="s">
        <v>9160</v>
      </c>
      <c r="F4978">
        <v>1</v>
      </c>
      <c r="G4978" t="str">
        <f>HYPERLINK("http://babel.hathitrust.org/cgi/pt?id=uc2.ark:/13960/t6n01b452")</f>
        <v>http://babel.hathitrust.org/cgi/pt?id=uc2.ark:/13960/t6n01b452</v>
      </c>
      <c r="H4978" t="str">
        <f>HYPERLINK("http://catalog.hathitrust.org/Record/007701266")</f>
        <v>http://catalog.hathitrust.org/Record/007701266</v>
      </c>
      <c r="J4978" s="1">
        <v>1903</v>
      </c>
      <c r="K4978" t="s">
        <v>9161</v>
      </c>
      <c r="L4978" t="s">
        <v>9086</v>
      </c>
    </row>
    <row r="4979" spans="1:12">
      <c r="A4979" t="s">
        <v>9087</v>
      </c>
      <c r="B4979" s="1" t="s">
        <v>9088</v>
      </c>
      <c r="F4979">
        <v>1</v>
      </c>
      <c r="G4979" t="str">
        <f>HYPERLINK("http://babel.hathitrust.org/cgi/pt?id=nyp.33433082504634")</f>
        <v>http://babel.hathitrust.org/cgi/pt?id=nyp.33433082504634</v>
      </c>
      <c r="H4979" t="str">
        <f>HYPERLINK("http://catalog.hathitrust.org/Record/007701531")</f>
        <v>http://catalog.hathitrust.org/Record/007701531</v>
      </c>
      <c r="J4979" s="1">
        <v>1901</v>
      </c>
      <c r="K4979" t="s">
        <v>9089</v>
      </c>
      <c r="L4979" t="s">
        <v>9090</v>
      </c>
    </row>
    <row r="4980" spans="1:12">
      <c r="A4980" t="s">
        <v>9091</v>
      </c>
      <c r="B4980" s="1" t="s">
        <v>9088</v>
      </c>
      <c r="F4980">
        <v>1</v>
      </c>
      <c r="G4980" t="str">
        <f>HYPERLINK("http://babel.hathitrust.org/cgi/pt?id=uc2.ark:/13960/t7jq1578c")</f>
        <v>http://babel.hathitrust.org/cgi/pt?id=uc2.ark:/13960/t7jq1578c</v>
      </c>
      <c r="H4980" t="str">
        <f>HYPERLINK("http://catalog.hathitrust.org/Record/007701531")</f>
        <v>http://catalog.hathitrust.org/Record/007701531</v>
      </c>
      <c r="J4980" s="1">
        <v>1901</v>
      </c>
      <c r="K4980" t="s">
        <v>9089</v>
      </c>
      <c r="L4980" t="s">
        <v>9090</v>
      </c>
    </row>
    <row r="4981" spans="1:12">
      <c r="A4981" t="s">
        <v>9092</v>
      </c>
      <c r="B4981" s="1" t="s">
        <v>9093</v>
      </c>
      <c r="E4981">
        <v>1</v>
      </c>
      <c r="G4981" t="str">
        <f>HYPERLINK("http://babel.hathitrust.org/cgi/pt?id=uc2.ark:/13960/t5gb2cs4h")</f>
        <v>http://babel.hathitrust.org/cgi/pt?id=uc2.ark:/13960/t5gb2cs4h</v>
      </c>
      <c r="H4981" t="str">
        <f>HYPERLINK("http://catalog.hathitrust.org/Record/007701685")</f>
        <v>http://catalog.hathitrust.org/Record/007701685</v>
      </c>
      <c r="I4981" s="1" t="s">
        <v>9095</v>
      </c>
      <c r="J4981" s="1">
        <v>1850</v>
      </c>
      <c r="K4981" t="s">
        <v>9094</v>
      </c>
      <c r="L4981" t="s">
        <v>18463</v>
      </c>
    </row>
    <row r="4982" spans="1:12">
      <c r="A4982" t="s">
        <v>9096</v>
      </c>
      <c r="B4982" s="1" t="s">
        <v>9097</v>
      </c>
      <c r="F4982">
        <v>1</v>
      </c>
      <c r="G4982" t="str">
        <f>HYPERLINK("http://babel.hathitrust.org/cgi/pt?id=uc2.ark:/13960/t56d60t5m")</f>
        <v>http://babel.hathitrust.org/cgi/pt?id=uc2.ark:/13960/t56d60t5m</v>
      </c>
      <c r="H4982" t="str">
        <f>HYPERLINK("http://catalog.hathitrust.org/Record/007702056")</f>
        <v>http://catalog.hathitrust.org/Record/007702056</v>
      </c>
      <c r="J4982" s="1">
        <v>1920</v>
      </c>
      <c r="K4982" t="s">
        <v>9098</v>
      </c>
      <c r="L4982" t="s">
        <v>20615</v>
      </c>
    </row>
    <row r="4983" spans="1:12">
      <c r="A4983" t="s">
        <v>9099</v>
      </c>
      <c r="B4983" s="1" t="s">
        <v>9100</v>
      </c>
      <c r="F4983">
        <v>1</v>
      </c>
      <c r="G4983" t="str">
        <f>HYPERLINK("http://babel.hathitrust.org/cgi/pt?id=uc2.ark:/13960/t3514634s")</f>
        <v>http://babel.hathitrust.org/cgi/pt?id=uc2.ark:/13960/t3514634s</v>
      </c>
      <c r="H4983" t="str">
        <f>HYPERLINK("http://catalog.hathitrust.org/Record/007702543")</f>
        <v>http://catalog.hathitrust.org/Record/007702543</v>
      </c>
      <c r="J4983" s="1">
        <v>1890</v>
      </c>
      <c r="K4983" t="s">
        <v>9101</v>
      </c>
      <c r="L4983" t="s">
        <v>9102</v>
      </c>
    </row>
    <row r="4984" spans="1:12">
      <c r="A4984" t="s">
        <v>9103</v>
      </c>
      <c r="B4984" s="1" t="s">
        <v>9104</v>
      </c>
      <c r="F4984">
        <v>1</v>
      </c>
      <c r="G4984" t="str">
        <f>HYPERLINK("http://babel.hathitrust.org/cgi/pt?id=uc2.ark:/13960/t3vt1vd6n")</f>
        <v>http://babel.hathitrust.org/cgi/pt?id=uc2.ark:/13960/t3vt1vd6n</v>
      </c>
      <c r="H4984" t="str">
        <f>HYPERLINK("http://catalog.hathitrust.org/Record/007702727")</f>
        <v>http://catalog.hathitrust.org/Record/007702727</v>
      </c>
      <c r="J4984" s="1">
        <v>1897</v>
      </c>
      <c r="K4984" t="s">
        <v>9105</v>
      </c>
      <c r="L4984" t="s">
        <v>11635</v>
      </c>
    </row>
    <row r="4985" spans="1:12">
      <c r="A4985" t="s">
        <v>9106</v>
      </c>
      <c r="B4985" s="1" t="s">
        <v>9107</v>
      </c>
      <c r="D4985">
        <v>1</v>
      </c>
      <c r="G4985" t="str">
        <f>HYPERLINK("http://babel.hathitrust.org/cgi/pt?id=hvd.32044010274561")</f>
        <v>http://babel.hathitrust.org/cgi/pt?id=hvd.32044010274561</v>
      </c>
      <c r="H4985" t="str">
        <f>HYPERLINK("http://catalog.hathitrust.org/Record/007702892")</f>
        <v>http://catalog.hathitrust.org/Record/007702892</v>
      </c>
      <c r="J4985" s="1">
        <v>1823</v>
      </c>
      <c r="K4985" t="s">
        <v>9108</v>
      </c>
      <c r="L4985" t="s">
        <v>9109</v>
      </c>
    </row>
    <row r="4986" spans="1:12">
      <c r="A4986" t="s">
        <v>9110</v>
      </c>
      <c r="B4986" s="1" t="s">
        <v>9107</v>
      </c>
      <c r="F4986">
        <v>1</v>
      </c>
      <c r="G4986" t="str">
        <f>HYPERLINK("http://babel.hathitrust.org/cgi/pt?id=hvd.32044105387765")</f>
        <v>http://babel.hathitrust.org/cgi/pt?id=hvd.32044105387765</v>
      </c>
      <c r="H4986" t="str">
        <f>HYPERLINK("http://catalog.hathitrust.org/Record/007702892")</f>
        <v>http://catalog.hathitrust.org/Record/007702892</v>
      </c>
      <c r="J4986" s="1">
        <v>1823</v>
      </c>
      <c r="K4986" t="s">
        <v>9108</v>
      </c>
      <c r="L4986" t="s">
        <v>9109</v>
      </c>
    </row>
    <row r="4987" spans="1:12">
      <c r="A4987" t="s">
        <v>9111</v>
      </c>
      <c r="B4987" s="1" t="s">
        <v>9107</v>
      </c>
      <c r="F4987">
        <v>1</v>
      </c>
      <c r="G4987" t="str">
        <f>HYPERLINK("http://babel.hathitrust.org/cgi/pt?id=nyp.33433056659844")</f>
        <v>http://babel.hathitrust.org/cgi/pt?id=nyp.33433056659844</v>
      </c>
      <c r="H4987" t="str">
        <f>HYPERLINK("http://catalog.hathitrust.org/Record/007702892")</f>
        <v>http://catalog.hathitrust.org/Record/007702892</v>
      </c>
      <c r="J4987" s="1">
        <v>1823</v>
      </c>
      <c r="K4987" t="s">
        <v>9108</v>
      </c>
      <c r="L4987" t="s">
        <v>9109</v>
      </c>
    </row>
    <row r="4988" spans="1:12">
      <c r="A4988" t="s">
        <v>9112</v>
      </c>
      <c r="B4988" s="1" t="s">
        <v>9107</v>
      </c>
      <c r="F4988">
        <v>1</v>
      </c>
      <c r="G4988" t="str">
        <f>HYPERLINK("http://babel.hathitrust.org/cgi/pt?id=uc2.ark:/13960/t3st7w375")</f>
        <v>http://babel.hathitrust.org/cgi/pt?id=uc2.ark:/13960/t3st7w375</v>
      </c>
      <c r="H4988" t="str">
        <f>HYPERLINK("http://catalog.hathitrust.org/Record/007702892")</f>
        <v>http://catalog.hathitrust.org/Record/007702892</v>
      </c>
      <c r="J4988" s="1">
        <v>1823</v>
      </c>
      <c r="K4988" t="s">
        <v>9108</v>
      </c>
      <c r="L4988" t="s">
        <v>9109</v>
      </c>
    </row>
    <row r="4989" spans="1:12">
      <c r="A4989" t="s">
        <v>9113</v>
      </c>
      <c r="B4989" s="1" t="s">
        <v>9114</v>
      </c>
      <c r="F4989">
        <v>1</v>
      </c>
      <c r="G4989" t="str">
        <f>HYPERLINK("http://babel.hathitrust.org/cgi/pt?id=loc.ark:/13960/t9w09wp2f")</f>
        <v>http://babel.hathitrust.org/cgi/pt?id=loc.ark:/13960/t9w09wp2f</v>
      </c>
      <c r="H4989" t="str">
        <f>HYPERLINK("http://catalog.hathitrust.org/Record/007703028")</f>
        <v>http://catalog.hathitrust.org/Record/007703028</v>
      </c>
      <c r="J4989" s="1">
        <v>1899</v>
      </c>
      <c r="K4989" t="s">
        <v>9115</v>
      </c>
      <c r="L4989" t="s">
        <v>9116</v>
      </c>
    </row>
    <row r="4990" spans="1:12">
      <c r="A4990" t="s">
        <v>9117</v>
      </c>
      <c r="B4990" s="1" t="s">
        <v>9114</v>
      </c>
      <c r="F4990">
        <v>1</v>
      </c>
      <c r="G4990" t="str">
        <f>HYPERLINK("http://babel.hathitrust.org/cgi/pt?id=uc2.ark:/13960/t50g3wr17")</f>
        <v>http://babel.hathitrust.org/cgi/pt?id=uc2.ark:/13960/t50g3wr17</v>
      </c>
      <c r="H4990" t="str">
        <f>HYPERLINK("http://catalog.hathitrust.org/Record/007703028")</f>
        <v>http://catalog.hathitrust.org/Record/007703028</v>
      </c>
      <c r="J4990" s="1">
        <v>1899</v>
      </c>
      <c r="K4990" t="s">
        <v>9115</v>
      </c>
      <c r="L4990" t="s">
        <v>9116</v>
      </c>
    </row>
    <row r="4991" spans="1:12">
      <c r="A4991" t="s">
        <v>9118</v>
      </c>
      <c r="B4991" s="1" t="s">
        <v>9119</v>
      </c>
      <c r="F4991">
        <v>1</v>
      </c>
      <c r="G4991" t="str">
        <f>HYPERLINK("http://babel.hathitrust.org/cgi/pt?id=uc1.$b627045")</f>
        <v>http://babel.hathitrust.org/cgi/pt?id=uc1.$b627045</v>
      </c>
      <c r="H4991" t="str">
        <f>HYPERLINK("http://catalog.hathitrust.org/Record/007703041")</f>
        <v>http://catalog.hathitrust.org/Record/007703041</v>
      </c>
      <c r="J4991" s="1">
        <v>1917</v>
      </c>
      <c r="K4991" t="s">
        <v>9120</v>
      </c>
      <c r="L4991" t="s">
        <v>9121</v>
      </c>
    </row>
    <row r="4992" spans="1:12">
      <c r="A4992" t="s">
        <v>9122</v>
      </c>
      <c r="B4992" s="1" t="s">
        <v>9119</v>
      </c>
      <c r="F4992">
        <v>1</v>
      </c>
      <c r="G4992" t="str">
        <f>HYPERLINK("http://babel.hathitrust.org/cgi/pt?id=uc2.ark:/13960/t40s00v6x")</f>
        <v>http://babel.hathitrust.org/cgi/pt?id=uc2.ark:/13960/t40s00v6x</v>
      </c>
      <c r="H4992" t="str">
        <f>HYPERLINK("http://catalog.hathitrust.org/Record/007703041")</f>
        <v>http://catalog.hathitrust.org/Record/007703041</v>
      </c>
      <c r="J4992" s="1">
        <v>1917</v>
      </c>
      <c r="K4992" t="s">
        <v>9120</v>
      </c>
      <c r="L4992" t="s">
        <v>9121</v>
      </c>
    </row>
    <row r="4993" spans="1:12">
      <c r="A4993" t="s">
        <v>9123</v>
      </c>
      <c r="B4993" s="1" t="s">
        <v>9124</v>
      </c>
      <c r="E4993">
        <v>1</v>
      </c>
      <c r="G4993" t="str">
        <f>HYPERLINK("http://babel.hathitrust.org/cgi/pt?id=hvd.32044014716021")</f>
        <v>http://babel.hathitrust.org/cgi/pt?id=hvd.32044014716021</v>
      </c>
      <c r="H4993" t="str">
        <f>HYPERLINK("http://catalog.hathitrust.org/Record/007703188")</f>
        <v>http://catalog.hathitrust.org/Record/007703188</v>
      </c>
      <c r="J4993" s="1">
        <v>1855</v>
      </c>
      <c r="K4993" t="s">
        <v>9125</v>
      </c>
      <c r="L4993" t="s">
        <v>13304</v>
      </c>
    </row>
    <row r="4994" spans="1:12">
      <c r="A4994" t="s">
        <v>9126</v>
      </c>
      <c r="B4994" s="1" t="s">
        <v>9127</v>
      </c>
      <c r="F4994">
        <v>1</v>
      </c>
      <c r="G4994" t="str">
        <f>HYPERLINK("http://babel.hathitrust.org/cgi/pt?id=uc2.ark:/13960/t6n01bs24")</f>
        <v>http://babel.hathitrust.org/cgi/pt?id=uc2.ark:/13960/t6n01bs24</v>
      </c>
      <c r="H4994" t="str">
        <f>HYPERLINK("http://catalog.hathitrust.org/Record/007703280")</f>
        <v>http://catalog.hathitrust.org/Record/007703280</v>
      </c>
      <c r="I4994" s="1" t="s">
        <v>20916</v>
      </c>
      <c r="J4994" s="1">
        <v>1785</v>
      </c>
      <c r="K4994" t="s">
        <v>9038</v>
      </c>
      <c r="L4994" t="s">
        <v>17151</v>
      </c>
    </row>
    <row r="4995" spans="1:12">
      <c r="A4995" t="s">
        <v>9039</v>
      </c>
      <c r="B4995" s="1" t="s">
        <v>9127</v>
      </c>
      <c r="F4995">
        <v>1</v>
      </c>
      <c r="G4995" t="str">
        <f>HYPERLINK("http://babel.hathitrust.org/cgi/pt?id=uc2.ark:/13960/t7sn0d513")</f>
        <v>http://babel.hathitrust.org/cgi/pt?id=uc2.ark:/13960/t7sn0d513</v>
      </c>
      <c r="H4995" t="str">
        <f>HYPERLINK("http://catalog.hathitrust.org/Record/007703280")</f>
        <v>http://catalog.hathitrust.org/Record/007703280</v>
      </c>
      <c r="I4995" s="1" t="s">
        <v>20755</v>
      </c>
      <c r="J4995" s="1">
        <v>1785</v>
      </c>
      <c r="K4995" t="s">
        <v>9038</v>
      </c>
      <c r="L4995" t="s">
        <v>17151</v>
      </c>
    </row>
    <row r="4996" spans="1:12">
      <c r="A4996" t="s">
        <v>9040</v>
      </c>
      <c r="B4996" s="1" t="s">
        <v>9041</v>
      </c>
      <c r="F4996">
        <v>1</v>
      </c>
      <c r="G4996" t="str">
        <f>HYPERLINK("http://babel.hathitrust.org/cgi/pt?id=uc2.ark:/13960/t9959qt4k")</f>
        <v>http://babel.hathitrust.org/cgi/pt?id=uc2.ark:/13960/t9959qt4k</v>
      </c>
      <c r="H4996" t="str">
        <f>HYPERLINK("http://catalog.hathitrust.org/Record/007703391")</f>
        <v>http://catalog.hathitrust.org/Record/007703391</v>
      </c>
      <c r="J4996" s="1">
        <v>1889</v>
      </c>
      <c r="K4996" t="s">
        <v>12422</v>
      </c>
      <c r="L4996" t="s">
        <v>12423</v>
      </c>
    </row>
    <row r="4997" spans="1:12">
      <c r="A4997" t="s">
        <v>9042</v>
      </c>
      <c r="B4997" s="1" t="s">
        <v>9043</v>
      </c>
      <c r="F4997">
        <v>1</v>
      </c>
      <c r="G4997" t="str">
        <f>HYPERLINK("http://babel.hathitrust.org/cgi/pt?id=uc2.ark:/13960/t70v8sv22")</f>
        <v>http://babel.hathitrust.org/cgi/pt?id=uc2.ark:/13960/t70v8sv22</v>
      </c>
      <c r="H4997" t="str">
        <f>HYPERLINK("http://catalog.hathitrust.org/Record/007703425")</f>
        <v>http://catalog.hathitrust.org/Record/007703425</v>
      </c>
      <c r="I4997" s="1" t="s">
        <v>9044</v>
      </c>
      <c r="J4997" s="1">
        <v>1887</v>
      </c>
      <c r="K4997" t="s">
        <v>13277</v>
      </c>
      <c r="L4997" t="s">
        <v>19487</v>
      </c>
    </row>
    <row r="4998" spans="1:12">
      <c r="A4998" t="s">
        <v>9045</v>
      </c>
      <c r="B4998" s="1" t="s">
        <v>9046</v>
      </c>
      <c r="D4998">
        <v>1</v>
      </c>
      <c r="G4998" t="str">
        <f>HYPERLINK("http://babel.hathitrust.org/cgi/pt?id=uc2.ark:/13960/t9m333p7m")</f>
        <v>http://babel.hathitrust.org/cgi/pt?id=uc2.ark:/13960/t9m333p7m</v>
      </c>
      <c r="H4998" t="str">
        <f>HYPERLINK("http://catalog.hathitrust.org/Record/007703578")</f>
        <v>http://catalog.hathitrust.org/Record/007703578</v>
      </c>
      <c r="J4998" s="1">
        <v>1775</v>
      </c>
      <c r="K4998" t="s">
        <v>9047</v>
      </c>
      <c r="L4998" t="s">
        <v>9048</v>
      </c>
    </row>
    <row r="4999" spans="1:12">
      <c r="A4999" t="s">
        <v>9049</v>
      </c>
      <c r="B4999" s="1" t="s">
        <v>9050</v>
      </c>
      <c r="F4999">
        <v>1</v>
      </c>
      <c r="G4999" t="str">
        <f>HYPERLINK("http://babel.hathitrust.org/cgi/pt?id=uc2.ark:/13960/t7gq75349")</f>
        <v>http://babel.hathitrust.org/cgi/pt?id=uc2.ark:/13960/t7gq75349</v>
      </c>
      <c r="H4999" t="str">
        <f>HYPERLINK("http://catalog.hathitrust.org/Record/007703725")</f>
        <v>http://catalog.hathitrust.org/Record/007703725</v>
      </c>
      <c r="J4999" s="1">
        <v>1916</v>
      </c>
      <c r="K4999" t="s">
        <v>9051</v>
      </c>
      <c r="L4999" t="s">
        <v>9052</v>
      </c>
    </row>
    <row r="5000" spans="1:12">
      <c r="A5000" t="s">
        <v>9053</v>
      </c>
      <c r="B5000" s="1" t="s">
        <v>9054</v>
      </c>
      <c r="F5000">
        <v>1</v>
      </c>
      <c r="G5000" t="str">
        <f>HYPERLINK("http://babel.hathitrust.org/cgi/pt?id=uc2.ark:/13960/t3dz0f335")</f>
        <v>http://babel.hathitrust.org/cgi/pt?id=uc2.ark:/13960/t3dz0f335</v>
      </c>
      <c r="H5000" t="str">
        <f>HYPERLINK("http://catalog.hathitrust.org/Record/007703802")</f>
        <v>http://catalog.hathitrust.org/Record/007703802</v>
      </c>
      <c r="J5000" s="1">
        <v>1885</v>
      </c>
      <c r="K5000" t="s">
        <v>9055</v>
      </c>
    </row>
    <row r="5001" spans="1:12">
      <c r="A5001" t="s">
        <v>9056</v>
      </c>
      <c r="B5001" s="1" t="s">
        <v>9057</v>
      </c>
      <c r="E5001">
        <v>1</v>
      </c>
      <c r="G5001" t="str">
        <f>HYPERLINK("http://babel.hathitrust.org/cgi/pt?id=hvd.hwp7ac")</f>
        <v>http://babel.hathitrust.org/cgi/pt?id=hvd.hwp7ac</v>
      </c>
      <c r="H5001" t="str">
        <f>HYPERLINK("http://catalog.hathitrust.org/Record/007704125")</f>
        <v>http://catalog.hathitrust.org/Record/007704125</v>
      </c>
      <c r="J5001" s="1">
        <v>1844</v>
      </c>
      <c r="K5001" t="s">
        <v>9058</v>
      </c>
      <c r="L5001" t="s">
        <v>19404</v>
      </c>
    </row>
    <row r="5002" spans="1:12">
      <c r="A5002" t="s">
        <v>9059</v>
      </c>
      <c r="B5002" s="1" t="s">
        <v>9060</v>
      </c>
      <c r="F5002">
        <v>1</v>
      </c>
      <c r="G5002" t="str">
        <f>HYPERLINK("http://babel.hathitrust.org/cgi/pt?id=uc2.ark:/13960/t6c252d8h")</f>
        <v>http://babel.hathitrust.org/cgi/pt?id=uc2.ark:/13960/t6c252d8h</v>
      </c>
      <c r="H5002" t="str">
        <f>HYPERLINK("http://catalog.hathitrust.org/Record/007704177")</f>
        <v>http://catalog.hathitrust.org/Record/007704177</v>
      </c>
      <c r="J5002" s="1">
        <v>1916</v>
      </c>
      <c r="K5002" t="s">
        <v>9061</v>
      </c>
      <c r="L5002" t="s">
        <v>9062</v>
      </c>
    </row>
    <row r="5003" spans="1:12">
      <c r="A5003" t="s">
        <v>9063</v>
      </c>
      <c r="B5003" s="1" t="s">
        <v>9064</v>
      </c>
      <c r="E5003">
        <v>1</v>
      </c>
      <c r="G5003" t="str">
        <f>HYPERLINK("http://babel.hathitrust.org/cgi/pt?id=uc2.ark:/13960/t6m04993r")</f>
        <v>http://babel.hathitrust.org/cgi/pt?id=uc2.ark:/13960/t6m04993r</v>
      </c>
      <c r="H5003" t="str">
        <f>HYPERLINK("http://catalog.hathitrust.org/Record/007704186")</f>
        <v>http://catalog.hathitrust.org/Record/007704186</v>
      </c>
      <c r="J5003" s="1">
        <v>1893</v>
      </c>
      <c r="K5003" t="s">
        <v>9065</v>
      </c>
      <c r="L5003" t="s">
        <v>12263</v>
      </c>
    </row>
    <row r="5004" spans="1:12">
      <c r="A5004" t="s">
        <v>9066</v>
      </c>
      <c r="B5004" s="1" t="s">
        <v>9067</v>
      </c>
      <c r="F5004">
        <v>1</v>
      </c>
      <c r="G5004" t="str">
        <f>HYPERLINK("http://babel.hathitrust.org/cgi/pt?id=uc2.ark:/13960/t1vd7090n")</f>
        <v>http://babel.hathitrust.org/cgi/pt?id=uc2.ark:/13960/t1vd7090n</v>
      </c>
      <c r="H5004" t="str">
        <f>HYPERLINK("http://catalog.hathitrust.org/Record/007704557")</f>
        <v>http://catalog.hathitrust.org/Record/007704557</v>
      </c>
      <c r="J5004" s="1">
        <v>1899</v>
      </c>
      <c r="K5004" t="s">
        <v>9068</v>
      </c>
      <c r="L5004" t="s">
        <v>19080</v>
      </c>
    </row>
    <row r="5005" spans="1:12">
      <c r="A5005" t="s">
        <v>9069</v>
      </c>
      <c r="B5005" s="1" t="s">
        <v>9067</v>
      </c>
      <c r="F5005">
        <v>1</v>
      </c>
      <c r="G5005" t="str">
        <f>HYPERLINK("http://babel.hathitrust.org/cgi/pt?id=uva.x002015227")</f>
        <v>http://babel.hathitrust.org/cgi/pt?id=uva.x002015227</v>
      </c>
      <c r="H5005" t="str">
        <f>HYPERLINK("http://catalog.hathitrust.org/Record/007704557")</f>
        <v>http://catalog.hathitrust.org/Record/007704557</v>
      </c>
      <c r="J5005" s="1">
        <v>1899</v>
      </c>
      <c r="K5005" t="s">
        <v>9068</v>
      </c>
      <c r="L5005" t="s">
        <v>19080</v>
      </c>
    </row>
    <row r="5006" spans="1:12">
      <c r="A5006" t="s">
        <v>9070</v>
      </c>
      <c r="B5006" s="1" t="s">
        <v>9071</v>
      </c>
      <c r="E5006">
        <v>1</v>
      </c>
      <c r="G5006" t="str">
        <f>HYPERLINK("http://babel.hathitrust.org/cgi/pt?id=uc2.ark:/13960/t5n87f82d")</f>
        <v>http://babel.hathitrust.org/cgi/pt?id=uc2.ark:/13960/t5n87f82d</v>
      </c>
      <c r="H5006" t="str">
        <f>HYPERLINK("http://catalog.hathitrust.org/Record/007704889")</f>
        <v>http://catalog.hathitrust.org/Record/007704889</v>
      </c>
      <c r="J5006" s="1">
        <v>1886</v>
      </c>
      <c r="K5006" t="s">
        <v>9072</v>
      </c>
      <c r="L5006" t="s">
        <v>9073</v>
      </c>
    </row>
    <row r="5007" spans="1:12">
      <c r="A5007" t="s">
        <v>9074</v>
      </c>
      <c r="B5007" s="1" t="s">
        <v>9075</v>
      </c>
      <c r="F5007">
        <v>1</v>
      </c>
      <c r="G5007" t="str">
        <f>HYPERLINK("http://babel.hathitrust.org/cgi/pt?id=uc2.ark:/13960/t1dj5nv84")</f>
        <v>http://babel.hathitrust.org/cgi/pt?id=uc2.ark:/13960/t1dj5nv84</v>
      </c>
      <c r="H5007" t="str">
        <f>HYPERLINK("http://catalog.hathitrust.org/Record/007704926")</f>
        <v>http://catalog.hathitrust.org/Record/007704926</v>
      </c>
      <c r="J5007" s="1">
        <v>1912</v>
      </c>
      <c r="K5007" t="s">
        <v>9076</v>
      </c>
      <c r="L5007" t="s">
        <v>9077</v>
      </c>
    </row>
    <row r="5008" spans="1:12">
      <c r="A5008" t="s">
        <v>9078</v>
      </c>
      <c r="B5008" s="1" t="s">
        <v>9079</v>
      </c>
      <c r="F5008">
        <v>1</v>
      </c>
      <c r="G5008" t="str">
        <f>HYPERLINK("http://babel.hathitrust.org/cgi/pt?id=uc1.$b617726")</f>
        <v>http://babel.hathitrust.org/cgi/pt?id=uc1.$b617726</v>
      </c>
      <c r="H5008" t="str">
        <f>HYPERLINK("http://catalog.hathitrust.org/Record/007705004")</f>
        <v>http://catalog.hathitrust.org/Record/007705004</v>
      </c>
      <c r="I5008" s="1" t="s">
        <v>19273</v>
      </c>
      <c r="J5008" s="1">
        <v>1917</v>
      </c>
      <c r="K5008" t="s">
        <v>19433</v>
      </c>
      <c r="L5008" t="s">
        <v>19271</v>
      </c>
    </row>
    <row r="5009" spans="1:12">
      <c r="A5009" t="s">
        <v>9080</v>
      </c>
      <c r="B5009" s="1" t="s">
        <v>9079</v>
      </c>
      <c r="F5009">
        <v>1</v>
      </c>
      <c r="G5009" t="str">
        <f>HYPERLINK("http://babel.hathitrust.org/cgi/pt?id=uc2.ark:/13960/t3805913m")</f>
        <v>http://babel.hathitrust.org/cgi/pt?id=uc2.ark:/13960/t3805913m</v>
      </c>
      <c r="H5009" t="str">
        <f>HYPERLINK("http://catalog.hathitrust.org/Record/007705004")</f>
        <v>http://catalog.hathitrust.org/Record/007705004</v>
      </c>
      <c r="J5009" s="1">
        <v>1917</v>
      </c>
      <c r="K5009" t="s">
        <v>19433</v>
      </c>
      <c r="L5009" t="s">
        <v>19271</v>
      </c>
    </row>
    <row r="5010" spans="1:12">
      <c r="A5010" t="s">
        <v>9081</v>
      </c>
      <c r="B5010" s="1" t="s">
        <v>9082</v>
      </c>
      <c r="F5010">
        <v>1</v>
      </c>
      <c r="G5010" t="str">
        <f>HYPERLINK("http://babel.hathitrust.org/cgi/pt?id=uc2.ark:/13960/t8kd20b0n")</f>
        <v>http://babel.hathitrust.org/cgi/pt?id=uc2.ark:/13960/t8kd20b0n</v>
      </c>
      <c r="H5010" t="str">
        <f>HYPERLINK("http://catalog.hathitrust.org/Record/007706021")</f>
        <v>http://catalog.hathitrust.org/Record/007706021</v>
      </c>
      <c r="J5010" s="1">
        <v>1909</v>
      </c>
      <c r="K5010" t="s">
        <v>9083</v>
      </c>
      <c r="L5010" t="s">
        <v>17156</v>
      </c>
    </row>
    <row r="5011" spans="1:12">
      <c r="A5011" t="s">
        <v>9084</v>
      </c>
      <c r="B5011" s="1" t="s">
        <v>9085</v>
      </c>
      <c r="D5011">
        <v>1</v>
      </c>
      <c r="G5011" t="str">
        <f>HYPERLINK("http://babel.hathitrust.org/cgi/pt?id=hvd.32044012418034")</f>
        <v>http://babel.hathitrust.org/cgi/pt?id=hvd.32044012418034</v>
      </c>
      <c r="H5011" t="str">
        <f>HYPERLINK("http://catalog.hathitrust.org/Record/007706138")</f>
        <v>http://catalog.hathitrust.org/Record/007706138</v>
      </c>
      <c r="J5011" s="1">
        <v>1854</v>
      </c>
      <c r="K5011" t="s">
        <v>8993</v>
      </c>
      <c r="L5011" t="s">
        <v>9988</v>
      </c>
    </row>
    <row r="5012" spans="1:12">
      <c r="A5012" t="s">
        <v>8994</v>
      </c>
      <c r="B5012" s="1" t="s">
        <v>8995</v>
      </c>
      <c r="F5012">
        <v>1</v>
      </c>
      <c r="G5012" t="str">
        <f>HYPERLINK("http://babel.hathitrust.org/cgi/pt?id=njp.32101072898669")</f>
        <v>http://babel.hathitrust.org/cgi/pt?id=njp.32101072898669</v>
      </c>
      <c r="H5012" t="str">
        <f>HYPERLINK("http://catalog.hathitrust.org/Record/007706150")</f>
        <v>http://catalog.hathitrust.org/Record/007706150</v>
      </c>
      <c r="J5012" s="1">
        <v>1918</v>
      </c>
      <c r="K5012" t="s">
        <v>8996</v>
      </c>
      <c r="L5012" t="s">
        <v>8997</v>
      </c>
    </row>
    <row r="5013" spans="1:12">
      <c r="A5013" t="s">
        <v>8998</v>
      </c>
      <c r="B5013" s="1" t="s">
        <v>8995</v>
      </c>
      <c r="F5013">
        <v>1</v>
      </c>
      <c r="G5013" t="str">
        <f>HYPERLINK("http://babel.hathitrust.org/cgi/pt?id=uc2.ark:/13960/t6c25106r")</f>
        <v>http://babel.hathitrust.org/cgi/pt?id=uc2.ark:/13960/t6c25106r</v>
      </c>
      <c r="H5013" t="str">
        <f>HYPERLINK("http://catalog.hathitrust.org/Record/007706150")</f>
        <v>http://catalog.hathitrust.org/Record/007706150</v>
      </c>
      <c r="J5013" s="1">
        <v>1918</v>
      </c>
      <c r="K5013" t="s">
        <v>8996</v>
      </c>
      <c r="L5013" t="s">
        <v>8997</v>
      </c>
    </row>
    <row r="5014" spans="1:12">
      <c r="A5014" t="s">
        <v>8999</v>
      </c>
      <c r="B5014" s="1" t="s">
        <v>9000</v>
      </c>
      <c r="E5014">
        <v>1</v>
      </c>
      <c r="G5014" t="str">
        <f>HYPERLINK("http://babel.hathitrust.org/cgi/pt?id=uc2.ark:/13960/t6736xm9h")</f>
        <v>http://babel.hathitrust.org/cgi/pt?id=uc2.ark:/13960/t6736xm9h</v>
      </c>
      <c r="H5014" t="str">
        <f>HYPERLINK("http://catalog.hathitrust.org/Record/007706841")</f>
        <v>http://catalog.hathitrust.org/Record/007706841</v>
      </c>
      <c r="J5014" s="1">
        <v>1845</v>
      </c>
      <c r="K5014" t="s">
        <v>9001</v>
      </c>
      <c r="L5014" t="s">
        <v>20043</v>
      </c>
    </row>
    <row r="5015" spans="1:12">
      <c r="A5015" t="s">
        <v>9002</v>
      </c>
      <c r="B5015" s="1" t="s">
        <v>9003</v>
      </c>
      <c r="D5015">
        <v>1</v>
      </c>
      <c r="G5015" t="str">
        <f>HYPERLINK("http://babel.hathitrust.org/cgi/pt?id=hvd.hwp9cs")</f>
        <v>http://babel.hathitrust.org/cgi/pt?id=hvd.hwp9cs</v>
      </c>
      <c r="H5015" t="str">
        <f>HYPERLINK("http://catalog.hathitrust.org/Record/007706965")</f>
        <v>http://catalog.hathitrust.org/Record/007706965</v>
      </c>
      <c r="J5015" s="1">
        <v>1850</v>
      </c>
      <c r="K5015" t="s">
        <v>9004</v>
      </c>
      <c r="L5015" t="s">
        <v>19446</v>
      </c>
    </row>
    <row r="5016" spans="1:12">
      <c r="A5016" t="s">
        <v>9005</v>
      </c>
      <c r="B5016" s="1" t="s">
        <v>9003</v>
      </c>
      <c r="F5016">
        <v>1</v>
      </c>
      <c r="G5016" t="str">
        <f>HYPERLINK("http://babel.hathitrust.org/cgi/pt?id=njp.32101064786435")</f>
        <v>http://babel.hathitrust.org/cgi/pt?id=njp.32101064786435</v>
      </c>
      <c r="H5016" t="str">
        <f>HYPERLINK("http://catalog.hathitrust.org/Record/007706965")</f>
        <v>http://catalog.hathitrust.org/Record/007706965</v>
      </c>
      <c r="J5016" s="1">
        <v>1850</v>
      </c>
      <c r="K5016" t="s">
        <v>9004</v>
      </c>
      <c r="L5016" t="s">
        <v>19446</v>
      </c>
    </row>
    <row r="5017" spans="1:12">
      <c r="A5017" t="s">
        <v>9006</v>
      </c>
      <c r="B5017" s="1" t="s">
        <v>9003</v>
      </c>
      <c r="F5017">
        <v>1</v>
      </c>
      <c r="G5017" t="str">
        <f>HYPERLINK("http://babel.hathitrust.org/cgi/pt?id=uc1.$b616465")</f>
        <v>http://babel.hathitrust.org/cgi/pt?id=uc1.$b616465</v>
      </c>
      <c r="H5017" t="str">
        <f>HYPERLINK("http://catalog.hathitrust.org/Record/007706965")</f>
        <v>http://catalog.hathitrust.org/Record/007706965</v>
      </c>
      <c r="J5017" s="1">
        <v>1850</v>
      </c>
      <c r="K5017" t="s">
        <v>9004</v>
      </c>
      <c r="L5017" t="s">
        <v>19446</v>
      </c>
    </row>
    <row r="5018" spans="1:12">
      <c r="A5018" t="s">
        <v>9007</v>
      </c>
      <c r="B5018" s="1" t="s">
        <v>9003</v>
      </c>
      <c r="F5018">
        <v>1</v>
      </c>
      <c r="G5018" t="str">
        <f>HYPERLINK("http://babel.hathitrust.org/cgi/pt?id=uc2.ark:/13960/t5k93bp4q")</f>
        <v>http://babel.hathitrust.org/cgi/pt?id=uc2.ark:/13960/t5k93bp4q</v>
      </c>
      <c r="H5018" t="str">
        <f>HYPERLINK("http://catalog.hathitrust.org/Record/007706965")</f>
        <v>http://catalog.hathitrust.org/Record/007706965</v>
      </c>
      <c r="J5018" s="1">
        <v>1850</v>
      </c>
      <c r="K5018" t="s">
        <v>9004</v>
      </c>
      <c r="L5018" t="s">
        <v>19446</v>
      </c>
    </row>
    <row r="5019" spans="1:12">
      <c r="A5019" t="s">
        <v>9008</v>
      </c>
      <c r="B5019" s="1" t="s">
        <v>9009</v>
      </c>
      <c r="F5019">
        <v>1</v>
      </c>
      <c r="G5019" t="str">
        <f>HYPERLINK("http://babel.hathitrust.org/cgi/pt?id=uc2.ark:/13960/t6sx6fv0r")</f>
        <v>http://babel.hathitrust.org/cgi/pt?id=uc2.ark:/13960/t6sx6fv0r</v>
      </c>
      <c r="H5019" t="str">
        <f>HYPERLINK("http://catalog.hathitrust.org/Record/007706969")</f>
        <v>http://catalog.hathitrust.org/Record/007706969</v>
      </c>
      <c r="J5019" s="1">
        <v>1908</v>
      </c>
      <c r="K5019" t="s">
        <v>9010</v>
      </c>
      <c r="L5019" t="s">
        <v>9011</v>
      </c>
    </row>
    <row r="5020" spans="1:12">
      <c r="A5020" t="s">
        <v>9012</v>
      </c>
      <c r="B5020" s="1" t="s">
        <v>9013</v>
      </c>
      <c r="F5020">
        <v>1</v>
      </c>
      <c r="G5020" t="str">
        <f>HYPERLINK("http://babel.hathitrust.org/cgi/pt?id=njp.32101064791922")</f>
        <v>http://babel.hathitrust.org/cgi/pt?id=njp.32101064791922</v>
      </c>
      <c r="H5020" t="str">
        <f>HYPERLINK("http://catalog.hathitrust.org/Record/007706970")</f>
        <v>http://catalog.hathitrust.org/Record/007706970</v>
      </c>
      <c r="J5020" s="1">
        <v>1899</v>
      </c>
      <c r="K5020" t="s">
        <v>16803</v>
      </c>
      <c r="L5020" t="s">
        <v>16804</v>
      </c>
    </row>
    <row r="5021" spans="1:12">
      <c r="A5021" t="s">
        <v>9014</v>
      </c>
      <c r="B5021" s="1" t="s">
        <v>9013</v>
      </c>
      <c r="F5021">
        <v>1</v>
      </c>
      <c r="G5021" t="str">
        <f>HYPERLINK("http://babel.hathitrust.org/cgi/pt?id=uc2.ark:/13960/t7np27d11")</f>
        <v>http://babel.hathitrust.org/cgi/pt?id=uc2.ark:/13960/t7np27d11</v>
      </c>
      <c r="H5021" t="str">
        <f>HYPERLINK("http://catalog.hathitrust.org/Record/007706970")</f>
        <v>http://catalog.hathitrust.org/Record/007706970</v>
      </c>
      <c r="J5021" s="1">
        <v>1899</v>
      </c>
      <c r="K5021" t="s">
        <v>16803</v>
      </c>
      <c r="L5021" t="s">
        <v>16804</v>
      </c>
    </row>
    <row r="5022" spans="1:12">
      <c r="A5022" t="s">
        <v>9015</v>
      </c>
      <c r="B5022" s="1" t="s">
        <v>9016</v>
      </c>
      <c r="F5022">
        <v>1</v>
      </c>
      <c r="G5022" t="str">
        <f>HYPERLINK("http://babel.hathitrust.org/cgi/pt?id=nyp.33433069240558")</f>
        <v>http://babel.hathitrust.org/cgi/pt?id=nyp.33433069240558</v>
      </c>
      <c r="H5022" t="str">
        <f>HYPERLINK("http://catalog.hathitrust.org/Record/007706978")</f>
        <v>http://catalog.hathitrust.org/Record/007706978</v>
      </c>
      <c r="J5022" s="1">
        <v>1836</v>
      </c>
      <c r="K5022" t="s">
        <v>9017</v>
      </c>
      <c r="L5022" t="s">
        <v>12659</v>
      </c>
    </row>
    <row r="5023" spans="1:12">
      <c r="A5023" t="s">
        <v>9018</v>
      </c>
      <c r="B5023" s="1" t="s">
        <v>9016</v>
      </c>
      <c r="F5023">
        <v>1</v>
      </c>
      <c r="G5023" t="str">
        <f>HYPERLINK("http://babel.hathitrust.org/cgi/pt?id=uc2.ark:/13960/t40r9xj83")</f>
        <v>http://babel.hathitrust.org/cgi/pt?id=uc2.ark:/13960/t40r9xj83</v>
      </c>
      <c r="H5023" t="str">
        <f>HYPERLINK("http://catalog.hathitrust.org/Record/007706978")</f>
        <v>http://catalog.hathitrust.org/Record/007706978</v>
      </c>
      <c r="J5023" s="1">
        <v>1836</v>
      </c>
      <c r="K5023" t="s">
        <v>9017</v>
      </c>
      <c r="L5023" t="s">
        <v>12659</v>
      </c>
    </row>
    <row r="5024" spans="1:12">
      <c r="A5024" t="s">
        <v>9019</v>
      </c>
      <c r="B5024" s="1" t="s">
        <v>9020</v>
      </c>
      <c r="F5024">
        <v>1</v>
      </c>
      <c r="G5024" t="str">
        <f>HYPERLINK("http://babel.hathitrust.org/cgi/pt?id=nyp.33433066604731")</f>
        <v>http://babel.hathitrust.org/cgi/pt?id=nyp.33433066604731</v>
      </c>
      <c r="H5024" t="str">
        <f>HYPERLINK("http://catalog.hathitrust.org/Record/007706995")</f>
        <v>http://catalog.hathitrust.org/Record/007706995</v>
      </c>
      <c r="J5024" s="1">
        <v>1883</v>
      </c>
      <c r="K5024" t="s">
        <v>9021</v>
      </c>
      <c r="L5024" t="s">
        <v>16692</v>
      </c>
    </row>
    <row r="5025" spans="1:12">
      <c r="A5025" t="s">
        <v>9022</v>
      </c>
      <c r="B5025" s="1" t="s">
        <v>9020</v>
      </c>
      <c r="F5025">
        <v>1</v>
      </c>
      <c r="G5025" t="str">
        <f>HYPERLINK("http://babel.hathitrust.org/cgi/pt?id=uc2.ark:/13960/t2s46tt8p")</f>
        <v>http://babel.hathitrust.org/cgi/pt?id=uc2.ark:/13960/t2s46tt8p</v>
      </c>
      <c r="H5025" t="str">
        <f>HYPERLINK("http://catalog.hathitrust.org/Record/007706995")</f>
        <v>http://catalog.hathitrust.org/Record/007706995</v>
      </c>
      <c r="J5025" s="1">
        <v>1883</v>
      </c>
      <c r="K5025" t="s">
        <v>9021</v>
      </c>
      <c r="L5025" t="s">
        <v>16692</v>
      </c>
    </row>
    <row r="5026" spans="1:12">
      <c r="A5026" t="s">
        <v>9023</v>
      </c>
      <c r="B5026" s="1" t="s">
        <v>9024</v>
      </c>
      <c r="F5026">
        <v>1</v>
      </c>
      <c r="G5026" t="str">
        <f>HYPERLINK("http://babel.hathitrust.org/cgi/pt?id=hvd.hn31af")</f>
        <v>http://babel.hathitrust.org/cgi/pt?id=hvd.hn31af</v>
      </c>
      <c r="H5026" t="str">
        <f>HYPERLINK("http://catalog.hathitrust.org/Record/007707027")</f>
        <v>http://catalog.hathitrust.org/Record/007707027</v>
      </c>
      <c r="J5026" s="1">
        <v>1816</v>
      </c>
      <c r="K5026" t="s">
        <v>9025</v>
      </c>
      <c r="L5026" t="s">
        <v>9026</v>
      </c>
    </row>
    <row r="5027" spans="1:12">
      <c r="A5027" t="s">
        <v>9027</v>
      </c>
      <c r="B5027" s="1" t="s">
        <v>9024</v>
      </c>
      <c r="F5027">
        <v>1</v>
      </c>
      <c r="G5027" t="str">
        <f>HYPERLINK("http://babel.hathitrust.org/cgi/pt?id=uc2.ark:/13960/t1hh6pz8v")</f>
        <v>http://babel.hathitrust.org/cgi/pt?id=uc2.ark:/13960/t1hh6pz8v</v>
      </c>
      <c r="H5027" t="str">
        <f>HYPERLINK("http://catalog.hathitrust.org/Record/007707027")</f>
        <v>http://catalog.hathitrust.org/Record/007707027</v>
      </c>
      <c r="J5027" s="1">
        <v>1816</v>
      </c>
      <c r="K5027" t="s">
        <v>9025</v>
      </c>
      <c r="L5027" t="s">
        <v>9026</v>
      </c>
    </row>
    <row r="5028" spans="1:12">
      <c r="A5028" t="s">
        <v>9028</v>
      </c>
      <c r="B5028" s="1" t="s">
        <v>9029</v>
      </c>
      <c r="F5028">
        <v>1</v>
      </c>
      <c r="G5028" t="str">
        <f>HYPERLINK("http://babel.hathitrust.org/cgi/pt?id=hvd.hw236s")</f>
        <v>http://babel.hathitrust.org/cgi/pt?id=hvd.hw236s</v>
      </c>
      <c r="H5028" t="str">
        <f>HYPERLINK("http://catalog.hathitrust.org/Record/007707060")</f>
        <v>http://catalog.hathitrust.org/Record/007707060</v>
      </c>
      <c r="J5028" s="1">
        <v>1854</v>
      </c>
      <c r="K5028" t="s">
        <v>18884</v>
      </c>
      <c r="L5028" t="s">
        <v>18885</v>
      </c>
    </row>
    <row r="5029" spans="1:12">
      <c r="A5029" t="s">
        <v>9030</v>
      </c>
      <c r="B5029" s="1" t="s">
        <v>9029</v>
      </c>
      <c r="F5029">
        <v>1</v>
      </c>
      <c r="G5029" t="str">
        <f>HYPERLINK("http://babel.hathitrust.org/cgi/pt?id=uc2.ark:/13960/t2j67m25s")</f>
        <v>http://babel.hathitrust.org/cgi/pt?id=uc2.ark:/13960/t2j67m25s</v>
      </c>
      <c r="H5029" t="str">
        <f>HYPERLINK("http://catalog.hathitrust.org/Record/007707060")</f>
        <v>http://catalog.hathitrust.org/Record/007707060</v>
      </c>
      <c r="J5029" s="1">
        <v>1854</v>
      </c>
      <c r="K5029" t="s">
        <v>18884</v>
      </c>
      <c r="L5029" t="s">
        <v>18885</v>
      </c>
    </row>
    <row r="5030" spans="1:12">
      <c r="A5030" t="s">
        <v>9031</v>
      </c>
      <c r="B5030" s="1" t="s">
        <v>9032</v>
      </c>
      <c r="F5030">
        <v>1</v>
      </c>
      <c r="G5030" t="str">
        <f>HYPERLINK("http://babel.hathitrust.org/cgi/pt?id=uc2.ark:/13960/t12n58t06")</f>
        <v>http://babel.hathitrust.org/cgi/pt?id=uc2.ark:/13960/t12n58t06</v>
      </c>
      <c r="H5030" t="str">
        <f>HYPERLINK("http://catalog.hathitrust.org/Record/007707115")</f>
        <v>http://catalog.hathitrust.org/Record/007707115</v>
      </c>
      <c r="J5030" s="1">
        <v>1865</v>
      </c>
      <c r="K5030" t="s">
        <v>9033</v>
      </c>
      <c r="L5030" t="s">
        <v>9034</v>
      </c>
    </row>
    <row r="5031" spans="1:12">
      <c r="A5031" t="s">
        <v>9035</v>
      </c>
      <c r="B5031" s="1" t="s">
        <v>9036</v>
      </c>
      <c r="D5031">
        <v>1</v>
      </c>
      <c r="G5031" t="str">
        <f>HYPERLINK("http://babel.hathitrust.org/cgi/pt?id=hvd.hx5dn7")</f>
        <v>http://babel.hathitrust.org/cgi/pt?id=hvd.hx5dn7</v>
      </c>
      <c r="H5031" t="str">
        <f>HYPERLINK("http://catalog.hathitrust.org/Record/007707116")</f>
        <v>http://catalog.hathitrust.org/Record/007707116</v>
      </c>
      <c r="J5031" s="1">
        <v>1862</v>
      </c>
      <c r="K5031" t="s">
        <v>9004</v>
      </c>
      <c r="L5031" t="s">
        <v>19446</v>
      </c>
    </row>
    <row r="5032" spans="1:12">
      <c r="A5032" t="s">
        <v>9037</v>
      </c>
      <c r="B5032" s="1" t="s">
        <v>9036</v>
      </c>
      <c r="F5032">
        <v>1</v>
      </c>
      <c r="G5032" t="str">
        <f>HYPERLINK("http://babel.hathitrust.org/cgi/pt?id=uc2.ark:/13960/t9g44vn0c")</f>
        <v>http://babel.hathitrust.org/cgi/pt?id=uc2.ark:/13960/t9g44vn0c</v>
      </c>
      <c r="H5032" t="str">
        <f>HYPERLINK("http://catalog.hathitrust.org/Record/007707116")</f>
        <v>http://catalog.hathitrust.org/Record/007707116</v>
      </c>
      <c r="J5032" s="1">
        <v>1862</v>
      </c>
      <c r="K5032" t="s">
        <v>9004</v>
      </c>
      <c r="L5032" t="s">
        <v>19446</v>
      </c>
    </row>
    <row r="5033" spans="1:12">
      <c r="A5033" t="s">
        <v>8951</v>
      </c>
      <c r="B5033" s="1" t="s">
        <v>8952</v>
      </c>
      <c r="F5033">
        <v>1</v>
      </c>
      <c r="G5033" t="str">
        <f>HYPERLINK("http://babel.hathitrust.org/cgi/pt?id=uc2.ark:/13960/t5s75j18j")</f>
        <v>http://babel.hathitrust.org/cgi/pt?id=uc2.ark:/13960/t5s75j18j</v>
      </c>
      <c r="H5033" t="str">
        <f>HYPERLINK("http://catalog.hathitrust.org/Record/007707117")</f>
        <v>http://catalog.hathitrust.org/Record/007707117</v>
      </c>
      <c r="J5033" s="1">
        <v>1904</v>
      </c>
      <c r="K5033" t="s">
        <v>8953</v>
      </c>
      <c r="L5033" t="s">
        <v>9011</v>
      </c>
    </row>
    <row r="5034" spans="1:12">
      <c r="A5034" t="s">
        <v>8954</v>
      </c>
      <c r="B5034" s="1" t="s">
        <v>8955</v>
      </c>
      <c r="F5034">
        <v>1</v>
      </c>
      <c r="G5034" t="str">
        <f>HYPERLINK("http://babel.hathitrust.org/cgi/pt?id=uc2.ark:/13960/t3gx4g70q")</f>
        <v>http://babel.hathitrust.org/cgi/pt?id=uc2.ark:/13960/t3gx4g70q</v>
      </c>
      <c r="H5034" t="str">
        <f>HYPERLINK("http://catalog.hathitrust.org/Record/007707122")</f>
        <v>http://catalog.hathitrust.org/Record/007707122</v>
      </c>
      <c r="J5034" s="1">
        <v>1814</v>
      </c>
      <c r="K5034" t="s">
        <v>8956</v>
      </c>
      <c r="L5034" t="s">
        <v>8957</v>
      </c>
    </row>
    <row r="5035" spans="1:12">
      <c r="A5035" t="s">
        <v>8958</v>
      </c>
      <c r="B5035" s="1" t="s">
        <v>8959</v>
      </c>
      <c r="E5035">
        <v>1</v>
      </c>
      <c r="G5035" t="str">
        <f>HYPERLINK("http://babel.hathitrust.org/cgi/pt?id=uc2.ark:/13960/t3zs2wq43")</f>
        <v>http://babel.hathitrust.org/cgi/pt?id=uc2.ark:/13960/t3zs2wq43</v>
      </c>
      <c r="H5035" t="str">
        <f>HYPERLINK("http://catalog.hathitrust.org/Record/007707126")</f>
        <v>http://catalog.hathitrust.org/Record/007707126</v>
      </c>
      <c r="J5035" s="1">
        <v>1846</v>
      </c>
      <c r="K5035" t="s">
        <v>8960</v>
      </c>
      <c r="L5035" t="s">
        <v>12780</v>
      </c>
    </row>
    <row r="5036" spans="1:12">
      <c r="A5036" t="s">
        <v>8961</v>
      </c>
      <c r="B5036" s="1" t="s">
        <v>8962</v>
      </c>
      <c r="F5036">
        <v>1</v>
      </c>
      <c r="G5036" t="str">
        <f>HYPERLINK("http://babel.hathitrust.org/cgi/pt?id=hvd.hwp9c6")</f>
        <v>http://babel.hathitrust.org/cgi/pt?id=hvd.hwp9c6</v>
      </c>
      <c r="H5036" t="str">
        <f>HYPERLINK("http://catalog.hathitrust.org/Record/007707127")</f>
        <v>http://catalog.hathitrust.org/Record/007707127</v>
      </c>
      <c r="J5036" s="1">
        <v>1863</v>
      </c>
      <c r="K5036" t="s">
        <v>8963</v>
      </c>
      <c r="L5036" t="s">
        <v>8964</v>
      </c>
    </row>
    <row r="5037" spans="1:12">
      <c r="A5037" t="s">
        <v>8965</v>
      </c>
      <c r="B5037" s="1" t="s">
        <v>8962</v>
      </c>
      <c r="F5037">
        <v>1</v>
      </c>
      <c r="G5037" t="str">
        <f>HYPERLINK("http://babel.hathitrust.org/cgi/pt?id=uc2.ark:/13960/t1vd70990")</f>
        <v>http://babel.hathitrust.org/cgi/pt?id=uc2.ark:/13960/t1vd70990</v>
      </c>
      <c r="H5037" t="str">
        <f>HYPERLINK("http://catalog.hathitrust.org/Record/007707127")</f>
        <v>http://catalog.hathitrust.org/Record/007707127</v>
      </c>
      <c r="J5037" s="1">
        <v>1863</v>
      </c>
      <c r="K5037" t="s">
        <v>8963</v>
      </c>
      <c r="L5037" t="s">
        <v>8964</v>
      </c>
    </row>
    <row r="5038" spans="1:12">
      <c r="A5038" t="s">
        <v>8966</v>
      </c>
      <c r="B5038" s="1" t="s">
        <v>8967</v>
      </c>
      <c r="F5038">
        <v>1</v>
      </c>
      <c r="G5038" t="str">
        <f>HYPERLINK("http://babel.hathitrust.org/cgi/pt?id=uc2.ark:/13960/t7np2740z")</f>
        <v>http://babel.hathitrust.org/cgi/pt?id=uc2.ark:/13960/t7np2740z</v>
      </c>
      <c r="H5038" t="str">
        <f>HYPERLINK("http://catalog.hathitrust.org/Record/007707128")</f>
        <v>http://catalog.hathitrust.org/Record/007707128</v>
      </c>
      <c r="J5038" s="1">
        <v>1915</v>
      </c>
      <c r="K5038" t="s">
        <v>8968</v>
      </c>
      <c r="L5038" t="s">
        <v>19601</v>
      </c>
    </row>
    <row r="5039" spans="1:12">
      <c r="A5039" t="s">
        <v>8969</v>
      </c>
      <c r="B5039" s="1" t="s">
        <v>8970</v>
      </c>
      <c r="F5039">
        <v>1</v>
      </c>
      <c r="G5039" t="str">
        <f>HYPERLINK("http://babel.hathitrust.org/cgi/pt?id=uc2.ark:/13960/t8jd51b3b")</f>
        <v>http://babel.hathitrust.org/cgi/pt?id=uc2.ark:/13960/t8jd51b3b</v>
      </c>
      <c r="H5039" t="str">
        <f>HYPERLINK("http://catalog.hathitrust.org/Record/007707134")</f>
        <v>http://catalog.hathitrust.org/Record/007707134</v>
      </c>
      <c r="J5039" s="1">
        <v>1905</v>
      </c>
      <c r="K5039" t="s">
        <v>19600</v>
      </c>
      <c r="L5039" t="s">
        <v>19601</v>
      </c>
    </row>
    <row r="5040" spans="1:12">
      <c r="A5040" t="s">
        <v>8971</v>
      </c>
      <c r="B5040" s="1" t="s">
        <v>8972</v>
      </c>
      <c r="F5040">
        <v>1</v>
      </c>
      <c r="G5040" t="str">
        <f>HYPERLINK("http://babel.hathitrust.org/cgi/pt?id=uc2.ark:/13960/t74t6rw7n")</f>
        <v>http://babel.hathitrust.org/cgi/pt?id=uc2.ark:/13960/t74t6rw7n</v>
      </c>
      <c r="H5040" t="str">
        <f>HYPERLINK("http://catalog.hathitrust.org/Record/007707135")</f>
        <v>http://catalog.hathitrust.org/Record/007707135</v>
      </c>
      <c r="J5040" s="1">
        <v>1913</v>
      </c>
      <c r="K5040" t="s">
        <v>8973</v>
      </c>
      <c r="L5040" t="s">
        <v>8974</v>
      </c>
    </row>
    <row r="5041" spans="1:12">
      <c r="A5041" t="s">
        <v>8975</v>
      </c>
      <c r="B5041" s="1" t="s">
        <v>8976</v>
      </c>
      <c r="E5041">
        <v>1</v>
      </c>
      <c r="G5041" t="str">
        <f>HYPERLINK("http://babel.hathitrust.org/cgi/pt?id=uc2.ark:/13960/t7br8zr59")</f>
        <v>http://babel.hathitrust.org/cgi/pt?id=uc2.ark:/13960/t7br8zr59</v>
      </c>
      <c r="H5041" t="str">
        <f>HYPERLINK("http://catalog.hathitrust.org/Record/007707233")</f>
        <v>http://catalog.hathitrust.org/Record/007707233</v>
      </c>
      <c r="J5041" s="1">
        <v>1840</v>
      </c>
      <c r="K5041" t="s">
        <v>8977</v>
      </c>
      <c r="L5041" t="s">
        <v>9134</v>
      </c>
    </row>
    <row r="5042" spans="1:12">
      <c r="A5042" t="s">
        <v>8978</v>
      </c>
      <c r="B5042" s="1" t="s">
        <v>8979</v>
      </c>
      <c r="F5042">
        <v>1</v>
      </c>
      <c r="G5042" t="str">
        <f>HYPERLINK("http://babel.hathitrust.org/cgi/pt?id=uc2.ark:/13960/t1cj8kp3g")</f>
        <v>http://babel.hathitrust.org/cgi/pt?id=uc2.ark:/13960/t1cj8kp3g</v>
      </c>
      <c r="H5042" t="str">
        <f>HYPERLINK("http://catalog.hathitrust.org/Record/007707257")</f>
        <v>http://catalog.hathitrust.org/Record/007707257</v>
      </c>
      <c r="J5042" s="1">
        <v>1916</v>
      </c>
      <c r="K5042" t="s">
        <v>8980</v>
      </c>
      <c r="L5042" t="s">
        <v>15615</v>
      </c>
    </row>
    <row r="5043" spans="1:12">
      <c r="A5043" t="s">
        <v>8981</v>
      </c>
      <c r="B5043" s="1" t="s">
        <v>8982</v>
      </c>
      <c r="F5043">
        <v>1</v>
      </c>
      <c r="G5043" t="str">
        <f>HYPERLINK("http://babel.hathitrust.org/cgi/pt?id=uc2.ark:/13960/t59c74n0k")</f>
        <v>http://babel.hathitrust.org/cgi/pt?id=uc2.ark:/13960/t59c74n0k</v>
      </c>
      <c r="H5043" t="str">
        <f>HYPERLINK("http://catalog.hathitrust.org/Record/007707302")</f>
        <v>http://catalog.hathitrust.org/Record/007707302</v>
      </c>
      <c r="J5043" s="1">
        <v>1922</v>
      </c>
      <c r="K5043" t="s">
        <v>8983</v>
      </c>
      <c r="L5043" t="s">
        <v>16873</v>
      </c>
    </row>
    <row r="5044" spans="1:12">
      <c r="A5044" t="s">
        <v>8984</v>
      </c>
      <c r="B5044" s="1" t="s">
        <v>8985</v>
      </c>
      <c r="F5044">
        <v>1</v>
      </c>
      <c r="G5044" t="str">
        <f>HYPERLINK("http://babel.hathitrust.org/cgi/pt?id=uc2.ark:/13960/t9q248g4h")</f>
        <v>http://babel.hathitrust.org/cgi/pt?id=uc2.ark:/13960/t9q248g4h</v>
      </c>
      <c r="H5044" t="str">
        <f>HYPERLINK("http://catalog.hathitrust.org/Record/007707311")</f>
        <v>http://catalog.hathitrust.org/Record/007707311</v>
      </c>
      <c r="J5044" s="1">
        <v>1922</v>
      </c>
      <c r="K5044" t="s">
        <v>8986</v>
      </c>
      <c r="L5044" t="s">
        <v>13895</v>
      </c>
    </row>
    <row r="5045" spans="1:12">
      <c r="A5045" t="s">
        <v>8987</v>
      </c>
      <c r="B5045" s="1" t="s">
        <v>8988</v>
      </c>
      <c r="F5045">
        <v>1</v>
      </c>
      <c r="G5045" t="str">
        <f>HYPERLINK("http://babel.hathitrust.org/cgi/pt?id=uc2.ark:/13960/t8qc06x59")</f>
        <v>http://babel.hathitrust.org/cgi/pt?id=uc2.ark:/13960/t8qc06x59</v>
      </c>
      <c r="H5045" t="str">
        <f>HYPERLINK("http://catalog.hathitrust.org/Record/007707312")</f>
        <v>http://catalog.hathitrust.org/Record/007707312</v>
      </c>
      <c r="J5045" s="1">
        <v>1906</v>
      </c>
      <c r="K5045" t="s">
        <v>8989</v>
      </c>
      <c r="L5045" t="s">
        <v>8990</v>
      </c>
    </row>
    <row r="5046" spans="1:12">
      <c r="A5046" t="s">
        <v>8991</v>
      </c>
      <c r="B5046" s="1" t="s">
        <v>8992</v>
      </c>
      <c r="E5046">
        <v>1</v>
      </c>
      <c r="G5046" t="str">
        <f>HYPERLINK("http://babel.hathitrust.org/cgi/pt?id=uc2.ark:/13960/t74t6t426")</f>
        <v>http://babel.hathitrust.org/cgi/pt?id=uc2.ark:/13960/t74t6t426</v>
      </c>
      <c r="H5046" t="str">
        <f>HYPERLINK("http://catalog.hathitrust.org/Record/007707328")</f>
        <v>http://catalog.hathitrust.org/Record/007707328</v>
      </c>
      <c r="J5046" s="1">
        <v>1866</v>
      </c>
      <c r="K5046" t="s">
        <v>8898</v>
      </c>
      <c r="L5046" t="s">
        <v>20960</v>
      </c>
    </row>
    <row r="5047" spans="1:12">
      <c r="A5047" t="s">
        <v>8899</v>
      </c>
      <c r="B5047" s="1" t="s">
        <v>8900</v>
      </c>
      <c r="F5047">
        <v>1</v>
      </c>
      <c r="G5047" t="str">
        <f>HYPERLINK("http://babel.hathitrust.org/cgi/pt?id=nnc1.0043824790")</f>
        <v>http://babel.hathitrust.org/cgi/pt?id=nnc1.0043824790</v>
      </c>
      <c r="H5047" t="str">
        <f>HYPERLINK("http://catalog.hathitrust.org/Record/007707406")</f>
        <v>http://catalog.hathitrust.org/Record/007707406</v>
      </c>
      <c r="J5047" s="1">
        <v>1899</v>
      </c>
      <c r="K5047" t="s">
        <v>18769</v>
      </c>
      <c r="L5047" t="s">
        <v>19211</v>
      </c>
    </row>
    <row r="5048" spans="1:12">
      <c r="A5048" t="s">
        <v>8901</v>
      </c>
      <c r="B5048" s="1" t="s">
        <v>8900</v>
      </c>
      <c r="F5048">
        <v>1</v>
      </c>
      <c r="G5048" t="str">
        <f>HYPERLINK("http://babel.hathitrust.org/cgi/pt?id=uc2.ark:/13960/t01z4d58b")</f>
        <v>http://babel.hathitrust.org/cgi/pt?id=uc2.ark:/13960/t01z4d58b</v>
      </c>
      <c r="H5048" t="str">
        <f>HYPERLINK("http://catalog.hathitrust.org/Record/007707406")</f>
        <v>http://catalog.hathitrust.org/Record/007707406</v>
      </c>
      <c r="J5048" s="1">
        <v>1899</v>
      </c>
      <c r="K5048" t="s">
        <v>18769</v>
      </c>
      <c r="L5048" t="s">
        <v>19211</v>
      </c>
    </row>
    <row r="5049" spans="1:12">
      <c r="A5049" t="s">
        <v>8902</v>
      </c>
      <c r="B5049" s="1" t="s">
        <v>8903</v>
      </c>
      <c r="F5049">
        <v>1</v>
      </c>
      <c r="G5049" t="str">
        <f>HYPERLINK("http://babel.hathitrust.org/cgi/pt?id=uc2.ark:/13960/t3ws8w84x")</f>
        <v>http://babel.hathitrust.org/cgi/pt?id=uc2.ark:/13960/t3ws8w84x</v>
      </c>
      <c r="H5049" t="str">
        <f>HYPERLINK("http://catalog.hathitrust.org/Record/007707471")</f>
        <v>http://catalog.hathitrust.org/Record/007707471</v>
      </c>
      <c r="J5049" s="1">
        <v>1912</v>
      </c>
      <c r="K5049" t="s">
        <v>8904</v>
      </c>
      <c r="L5049" t="s">
        <v>20670</v>
      </c>
    </row>
    <row r="5050" spans="1:12">
      <c r="A5050" t="s">
        <v>8905</v>
      </c>
      <c r="B5050" s="1" t="s">
        <v>8906</v>
      </c>
      <c r="F5050">
        <v>1</v>
      </c>
      <c r="G5050" t="str">
        <f>HYPERLINK("http://babel.hathitrust.org/cgi/pt?id=uc2.ark:/13960/t49p38h0r")</f>
        <v>http://babel.hathitrust.org/cgi/pt?id=uc2.ark:/13960/t49p38h0r</v>
      </c>
      <c r="H5050" t="str">
        <f>HYPERLINK("http://catalog.hathitrust.org/Record/007707480")</f>
        <v>http://catalog.hathitrust.org/Record/007707480</v>
      </c>
      <c r="J5050" s="1">
        <v>1908</v>
      </c>
      <c r="K5050" t="s">
        <v>8907</v>
      </c>
      <c r="L5050" t="s">
        <v>8908</v>
      </c>
    </row>
    <row r="5051" spans="1:12">
      <c r="A5051" t="s">
        <v>8909</v>
      </c>
      <c r="B5051" s="1" t="s">
        <v>8910</v>
      </c>
      <c r="F5051">
        <v>1</v>
      </c>
      <c r="G5051" t="str">
        <f>HYPERLINK("http://babel.hathitrust.org/cgi/pt?id=uc2.ark:/13960/t9m331x6f")</f>
        <v>http://babel.hathitrust.org/cgi/pt?id=uc2.ark:/13960/t9m331x6f</v>
      </c>
      <c r="H5051" t="str">
        <f>HYPERLINK("http://catalog.hathitrust.org/Record/007707553")</f>
        <v>http://catalog.hathitrust.org/Record/007707553</v>
      </c>
      <c r="J5051" s="1">
        <v>1911</v>
      </c>
      <c r="K5051" t="s">
        <v>8911</v>
      </c>
      <c r="L5051" t="s">
        <v>8912</v>
      </c>
    </row>
    <row r="5052" spans="1:12">
      <c r="A5052" t="s">
        <v>8913</v>
      </c>
      <c r="B5052" s="1" t="s">
        <v>8914</v>
      </c>
      <c r="E5052">
        <v>1</v>
      </c>
      <c r="G5052" t="str">
        <f>HYPERLINK("http://babel.hathitrust.org/cgi/pt?id=uc2.ark:/13960/t0ns0zh5b")</f>
        <v>http://babel.hathitrust.org/cgi/pt?id=uc2.ark:/13960/t0ns0zh5b</v>
      </c>
      <c r="H5052" t="str">
        <f>HYPERLINK("http://catalog.hathitrust.org/Record/007707719")</f>
        <v>http://catalog.hathitrust.org/Record/007707719</v>
      </c>
      <c r="J5052" s="1">
        <v>1898</v>
      </c>
      <c r="K5052" t="s">
        <v>8915</v>
      </c>
      <c r="L5052" t="s">
        <v>20675</v>
      </c>
    </row>
    <row r="5053" spans="1:12">
      <c r="A5053" t="s">
        <v>8916</v>
      </c>
      <c r="B5053" s="1" t="s">
        <v>8917</v>
      </c>
      <c r="E5053">
        <v>1</v>
      </c>
      <c r="F5053">
        <v>1</v>
      </c>
      <c r="G5053" t="str">
        <f>HYPERLINK("http://babel.hathitrust.org/cgi/pt?id=uc2.ark:/13960/t4xg9tk5g")</f>
        <v>http://babel.hathitrust.org/cgi/pt?id=uc2.ark:/13960/t4xg9tk5g</v>
      </c>
      <c r="H5053" t="str">
        <f>HYPERLINK("http://catalog.hathitrust.org/Record/007707851")</f>
        <v>http://catalog.hathitrust.org/Record/007707851</v>
      </c>
      <c r="J5053" s="1">
        <v>1910</v>
      </c>
      <c r="K5053" t="s">
        <v>8918</v>
      </c>
      <c r="L5053" t="s">
        <v>20297</v>
      </c>
    </row>
    <row r="5054" spans="1:12">
      <c r="A5054" t="s">
        <v>8919</v>
      </c>
      <c r="B5054" s="1" t="s">
        <v>8920</v>
      </c>
      <c r="E5054">
        <v>1</v>
      </c>
      <c r="G5054" t="str">
        <f>HYPERLINK("http://babel.hathitrust.org/cgi/pt?id=hvd.32044086837689")</f>
        <v>http://babel.hathitrust.org/cgi/pt?id=hvd.32044086837689</v>
      </c>
      <c r="H5054" t="str">
        <f>HYPERLINK("http://catalog.hathitrust.org/Record/007708085")</f>
        <v>http://catalog.hathitrust.org/Record/007708085</v>
      </c>
      <c r="J5054" s="1">
        <v>1869</v>
      </c>
      <c r="K5054" t="s">
        <v>8921</v>
      </c>
      <c r="L5054" t="s">
        <v>20981</v>
      </c>
    </row>
    <row r="5055" spans="1:12">
      <c r="A5055" t="s">
        <v>8922</v>
      </c>
      <c r="B5055" s="1" t="s">
        <v>8923</v>
      </c>
      <c r="E5055">
        <v>1</v>
      </c>
      <c r="G5055" t="str">
        <f>HYPERLINK("http://babel.hathitrust.org/cgi/pt?id=uc2.ark:/13960/t0bv7qj01")</f>
        <v>http://babel.hathitrust.org/cgi/pt?id=uc2.ark:/13960/t0bv7qj01</v>
      </c>
      <c r="H5055" t="str">
        <f>HYPERLINK("http://catalog.hathitrust.org/Record/007708231")</f>
        <v>http://catalog.hathitrust.org/Record/007708231</v>
      </c>
      <c r="J5055" s="1">
        <v>1903</v>
      </c>
      <c r="K5055" t="s">
        <v>8924</v>
      </c>
      <c r="L5055" t="s">
        <v>19690</v>
      </c>
    </row>
    <row r="5056" spans="1:12">
      <c r="A5056" t="s">
        <v>8925</v>
      </c>
      <c r="B5056" s="1" t="s">
        <v>8926</v>
      </c>
      <c r="F5056">
        <v>1</v>
      </c>
      <c r="G5056" t="str">
        <f>HYPERLINK("http://babel.hathitrust.org/cgi/pt?id=uc2.ark:/13960/t54f22w7h")</f>
        <v>http://babel.hathitrust.org/cgi/pt?id=uc2.ark:/13960/t54f22w7h</v>
      </c>
      <c r="H5056" t="str">
        <f>HYPERLINK("http://catalog.hathitrust.org/Record/007708302")</f>
        <v>http://catalog.hathitrust.org/Record/007708302</v>
      </c>
      <c r="J5056" s="1">
        <v>1917</v>
      </c>
      <c r="K5056" t="s">
        <v>8927</v>
      </c>
      <c r="L5056" t="s">
        <v>8928</v>
      </c>
    </row>
    <row r="5057" spans="1:12">
      <c r="A5057" t="s">
        <v>8929</v>
      </c>
      <c r="B5057" s="1" t="s">
        <v>8930</v>
      </c>
      <c r="D5057">
        <v>1</v>
      </c>
      <c r="G5057" t="str">
        <f>HYPERLINK("http://babel.hathitrust.org/cgi/pt?id=uc1.b3514844")</f>
        <v>http://babel.hathitrust.org/cgi/pt?id=uc1.b3514844</v>
      </c>
      <c r="H5057" t="str">
        <f>HYPERLINK("http://catalog.hathitrust.org/Record/007855724")</f>
        <v>http://catalog.hathitrust.org/Record/007855724</v>
      </c>
      <c r="J5057" s="1">
        <v>1925</v>
      </c>
      <c r="K5057" t="s">
        <v>13160</v>
      </c>
      <c r="L5057" t="s">
        <v>20010</v>
      </c>
    </row>
    <row r="5058" spans="1:12">
      <c r="A5058" t="s">
        <v>8931</v>
      </c>
      <c r="B5058" s="1" t="s">
        <v>8932</v>
      </c>
      <c r="F5058">
        <v>1</v>
      </c>
      <c r="G5058" t="str">
        <f>HYPERLINK("http://babel.hathitrust.org/cgi/pt?id=uc1.b3514924")</f>
        <v>http://babel.hathitrust.org/cgi/pt?id=uc1.b3514924</v>
      </c>
      <c r="H5058" t="str">
        <f>HYPERLINK("http://catalog.hathitrust.org/Record/007855729")</f>
        <v>http://catalog.hathitrust.org/Record/007855729</v>
      </c>
      <c r="J5058" s="1">
        <v>1946</v>
      </c>
      <c r="K5058" t="s">
        <v>8933</v>
      </c>
      <c r="L5058" t="s">
        <v>17608</v>
      </c>
    </row>
    <row r="5059" spans="1:12">
      <c r="A5059" t="s">
        <v>8934</v>
      </c>
      <c r="B5059" s="1" t="s">
        <v>8935</v>
      </c>
      <c r="F5059">
        <v>1</v>
      </c>
      <c r="G5059" t="str">
        <f>HYPERLINK("http://babel.hathitrust.org/cgi/pt?id=uc1.b3706722")</f>
        <v>http://babel.hathitrust.org/cgi/pt?id=uc1.b3706722</v>
      </c>
      <c r="H5059" t="str">
        <f>HYPERLINK("http://catalog.hathitrust.org/Record/007871275")</f>
        <v>http://catalog.hathitrust.org/Record/007871275</v>
      </c>
      <c r="J5059" s="1">
        <v>1916</v>
      </c>
      <c r="K5059" t="s">
        <v>8936</v>
      </c>
      <c r="L5059" t="s">
        <v>8937</v>
      </c>
    </row>
    <row r="5060" spans="1:12">
      <c r="A5060" t="s">
        <v>8938</v>
      </c>
      <c r="B5060" s="1" t="s">
        <v>8939</v>
      </c>
      <c r="F5060">
        <v>1</v>
      </c>
      <c r="G5060" t="str">
        <f>HYPERLINK("http://babel.hathitrust.org/cgi/pt?id=uc1.b3839310")</f>
        <v>http://babel.hathitrust.org/cgi/pt?id=uc1.b3839310</v>
      </c>
      <c r="H5060" t="str">
        <f>HYPERLINK("http://catalog.hathitrust.org/Record/007879576")</f>
        <v>http://catalog.hathitrust.org/Record/007879576</v>
      </c>
      <c r="J5060" s="1">
        <v>1912</v>
      </c>
      <c r="K5060" t="s">
        <v>8940</v>
      </c>
      <c r="L5060" t="s">
        <v>8941</v>
      </c>
    </row>
    <row r="5061" spans="1:12">
      <c r="A5061" t="s">
        <v>8942</v>
      </c>
      <c r="B5061" s="1" t="s">
        <v>8943</v>
      </c>
      <c r="F5061">
        <v>1</v>
      </c>
      <c r="G5061" t="str">
        <f>HYPERLINK("http://babel.hathitrust.org/cgi/pt?id=uc1.b3920356")</f>
        <v>http://babel.hathitrust.org/cgi/pt?id=uc1.b3920356</v>
      </c>
      <c r="H5061" t="str">
        <f>HYPERLINK("http://catalog.hathitrust.org/Record/007885425")</f>
        <v>http://catalog.hathitrust.org/Record/007885425</v>
      </c>
      <c r="J5061" s="1">
        <v>1864</v>
      </c>
      <c r="K5061" t="s">
        <v>8944</v>
      </c>
      <c r="L5061" t="s">
        <v>8945</v>
      </c>
    </row>
    <row r="5062" spans="1:12">
      <c r="A5062" t="s">
        <v>8946</v>
      </c>
      <c r="B5062" s="1" t="s">
        <v>8947</v>
      </c>
      <c r="F5062">
        <v>1</v>
      </c>
      <c r="G5062" t="str">
        <f>HYPERLINK("http://babel.hathitrust.org/cgi/pt?id=uc1.b3926018")</f>
        <v>http://babel.hathitrust.org/cgi/pt?id=uc1.b3926018</v>
      </c>
      <c r="H5062" t="str">
        <f>HYPERLINK("http://catalog.hathitrust.org/Record/007885790")</f>
        <v>http://catalog.hathitrust.org/Record/007885790</v>
      </c>
      <c r="J5062" s="1">
        <v>1944</v>
      </c>
      <c r="K5062" t="s">
        <v>8948</v>
      </c>
    </row>
    <row r="5063" spans="1:12">
      <c r="A5063" t="s">
        <v>8949</v>
      </c>
      <c r="B5063" s="1" t="s">
        <v>8950</v>
      </c>
      <c r="F5063">
        <v>1</v>
      </c>
      <c r="G5063" t="str">
        <f>HYPERLINK("http://babel.hathitrust.org/cgi/pt?id=uc1.b2636886")</f>
        <v>http://babel.hathitrust.org/cgi/pt?id=uc1.b2636886</v>
      </c>
      <c r="H5063" t="str">
        <f>HYPERLINK("http://catalog.hathitrust.org/Record/007895715")</f>
        <v>http://catalog.hathitrust.org/Record/007895715</v>
      </c>
      <c r="J5063" s="1">
        <v>1913</v>
      </c>
      <c r="K5063" t="s">
        <v>8837</v>
      </c>
      <c r="L5063" t="s">
        <v>8838</v>
      </c>
    </row>
    <row r="5064" spans="1:12">
      <c r="A5064" t="s">
        <v>8839</v>
      </c>
      <c r="B5064" s="1" t="s">
        <v>8840</v>
      </c>
      <c r="F5064">
        <v>1</v>
      </c>
      <c r="G5064" t="str">
        <f>HYPERLINK("http://babel.hathitrust.org/cgi/pt?id=uc1.b2628063")</f>
        <v>http://babel.hathitrust.org/cgi/pt?id=uc1.b2628063</v>
      </c>
      <c r="H5064" t="str">
        <f>HYPERLINK("http://catalog.hathitrust.org/Record/007897031")</f>
        <v>http://catalog.hathitrust.org/Record/007897031</v>
      </c>
      <c r="J5064" s="1">
        <v>1912</v>
      </c>
      <c r="K5064" t="s">
        <v>8841</v>
      </c>
      <c r="L5064" t="s">
        <v>8842</v>
      </c>
    </row>
    <row r="5065" spans="1:12">
      <c r="A5065" t="s">
        <v>8843</v>
      </c>
      <c r="B5065" s="1" t="s">
        <v>8840</v>
      </c>
      <c r="F5065">
        <v>1</v>
      </c>
      <c r="G5065" t="str">
        <f>HYPERLINK("http://babel.hathitrust.org/cgi/pt?id=uc2.ark:/13960/t89g5px78")</f>
        <v>http://babel.hathitrust.org/cgi/pt?id=uc2.ark:/13960/t89g5px78</v>
      </c>
      <c r="H5065" t="str">
        <f>HYPERLINK("http://catalog.hathitrust.org/Record/007897031")</f>
        <v>http://catalog.hathitrust.org/Record/007897031</v>
      </c>
      <c r="J5065" s="1">
        <v>1912</v>
      </c>
      <c r="K5065" t="s">
        <v>8841</v>
      </c>
      <c r="L5065" t="s">
        <v>8842</v>
      </c>
    </row>
    <row r="5066" spans="1:12">
      <c r="A5066" t="s">
        <v>8844</v>
      </c>
      <c r="B5066" s="1" t="s">
        <v>8845</v>
      </c>
      <c r="F5066">
        <v>1</v>
      </c>
      <c r="G5066" t="str">
        <f>HYPERLINK("http://babel.hathitrust.org/cgi/pt?id=uc2.ark:/13960/t9v12338k")</f>
        <v>http://babel.hathitrust.org/cgi/pt?id=uc2.ark:/13960/t9v12338k</v>
      </c>
      <c r="H5066" t="str">
        <f>HYPERLINK("http://catalog.hathitrust.org/Record/007897677")</f>
        <v>http://catalog.hathitrust.org/Record/007897677</v>
      </c>
      <c r="J5066" s="1">
        <v>1913</v>
      </c>
      <c r="K5066" t="s">
        <v>15732</v>
      </c>
      <c r="L5066" t="s">
        <v>15733</v>
      </c>
    </row>
    <row r="5067" spans="1:12">
      <c r="A5067" t="s">
        <v>8846</v>
      </c>
      <c r="B5067" s="1" t="s">
        <v>8847</v>
      </c>
      <c r="F5067">
        <v>1</v>
      </c>
      <c r="G5067" t="str">
        <f>HYPERLINK("http://babel.hathitrust.org/cgi/pt?id=uc1.b2601806")</f>
        <v>http://babel.hathitrust.org/cgi/pt?id=uc1.b2601806</v>
      </c>
      <c r="H5067" t="str">
        <f>HYPERLINK("http://catalog.hathitrust.org/Record/007900823")</f>
        <v>http://catalog.hathitrust.org/Record/007900823</v>
      </c>
      <c r="J5067" s="1">
        <v>1909</v>
      </c>
      <c r="K5067" t="s">
        <v>8848</v>
      </c>
      <c r="L5067" t="s">
        <v>8849</v>
      </c>
    </row>
    <row r="5068" spans="1:12">
      <c r="A5068" t="s">
        <v>8850</v>
      </c>
      <c r="B5068" s="1" t="s">
        <v>8851</v>
      </c>
      <c r="F5068">
        <v>1</v>
      </c>
      <c r="G5068" t="str">
        <f>HYPERLINK("http://babel.hathitrust.org/cgi/pt?id=uc1.b3110927")</f>
        <v>http://babel.hathitrust.org/cgi/pt?id=uc1.b3110927</v>
      </c>
      <c r="H5068" t="str">
        <f>HYPERLINK("http://catalog.hathitrust.org/Record/007903760")</f>
        <v>http://catalog.hathitrust.org/Record/007903760</v>
      </c>
      <c r="J5068" s="1">
        <v>1913</v>
      </c>
      <c r="K5068" t="s">
        <v>8852</v>
      </c>
      <c r="L5068" t="s">
        <v>8853</v>
      </c>
    </row>
    <row r="5069" spans="1:12">
      <c r="A5069" t="s">
        <v>8854</v>
      </c>
      <c r="B5069" s="1" t="s">
        <v>8851</v>
      </c>
      <c r="F5069">
        <v>1</v>
      </c>
      <c r="G5069" t="str">
        <f>HYPERLINK("http://babel.hathitrust.org/cgi/pt?id=uc2.ark:/13960/t2m61kc29")</f>
        <v>http://babel.hathitrust.org/cgi/pt?id=uc2.ark:/13960/t2m61kc29</v>
      </c>
      <c r="H5069" t="str">
        <f>HYPERLINK("http://catalog.hathitrust.org/Record/007903760")</f>
        <v>http://catalog.hathitrust.org/Record/007903760</v>
      </c>
      <c r="J5069" s="1">
        <v>1913</v>
      </c>
      <c r="K5069" t="s">
        <v>8852</v>
      </c>
      <c r="L5069" t="s">
        <v>8853</v>
      </c>
    </row>
    <row r="5070" spans="1:12">
      <c r="A5070" t="s">
        <v>8855</v>
      </c>
      <c r="B5070" s="1" t="s">
        <v>8856</v>
      </c>
      <c r="F5070">
        <v>1</v>
      </c>
      <c r="G5070" t="str">
        <f>HYPERLINK("http://babel.hathitrust.org/cgi/pt?id=njp.32101072898594")</f>
        <v>http://babel.hathitrust.org/cgi/pt?id=njp.32101072898594</v>
      </c>
      <c r="H5070" t="str">
        <f>HYPERLINK("http://catalog.hathitrust.org/Record/007903788")</f>
        <v>http://catalog.hathitrust.org/Record/007903788</v>
      </c>
      <c r="J5070" s="1">
        <v>1922</v>
      </c>
      <c r="K5070" t="s">
        <v>8857</v>
      </c>
      <c r="L5070" t="s">
        <v>8858</v>
      </c>
    </row>
    <row r="5071" spans="1:12">
      <c r="A5071" t="s">
        <v>8859</v>
      </c>
      <c r="B5071" s="1" t="s">
        <v>8860</v>
      </c>
      <c r="F5071">
        <v>1</v>
      </c>
      <c r="G5071" t="str">
        <f>HYPERLINK("http://babel.hathitrust.org/cgi/pt?id=uc1.b3106254")</f>
        <v>http://babel.hathitrust.org/cgi/pt?id=uc1.b3106254</v>
      </c>
      <c r="H5071" t="str">
        <f>HYPERLINK("http://catalog.hathitrust.org/Record/007905491")</f>
        <v>http://catalog.hathitrust.org/Record/007905491</v>
      </c>
      <c r="J5071" s="1">
        <v>1952</v>
      </c>
      <c r="K5071" t="s">
        <v>8861</v>
      </c>
    </row>
    <row r="5072" spans="1:12">
      <c r="A5072" t="s">
        <v>8862</v>
      </c>
      <c r="B5072" s="1" t="s">
        <v>8863</v>
      </c>
      <c r="F5072">
        <v>1</v>
      </c>
      <c r="G5072" t="str">
        <f>HYPERLINK("http://babel.hathitrust.org/cgi/pt?id=uc1.b3099344")</f>
        <v>http://babel.hathitrust.org/cgi/pt?id=uc1.b3099344</v>
      </c>
      <c r="H5072" t="str">
        <f>HYPERLINK("http://catalog.hathitrust.org/Record/007908102")</f>
        <v>http://catalog.hathitrust.org/Record/007908102</v>
      </c>
      <c r="I5072" s="1" t="s">
        <v>8865</v>
      </c>
      <c r="J5072" s="1">
        <v>1889</v>
      </c>
      <c r="K5072" t="s">
        <v>8864</v>
      </c>
    </row>
    <row r="5073" spans="1:12">
      <c r="A5073" t="s">
        <v>8866</v>
      </c>
      <c r="B5073" s="1" t="s">
        <v>8867</v>
      </c>
      <c r="F5073">
        <v>1</v>
      </c>
      <c r="G5073" t="str">
        <f>HYPERLINK("http://babel.hathitrust.org/cgi/pt?id=uc1.b3073952")</f>
        <v>http://babel.hathitrust.org/cgi/pt?id=uc1.b3073952</v>
      </c>
      <c r="H5073" t="str">
        <f>HYPERLINK("http://catalog.hathitrust.org/Record/007909289")</f>
        <v>http://catalog.hathitrust.org/Record/007909289</v>
      </c>
      <c r="I5073" s="1" t="s">
        <v>20679</v>
      </c>
      <c r="J5073" s="1">
        <v>1880</v>
      </c>
      <c r="K5073" t="s">
        <v>8868</v>
      </c>
    </row>
    <row r="5074" spans="1:12">
      <c r="A5074" t="s">
        <v>8869</v>
      </c>
      <c r="B5074" s="1" t="s">
        <v>8870</v>
      </c>
      <c r="E5074">
        <v>1</v>
      </c>
      <c r="G5074" t="str">
        <f>HYPERLINK("http://babel.hathitrust.org/cgi/pt?id=uc1.b3337100")</f>
        <v>http://babel.hathitrust.org/cgi/pt?id=uc1.b3337100</v>
      </c>
      <c r="H5074" t="str">
        <f>HYPERLINK("http://catalog.hathitrust.org/Record/007913062")</f>
        <v>http://catalog.hathitrust.org/Record/007913062</v>
      </c>
      <c r="I5074" s="1" t="s">
        <v>20701</v>
      </c>
      <c r="J5074" s="1">
        <v>1888</v>
      </c>
      <c r="K5074" t="s">
        <v>20489</v>
      </c>
      <c r="L5074" t="s">
        <v>20485</v>
      </c>
    </row>
    <row r="5075" spans="1:12">
      <c r="A5075" t="s">
        <v>8871</v>
      </c>
      <c r="B5075" s="1" t="s">
        <v>8872</v>
      </c>
      <c r="F5075">
        <v>1</v>
      </c>
      <c r="G5075" t="str">
        <f>HYPERLINK("http://babel.hathitrust.org/cgi/pt?id=uc1.b3337950")</f>
        <v>http://babel.hathitrust.org/cgi/pt?id=uc1.b3337950</v>
      </c>
      <c r="H5075" t="str">
        <f>HYPERLINK("http://catalog.hathitrust.org/Record/007913103")</f>
        <v>http://catalog.hathitrust.org/Record/007913103</v>
      </c>
      <c r="J5075" s="1">
        <v>1925</v>
      </c>
      <c r="K5075" t="s">
        <v>8873</v>
      </c>
      <c r="L5075" t="s">
        <v>8874</v>
      </c>
    </row>
    <row r="5076" spans="1:12">
      <c r="A5076" t="s">
        <v>8875</v>
      </c>
      <c r="B5076" s="1" t="s">
        <v>8876</v>
      </c>
      <c r="D5076">
        <v>1</v>
      </c>
      <c r="G5076" t="str">
        <f>HYPERLINK("http://babel.hathitrust.org/cgi/pt?id=uc2.ark:/13960/t4bp05b0f")</f>
        <v>http://babel.hathitrust.org/cgi/pt?id=uc2.ark:/13960/t4bp05b0f</v>
      </c>
      <c r="H5076" t="str">
        <f>HYPERLINK("http://catalog.hathitrust.org/Record/007916022")</f>
        <v>http://catalog.hathitrust.org/Record/007916022</v>
      </c>
      <c r="J5076" s="1">
        <v>1881</v>
      </c>
      <c r="K5076" t="s">
        <v>8877</v>
      </c>
      <c r="L5076" t="s">
        <v>8878</v>
      </c>
    </row>
    <row r="5077" spans="1:12">
      <c r="A5077" t="s">
        <v>8879</v>
      </c>
      <c r="B5077" s="1" t="s">
        <v>8880</v>
      </c>
      <c r="F5077">
        <v>1</v>
      </c>
      <c r="G5077" t="str">
        <f>HYPERLINK("http://babel.hathitrust.org/cgi/pt?id=uc1.b3269424")</f>
        <v>http://babel.hathitrust.org/cgi/pt?id=uc1.b3269424</v>
      </c>
      <c r="H5077" t="str">
        <f>HYPERLINK("http://catalog.hathitrust.org/Record/007917793")</f>
        <v>http://catalog.hathitrust.org/Record/007917793</v>
      </c>
      <c r="J5077" s="1">
        <v>1913</v>
      </c>
      <c r="K5077" t="s">
        <v>8881</v>
      </c>
      <c r="L5077" t="s">
        <v>11450</v>
      </c>
    </row>
    <row r="5078" spans="1:12">
      <c r="A5078" t="s">
        <v>8882</v>
      </c>
      <c r="B5078" s="1" t="s">
        <v>8880</v>
      </c>
      <c r="F5078">
        <v>1</v>
      </c>
      <c r="G5078" t="str">
        <f>HYPERLINK("http://babel.hathitrust.org/cgi/pt?id=uc2.ark:/13960/t32230d5v")</f>
        <v>http://babel.hathitrust.org/cgi/pt?id=uc2.ark:/13960/t32230d5v</v>
      </c>
      <c r="H5078" t="str">
        <f>HYPERLINK("http://catalog.hathitrust.org/Record/007917793")</f>
        <v>http://catalog.hathitrust.org/Record/007917793</v>
      </c>
      <c r="J5078" s="1">
        <v>1913</v>
      </c>
      <c r="K5078" t="s">
        <v>8881</v>
      </c>
      <c r="L5078" t="s">
        <v>11450</v>
      </c>
    </row>
    <row r="5079" spans="1:12">
      <c r="A5079" t="s">
        <v>8883</v>
      </c>
      <c r="B5079" s="1" t="s">
        <v>8884</v>
      </c>
      <c r="E5079">
        <v>1</v>
      </c>
      <c r="G5079" t="str">
        <f>HYPERLINK("http://babel.hathitrust.org/cgi/pt?id=uc1.b3293449")</f>
        <v>http://babel.hathitrust.org/cgi/pt?id=uc1.b3293449</v>
      </c>
      <c r="H5079" t="str">
        <f>HYPERLINK("http://catalog.hathitrust.org/Record/007927940")</f>
        <v>http://catalog.hathitrust.org/Record/007927940</v>
      </c>
      <c r="J5079" s="1">
        <v>1889</v>
      </c>
      <c r="K5079" t="s">
        <v>8885</v>
      </c>
      <c r="L5079" t="s">
        <v>9882</v>
      </c>
    </row>
    <row r="5080" spans="1:12">
      <c r="A5080" t="s">
        <v>8886</v>
      </c>
      <c r="B5080" s="1" t="s">
        <v>8887</v>
      </c>
      <c r="E5080">
        <v>1</v>
      </c>
      <c r="F5080">
        <v>1</v>
      </c>
      <c r="G5080" t="str">
        <f>HYPERLINK("http://babel.hathitrust.org/cgi/pt?id=uc1.b3293679")</f>
        <v>http://babel.hathitrust.org/cgi/pt?id=uc1.b3293679</v>
      </c>
      <c r="H5080" t="str">
        <f>HYPERLINK("http://catalog.hathitrust.org/Record/007928002")</f>
        <v>http://catalog.hathitrust.org/Record/007928002</v>
      </c>
      <c r="J5080" s="1">
        <v>1925</v>
      </c>
      <c r="K5080" t="s">
        <v>8888</v>
      </c>
      <c r="L5080" t="s">
        <v>17875</v>
      </c>
    </row>
    <row r="5081" spans="1:12">
      <c r="A5081" t="s">
        <v>8889</v>
      </c>
      <c r="B5081" s="1" t="s">
        <v>8890</v>
      </c>
      <c r="F5081">
        <v>1</v>
      </c>
      <c r="G5081" t="str">
        <f>HYPERLINK("http://babel.hathitrust.org/cgi/pt?id=nyp.33433074393947")</f>
        <v>http://babel.hathitrust.org/cgi/pt?id=nyp.33433074393947</v>
      </c>
      <c r="H5081" t="str">
        <f>HYPERLINK("http://catalog.hathitrust.org/Record/007936762")</f>
        <v>http://catalog.hathitrust.org/Record/007936762</v>
      </c>
      <c r="I5081" s="1" t="s">
        <v>8892</v>
      </c>
      <c r="J5081" s="1">
        <v>1864</v>
      </c>
      <c r="K5081" t="s">
        <v>8891</v>
      </c>
      <c r="L5081" t="s">
        <v>13478</v>
      </c>
    </row>
    <row r="5082" spans="1:12">
      <c r="A5082" t="s">
        <v>8893</v>
      </c>
      <c r="B5082" s="1" t="s">
        <v>8890</v>
      </c>
      <c r="F5082">
        <v>1</v>
      </c>
      <c r="G5082" t="str">
        <f>HYPERLINK("http://babel.hathitrust.org/cgi/pt?id=nyp.33433074393954")</f>
        <v>http://babel.hathitrust.org/cgi/pt?id=nyp.33433074393954</v>
      </c>
      <c r="H5082" t="str">
        <f>HYPERLINK("http://catalog.hathitrust.org/Record/007936762")</f>
        <v>http://catalog.hathitrust.org/Record/007936762</v>
      </c>
      <c r="I5082" s="1" t="s">
        <v>8894</v>
      </c>
      <c r="J5082" s="1">
        <v>1864</v>
      </c>
      <c r="K5082" t="s">
        <v>8891</v>
      </c>
      <c r="L5082" t="s">
        <v>13478</v>
      </c>
    </row>
    <row r="5083" spans="1:12">
      <c r="A5083" t="s">
        <v>8895</v>
      </c>
      <c r="B5083" s="1" t="s">
        <v>8890</v>
      </c>
      <c r="F5083">
        <v>1</v>
      </c>
      <c r="G5083" t="str">
        <f>HYPERLINK("http://babel.hathitrust.org/cgi/pt?id=uc1.b3114510")</f>
        <v>http://babel.hathitrust.org/cgi/pt?id=uc1.b3114510</v>
      </c>
      <c r="H5083" t="str">
        <f>HYPERLINK("http://catalog.hathitrust.org/Record/007936762")</f>
        <v>http://catalog.hathitrust.org/Record/007936762</v>
      </c>
      <c r="I5083" s="1" t="s">
        <v>20916</v>
      </c>
      <c r="J5083" s="1">
        <v>1864</v>
      </c>
      <c r="K5083" t="s">
        <v>8891</v>
      </c>
      <c r="L5083" t="s">
        <v>13478</v>
      </c>
    </row>
    <row r="5084" spans="1:12">
      <c r="A5084" t="s">
        <v>8896</v>
      </c>
      <c r="B5084" s="1" t="s">
        <v>8890</v>
      </c>
      <c r="F5084">
        <v>1</v>
      </c>
      <c r="G5084" t="str">
        <f>HYPERLINK("http://babel.hathitrust.org/cgi/pt?id=uc1.b3114511")</f>
        <v>http://babel.hathitrust.org/cgi/pt?id=uc1.b3114511</v>
      </c>
      <c r="H5084" t="str">
        <f>HYPERLINK("http://catalog.hathitrust.org/Record/007936762")</f>
        <v>http://catalog.hathitrust.org/Record/007936762</v>
      </c>
      <c r="I5084" s="1" t="s">
        <v>20799</v>
      </c>
      <c r="J5084" s="1">
        <v>1864</v>
      </c>
      <c r="K5084" t="s">
        <v>8891</v>
      </c>
      <c r="L5084" t="s">
        <v>13478</v>
      </c>
    </row>
    <row r="5085" spans="1:12">
      <c r="A5085" t="s">
        <v>8897</v>
      </c>
      <c r="B5085" s="1" t="s">
        <v>8780</v>
      </c>
      <c r="F5085">
        <v>1</v>
      </c>
      <c r="G5085" t="str">
        <f>HYPERLINK("http://babel.hathitrust.org/cgi/pt?id=uc1.b3114549")</f>
        <v>http://babel.hathitrust.org/cgi/pt?id=uc1.b3114549</v>
      </c>
      <c r="H5085" t="str">
        <f>HYPERLINK("http://catalog.hathitrust.org/Record/007936779")</f>
        <v>http://catalog.hathitrust.org/Record/007936779</v>
      </c>
      <c r="I5085" s="1" t="s">
        <v>19820</v>
      </c>
      <c r="J5085" s="1">
        <v>1925</v>
      </c>
      <c r="K5085" t="s">
        <v>8781</v>
      </c>
    </row>
    <row r="5086" spans="1:12">
      <c r="A5086" t="s">
        <v>8782</v>
      </c>
      <c r="B5086" s="1" t="s">
        <v>8783</v>
      </c>
      <c r="F5086">
        <v>1</v>
      </c>
      <c r="G5086" t="str">
        <f>HYPERLINK("http://babel.hathitrust.org/cgi/pt?id=uc1.b3114550")</f>
        <v>http://babel.hathitrust.org/cgi/pt?id=uc1.b3114550</v>
      </c>
      <c r="H5086" t="str">
        <f>HYPERLINK("http://catalog.hathitrust.org/Record/007936780")</f>
        <v>http://catalog.hathitrust.org/Record/007936780</v>
      </c>
      <c r="J5086" s="1">
        <v>1927</v>
      </c>
      <c r="K5086" t="s">
        <v>8784</v>
      </c>
      <c r="L5086" t="s">
        <v>8785</v>
      </c>
    </row>
    <row r="5087" spans="1:12">
      <c r="A5087" t="s">
        <v>8786</v>
      </c>
      <c r="B5087" s="1" t="s">
        <v>8787</v>
      </c>
      <c r="F5087">
        <v>1</v>
      </c>
      <c r="G5087" t="str">
        <f>HYPERLINK("http://babel.hathitrust.org/cgi/pt?id=uc1.b3114961")</f>
        <v>http://babel.hathitrust.org/cgi/pt?id=uc1.b3114961</v>
      </c>
      <c r="H5087" t="str">
        <f>HYPERLINK("http://catalog.hathitrust.org/Record/007936936")</f>
        <v>http://catalog.hathitrust.org/Record/007936936</v>
      </c>
      <c r="J5087" s="1">
        <v>1922</v>
      </c>
      <c r="K5087" t="s">
        <v>8788</v>
      </c>
      <c r="L5087" t="s">
        <v>8789</v>
      </c>
    </row>
    <row r="5088" spans="1:12">
      <c r="A5088" t="s">
        <v>8790</v>
      </c>
      <c r="B5088" s="1" t="s">
        <v>8787</v>
      </c>
      <c r="F5088">
        <v>1</v>
      </c>
      <c r="G5088" t="str">
        <f>HYPERLINK("http://babel.hathitrust.org/cgi/pt?id=uc2.ark:/13960/t6542s92n")</f>
        <v>http://babel.hathitrust.org/cgi/pt?id=uc2.ark:/13960/t6542s92n</v>
      </c>
      <c r="H5088" t="str">
        <f>HYPERLINK("http://catalog.hathitrust.org/Record/007936936")</f>
        <v>http://catalog.hathitrust.org/Record/007936936</v>
      </c>
      <c r="J5088" s="1">
        <v>1922</v>
      </c>
      <c r="K5088" t="s">
        <v>8788</v>
      </c>
      <c r="L5088" t="s">
        <v>8789</v>
      </c>
    </row>
    <row r="5089" spans="1:12">
      <c r="A5089" t="s">
        <v>8791</v>
      </c>
      <c r="B5089" s="1" t="s">
        <v>8792</v>
      </c>
      <c r="F5089">
        <v>1</v>
      </c>
      <c r="G5089" t="str">
        <f>HYPERLINK("http://babel.hathitrust.org/cgi/pt?id=uc1.b3111712")</f>
        <v>http://babel.hathitrust.org/cgi/pt?id=uc1.b3111712</v>
      </c>
      <c r="H5089" t="str">
        <f>HYPERLINK("http://catalog.hathitrust.org/Record/007937904")</f>
        <v>http://catalog.hathitrust.org/Record/007937904</v>
      </c>
      <c r="J5089" s="1">
        <v>1924</v>
      </c>
      <c r="K5089" t="s">
        <v>8793</v>
      </c>
      <c r="L5089" t="s">
        <v>8794</v>
      </c>
    </row>
    <row r="5090" spans="1:12">
      <c r="A5090" t="s">
        <v>8795</v>
      </c>
      <c r="B5090" s="1" t="s">
        <v>8796</v>
      </c>
      <c r="F5090">
        <v>1</v>
      </c>
      <c r="G5090" t="str">
        <f>HYPERLINK("http://babel.hathitrust.org/cgi/pt?id=uc1.b3112269")</f>
        <v>http://babel.hathitrust.org/cgi/pt?id=uc1.b3112269</v>
      </c>
      <c r="H5090" t="str">
        <f>HYPERLINK("http://catalog.hathitrust.org/Record/007938017")</f>
        <v>http://catalog.hathitrust.org/Record/007938017</v>
      </c>
      <c r="J5090" s="1">
        <v>1934</v>
      </c>
      <c r="K5090" t="s">
        <v>8797</v>
      </c>
      <c r="L5090" t="s">
        <v>8798</v>
      </c>
    </row>
    <row r="5091" spans="1:12">
      <c r="A5091" t="s">
        <v>8799</v>
      </c>
      <c r="B5091" s="1" t="s">
        <v>8800</v>
      </c>
      <c r="E5091">
        <v>1</v>
      </c>
      <c r="F5091">
        <v>1</v>
      </c>
      <c r="G5091" t="str">
        <f>HYPERLINK("http://babel.hathitrust.org/cgi/pt?id=uc1.b3113870")</f>
        <v>http://babel.hathitrust.org/cgi/pt?id=uc1.b3113870</v>
      </c>
      <c r="H5091" t="str">
        <f>HYPERLINK("http://catalog.hathitrust.org/Record/007938488")</f>
        <v>http://catalog.hathitrust.org/Record/007938488</v>
      </c>
      <c r="J5091" s="1">
        <v>1919</v>
      </c>
      <c r="K5091" t="s">
        <v>8801</v>
      </c>
      <c r="L5091" t="s">
        <v>19690</v>
      </c>
    </row>
    <row r="5092" spans="1:12">
      <c r="A5092" t="s">
        <v>8802</v>
      </c>
      <c r="B5092" s="1" t="s">
        <v>8800</v>
      </c>
      <c r="F5092">
        <v>1</v>
      </c>
      <c r="G5092" t="str">
        <f>HYPERLINK("http://babel.hathitrust.org/cgi/pt?id=uc2.ark:/13960/t3028x69j")</f>
        <v>http://babel.hathitrust.org/cgi/pt?id=uc2.ark:/13960/t3028x69j</v>
      </c>
      <c r="H5092" t="str">
        <f>HYPERLINK("http://catalog.hathitrust.org/Record/007938488")</f>
        <v>http://catalog.hathitrust.org/Record/007938488</v>
      </c>
      <c r="J5092" s="1">
        <v>1919</v>
      </c>
      <c r="K5092" t="s">
        <v>8801</v>
      </c>
      <c r="L5092" t="s">
        <v>19690</v>
      </c>
    </row>
    <row r="5093" spans="1:12">
      <c r="A5093" t="s">
        <v>8803</v>
      </c>
      <c r="B5093" s="1" t="s">
        <v>8804</v>
      </c>
      <c r="F5093">
        <v>1</v>
      </c>
      <c r="G5093" t="str">
        <f>HYPERLINK("http://babel.hathitrust.org/cgi/pt?id=uc1.$b796018")</f>
        <v>http://babel.hathitrust.org/cgi/pt?id=uc1.$b796018</v>
      </c>
      <c r="H5093" t="str">
        <f>HYPERLINK("http://catalog.hathitrust.org/Record/007940401")</f>
        <v>http://catalog.hathitrust.org/Record/007940401</v>
      </c>
      <c r="J5093" s="1">
        <v>1897</v>
      </c>
      <c r="K5093" t="s">
        <v>19509</v>
      </c>
      <c r="L5093" t="s">
        <v>19510</v>
      </c>
    </row>
    <row r="5094" spans="1:12">
      <c r="A5094" t="s">
        <v>8805</v>
      </c>
      <c r="B5094" s="1" t="s">
        <v>8806</v>
      </c>
      <c r="F5094">
        <v>1</v>
      </c>
      <c r="G5094" t="str">
        <f>HYPERLINK("http://babel.hathitrust.org/cgi/pt?id=wu.89104446331")</f>
        <v>http://babel.hathitrust.org/cgi/pt?id=wu.89104446331</v>
      </c>
      <c r="H5094" t="str">
        <f>HYPERLINK("http://catalog.hathitrust.org/Record/007959398")</f>
        <v>http://catalog.hathitrust.org/Record/007959398</v>
      </c>
      <c r="J5094" s="1">
        <v>1907</v>
      </c>
      <c r="K5094" t="s">
        <v>8807</v>
      </c>
      <c r="L5094" t="s">
        <v>8808</v>
      </c>
    </row>
    <row r="5095" spans="1:12">
      <c r="A5095" t="s">
        <v>8809</v>
      </c>
      <c r="B5095" s="1" t="s">
        <v>8810</v>
      </c>
      <c r="F5095">
        <v>1</v>
      </c>
      <c r="G5095" t="str">
        <f>HYPERLINK("http://babel.hathitrust.org/cgi/pt?id=wu.89101275261")</f>
        <v>http://babel.hathitrust.org/cgi/pt?id=wu.89101275261</v>
      </c>
      <c r="H5095" t="str">
        <f>HYPERLINK("http://catalog.hathitrust.org/Record/007970910")</f>
        <v>http://catalog.hathitrust.org/Record/007970910</v>
      </c>
      <c r="J5095" s="1">
        <v>1911</v>
      </c>
      <c r="K5095" t="s">
        <v>8811</v>
      </c>
      <c r="L5095" t="s">
        <v>8812</v>
      </c>
    </row>
    <row r="5096" spans="1:12">
      <c r="A5096" t="s">
        <v>8813</v>
      </c>
      <c r="B5096" s="1" t="s">
        <v>8814</v>
      </c>
      <c r="F5096">
        <v>1</v>
      </c>
      <c r="G5096" t="str">
        <f>HYPERLINK("http://babel.hathitrust.org/cgi/pt?id=uc1.b266906")</f>
        <v>http://babel.hathitrust.org/cgi/pt?id=uc1.b266906</v>
      </c>
      <c r="H5096" t="str">
        <f>HYPERLINK("http://catalog.hathitrust.org/Record/008009521")</f>
        <v>http://catalog.hathitrust.org/Record/008009521</v>
      </c>
      <c r="J5096" s="1">
        <v>1872</v>
      </c>
      <c r="K5096" t="s">
        <v>8815</v>
      </c>
    </row>
    <row r="5097" spans="1:12">
      <c r="A5097" t="s">
        <v>8816</v>
      </c>
      <c r="B5097" s="1" t="s">
        <v>8817</v>
      </c>
      <c r="F5097">
        <v>1</v>
      </c>
      <c r="G5097" t="str">
        <f>HYPERLINK("http://babel.hathitrust.org/cgi/pt?id=uc1.b273500")</f>
        <v>http://babel.hathitrust.org/cgi/pt?id=uc1.b273500</v>
      </c>
      <c r="H5097" t="str">
        <f>HYPERLINK("http://catalog.hathitrust.org/Record/008009622")</f>
        <v>http://catalog.hathitrust.org/Record/008009622</v>
      </c>
      <c r="J5097" s="1">
        <v>1896</v>
      </c>
      <c r="K5097" t="s">
        <v>8818</v>
      </c>
      <c r="L5097" t="s">
        <v>8819</v>
      </c>
    </row>
    <row r="5098" spans="1:12">
      <c r="A5098" t="s">
        <v>8820</v>
      </c>
      <c r="B5098" s="1" t="s">
        <v>8817</v>
      </c>
      <c r="F5098">
        <v>1</v>
      </c>
      <c r="G5098" t="str">
        <f>HYPERLINK("http://babel.hathitrust.org/cgi/pt?id=uc2.ark:/13960/t00z73p47")</f>
        <v>http://babel.hathitrust.org/cgi/pt?id=uc2.ark:/13960/t00z73p47</v>
      </c>
      <c r="H5098" t="str">
        <f>HYPERLINK("http://catalog.hathitrust.org/Record/008009622")</f>
        <v>http://catalog.hathitrust.org/Record/008009622</v>
      </c>
      <c r="J5098" s="1">
        <v>1896</v>
      </c>
      <c r="K5098" t="s">
        <v>8818</v>
      </c>
      <c r="L5098" t="s">
        <v>8819</v>
      </c>
    </row>
    <row r="5099" spans="1:12">
      <c r="A5099" t="s">
        <v>8821</v>
      </c>
      <c r="B5099" s="1" t="s">
        <v>8822</v>
      </c>
      <c r="E5099">
        <v>1</v>
      </c>
      <c r="G5099" t="str">
        <f>HYPERLINK("http://babel.hathitrust.org/cgi/pt?id=uc1.b273597")</f>
        <v>http://babel.hathitrust.org/cgi/pt?id=uc1.b273597</v>
      </c>
      <c r="H5099" t="str">
        <f>HYPERLINK("http://catalog.hathitrust.org/Record/008009625")</f>
        <v>http://catalog.hathitrust.org/Record/008009625</v>
      </c>
      <c r="J5099" s="1">
        <v>1886</v>
      </c>
      <c r="K5099" t="s">
        <v>8823</v>
      </c>
      <c r="L5099" t="s">
        <v>8824</v>
      </c>
    </row>
    <row r="5100" spans="1:12">
      <c r="A5100" t="s">
        <v>8825</v>
      </c>
      <c r="B5100" s="1" t="s">
        <v>8826</v>
      </c>
      <c r="F5100">
        <v>1</v>
      </c>
      <c r="G5100" t="str">
        <f>HYPERLINK("http://babel.hathitrust.org/cgi/pt?id=uc1.$b617056")</f>
        <v>http://babel.hathitrust.org/cgi/pt?id=uc1.$b617056</v>
      </c>
      <c r="H5100" t="str">
        <f>HYPERLINK("http://catalog.hathitrust.org/Record/008009944")</f>
        <v>http://catalog.hathitrust.org/Record/008009944</v>
      </c>
      <c r="J5100" s="1">
        <v>1889</v>
      </c>
      <c r="K5100" t="s">
        <v>8827</v>
      </c>
    </row>
    <row r="5101" spans="1:12">
      <c r="A5101" t="s">
        <v>8828</v>
      </c>
      <c r="B5101" s="1" t="s">
        <v>8826</v>
      </c>
      <c r="F5101">
        <v>1</v>
      </c>
      <c r="G5101" t="str">
        <f>HYPERLINK("http://babel.hathitrust.org/cgi/pt?id=uc1.b307925")</f>
        <v>http://babel.hathitrust.org/cgi/pt?id=uc1.b307925</v>
      </c>
      <c r="H5101" t="str">
        <f>HYPERLINK("http://catalog.hathitrust.org/Record/008009944")</f>
        <v>http://catalog.hathitrust.org/Record/008009944</v>
      </c>
      <c r="J5101" s="1">
        <v>1889</v>
      </c>
      <c r="K5101" t="s">
        <v>8827</v>
      </c>
    </row>
    <row r="5102" spans="1:12">
      <c r="A5102" t="s">
        <v>8829</v>
      </c>
      <c r="B5102" s="1" t="s">
        <v>8826</v>
      </c>
      <c r="F5102">
        <v>1</v>
      </c>
      <c r="G5102" t="str">
        <f>HYPERLINK("http://babel.hathitrust.org/cgi/pt?id=uc2.ark:/13960/t8kd1wz60")</f>
        <v>http://babel.hathitrust.org/cgi/pt?id=uc2.ark:/13960/t8kd1wz60</v>
      </c>
      <c r="H5102" t="str">
        <f>HYPERLINK("http://catalog.hathitrust.org/Record/008009944")</f>
        <v>http://catalog.hathitrust.org/Record/008009944</v>
      </c>
      <c r="J5102" s="1">
        <v>1889</v>
      </c>
      <c r="K5102" t="s">
        <v>8827</v>
      </c>
    </row>
    <row r="5103" spans="1:12">
      <c r="A5103" t="s">
        <v>8830</v>
      </c>
      <c r="B5103" s="1" t="s">
        <v>8831</v>
      </c>
      <c r="F5103">
        <v>1</v>
      </c>
      <c r="G5103" t="str">
        <f>HYPERLINK("http://babel.hathitrust.org/cgi/pt?id=uc1.b13643")</f>
        <v>http://babel.hathitrust.org/cgi/pt?id=uc1.b13643</v>
      </c>
      <c r="H5103" t="str">
        <f>HYPERLINK("http://catalog.hathitrust.org/Record/008010886")</f>
        <v>http://catalog.hathitrust.org/Record/008010886</v>
      </c>
      <c r="J5103" s="1">
        <v>1855</v>
      </c>
      <c r="K5103" t="s">
        <v>8832</v>
      </c>
      <c r="L5103" t="s">
        <v>10077</v>
      </c>
    </row>
    <row r="5104" spans="1:12">
      <c r="A5104" t="s">
        <v>8833</v>
      </c>
      <c r="B5104" s="1" t="s">
        <v>8834</v>
      </c>
      <c r="F5104">
        <v>1</v>
      </c>
      <c r="G5104" t="str">
        <f>HYPERLINK("http://babel.hathitrust.org/cgi/pt?id=uc1.b81476")</f>
        <v>http://babel.hathitrust.org/cgi/pt?id=uc1.b81476</v>
      </c>
      <c r="H5104" t="str">
        <f>HYPERLINK("http://catalog.hathitrust.org/Record/008011549")</f>
        <v>http://catalog.hathitrust.org/Record/008011549</v>
      </c>
      <c r="J5104" s="1">
        <v>1958</v>
      </c>
      <c r="K5104" t="s">
        <v>8835</v>
      </c>
      <c r="L5104" t="s">
        <v>8836</v>
      </c>
    </row>
    <row r="5105" spans="1:12">
      <c r="A5105" t="s">
        <v>8737</v>
      </c>
      <c r="B5105" s="1" t="s">
        <v>8738</v>
      </c>
      <c r="F5105">
        <v>1</v>
      </c>
      <c r="G5105" t="str">
        <f>HYPERLINK("http://babel.hathitrust.org/cgi/pt?id=hvd.32044081367153")</f>
        <v>http://babel.hathitrust.org/cgi/pt?id=hvd.32044081367153</v>
      </c>
      <c r="H5105" t="str">
        <f>HYPERLINK("http://catalog.hathitrust.org/Record/008234556")</f>
        <v>http://catalog.hathitrust.org/Record/008234556</v>
      </c>
      <c r="J5105" s="1">
        <v>1824</v>
      </c>
      <c r="K5105" t="s">
        <v>8739</v>
      </c>
      <c r="L5105" t="s">
        <v>8740</v>
      </c>
    </row>
    <row r="5106" spans="1:12">
      <c r="A5106" t="s">
        <v>8741</v>
      </c>
      <c r="B5106" s="1" t="s">
        <v>8738</v>
      </c>
      <c r="F5106">
        <v>1</v>
      </c>
      <c r="G5106" t="str">
        <f>HYPERLINK("http://babel.hathitrust.org/cgi/pt?id=uc2.ark:/13960/t5fb5364d")</f>
        <v>http://babel.hathitrust.org/cgi/pt?id=uc2.ark:/13960/t5fb5364d</v>
      </c>
      <c r="H5106" t="str">
        <f>HYPERLINK("http://catalog.hathitrust.org/Record/008234556")</f>
        <v>http://catalog.hathitrust.org/Record/008234556</v>
      </c>
      <c r="J5106" s="1">
        <v>1824</v>
      </c>
      <c r="K5106" t="s">
        <v>8739</v>
      </c>
      <c r="L5106" t="s">
        <v>8740</v>
      </c>
    </row>
    <row r="5107" spans="1:12">
      <c r="A5107" t="s">
        <v>8742</v>
      </c>
      <c r="B5107" s="1" t="s">
        <v>8743</v>
      </c>
      <c r="F5107">
        <v>1</v>
      </c>
      <c r="G5107" t="str">
        <f>HYPERLINK("http://babel.hathitrust.org/cgi/pt?id=uc1.$b735429")</f>
        <v>http://babel.hathitrust.org/cgi/pt?id=uc1.$b735429</v>
      </c>
      <c r="H5107" t="str">
        <f>HYPERLINK("http://catalog.hathitrust.org/Record/008235618")</f>
        <v>http://catalog.hathitrust.org/Record/008235618</v>
      </c>
      <c r="J5107" s="1">
        <v>1873</v>
      </c>
      <c r="K5107" t="s">
        <v>8744</v>
      </c>
      <c r="L5107" t="s">
        <v>8745</v>
      </c>
    </row>
    <row r="5108" spans="1:12">
      <c r="A5108" t="s">
        <v>8746</v>
      </c>
      <c r="B5108" s="1" t="s">
        <v>8747</v>
      </c>
      <c r="F5108">
        <v>1</v>
      </c>
      <c r="G5108" t="str">
        <f>HYPERLINK("http://babel.hathitrust.org/cgi/pt?id=nyp.33433074391354")</f>
        <v>http://babel.hathitrust.org/cgi/pt?id=nyp.33433074391354</v>
      </c>
      <c r="H5108" t="str">
        <f>HYPERLINK("http://catalog.hathitrust.org/Record/008243099")</f>
        <v>http://catalog.hathitrust.org/Record/008243099</v>
      </c>
      <c r="J5108" s="1">
        <v>1876</v>
      </c>
      <c r="K5108" t="s">
        <v>8748</v>
      </c>
      <c r="L5108" t="s">
        <v>8749</v>
      </c>
    </row>
    <row r="5109" spans="1:12">
      <c r="A5109" t="s">
        <v>8750</v>
      </c>
      <c r="B5109" s="1" t="s">
        <v>8747</v>
      </c>
      <c r="F5109">
        <v>1</v>
      </c>
      <c r="G5109" t="str">
        <f>HYPERLINK("http://babel.hathitrust.org/cgi/pt?id=uc2.ark:/13960/t6sx6bg8f")</f>
        <v>http://babel.hathitrust.org/cgi/pt?id=uc2.ark:/13960/t6sx6bg8f</v>
      </c>
      <c r="H5109" t="str">
        <f>HYPERLINK("http://catalog.hathitrust.org/Record/008243099")</f>
        <v>http://catalog.hathitrust.org/Record/008243099</v>
      </c>
      <c r="J5109" s="1">
        <v>1876</v>
      </c>
      <c r="K5109" t="s">
        <v>8748</v>
      </c>
      <c r="L5109" t="s">
        <v>8749</v>
      </c>
    </row>
    <row r="5110" spans="1:12">
      <c r="A5110" t="s">
        <v>8751</v>
      </c>
      <c r="B5110" s="1" t="s">
        <v>8747</v>
      </c>
      <c r="F5110">
        <v>1</v>
      </c>
      <c r="G5110" t="str">
        <f>HYPERLINK("http://babel.hathitrust.org/cgi/pt?id=uva.x000958572")</f>
        <v>http://babel.hathitrust.org/cgi/pt?id=uva.x000958572</v>
      </c>
      <c r="H5110" t="str">
        <f>HYPERLINK("http://catalog.hathitrust.org/Record/008243099")</f>
        <v>http://catalog.hathitrust.org/Record/008243099</v>
      </c>
      <c r="J5110" s="1">
        <v>1876</v>
      </c>
      <c r="K5110" t="s">
        <v>8748</v>
      </c>
      <c r="L5110" t="s">
        <v>8749</v>
      </c>
    </row>
    <row r="5111" spans="1:12">
      <c r="A5111" t="s">
        <v>8752</v>
      </c>
      <c r="B5111" s="1" t="s">
        <v>8753</v>
      </c>
      <c r="E5111">
        <v>1</v>
      </c>
      <c r="G5111" t="str">
        <f>HYPERLINK("http://babel.hathitrust.org/cgi/pt?id=uc1.32106020060528")</f>
        <v>http://babel.hathitrust.org/cgi/pt?id=uc1.32106020060528</v>
      </c>
      <c r="H5111" t="str">
        <f>HYPERLINK("http://catalog.hathitrust.org/Record/008318460")</f>
        <v>http://catalog.hathitrust.org/Record/008318460</v>
      </c>
      <c r="I5111" s="1" t="s">
        <v>20916</v>
      </c>
      <c r="J5111" s="1">
        <v>1885</v>
      </c>
      <c r="K5111" t="s">
        <v>8754</v>
      </c>
      <c r="L5111" t="s">
        <v>18463</v>
      </c>
    </row>
    <row r="5112" spans="1:12">
      <c r="A5112" t="s">
        <v>8755</v>
      </c>
      <c r="B5112" s="1" t="s">
        <v>8753</v>
      </c>
      <c r="E5112">
        <v>1</v>
      </c>
      <c r="G5112" t="str">
        <f>HYPERLINK("http://babel.hathitrust.org/cgi/pt?id=uc1.32106020060536")</f>
        <v>http://babel.hathitrust.org/cgi/pt?id=uc1.32106020060536</v>
      </c>
      <c r="H5112" t="str">
        <f>HYPERLINK("http://catalog.hathitrust.org/Record/008318460")</f>
        <v>http://catalog.hathitrust.org/Record/008318460</v>
      </c>
      <c r="I5112" s="1" t="s">
        <v>20755</v>
      </c>
      <c r="J5112" s="1">
        <v>1885</v>
      </c>
      <c r="K5112" t="s">
        <v>8754</v>
      </c>
      <c r="L5112" t="s">
        <v>18463</v>
      </c>
    </row>
    <row r="5113" spans="1:12">
      <c r="A5113" t="s">
        <v>8756</v>
      </c>
      <c r="B5113" s="1" t="s">
        <v>8753</v>
      </c>
      <c r="E5113">
        <v>1</v>
      </c>
      <c r="G5113" t="str">
        <f>HYPERLINK("http://babel.hathitrust.org/cgi/pt?id=uc1.32106020060544")</f>
        <v>http://babel.hathitrust.org/cgi/pt?id=uc1.32106020060544</v>
      </c>
      <c r="H5113" t="str">
        <f>HYPERLINK("http://catalog.hathitrust.org/Record/008318460")</f>
        <v>http://catalog.hathitrust.org/Record/008318460</v>
      </c>
      <c r="I5113" s="1" t="s">
        <v>20920</v>
      </c>
      <c r="J5113" s="1">
        <v>1885</v>
      </c>
      <c r="K5113" t="s">
        <v>8754</v>
      </c>
      <c r="L5113" t="s">
        <v>18463</v>
      </c>
    </row>
    <row r="5114" spans="1:12">
      <c r="A5114" t="s">
        <v>8757</v>
      </c>
      <c r="B5114" s="1" t="s">
        <v>8753</v>
      </c>
      <c r="E5114">
        <v>1</v>
      </c>
      <c r="G5114" t="str">
        <f>HYPERLINK("http://babel.hathitrust.org/cgi/pt?id=uc1.32106020060551")</f>
        <v>http://babel.hathitrust.org/cgi/pt?id=uc1.32106020060551</v>
      </c>
      <c r="H5114" t="str">
        <f>HYPERLINK("http://catalog.hathitrust.org/Record/008318460")</f>
        <v>http://catalog.hathitrust.org/Record/008318460</v>
      </c>
      <c r="I5114" s="1" t="s">
        <v>20679</v>
      </c>
      <c r="J5114" s="1">
        <v>1885</v>
      </c>
      <c r="K5114" t="s">
        <v>8754</v>
      </c>
      <c r="L5114" t="s">
        <v>18463</v>
      </c>
    </row>
    <row r="5115" spans="1:12">
      <c r="A5115" t="s">
        <v>8758</v>
      </c>
      <c r="B5115" s="1" t="s">
        <v>8759</v>
      </c>
      <c r="E5115">
        <v>1</v>
      </c>
      <c r="G5115" t="str">
        <f>HYPERLINK("http://babel.hathitrust.org/cgi/pt?id=umn.31951002066935c")</f>
        <v>http://babel.hathitrust.org/cgi/pt?id=umn.31951002066935c</v>
      </c>
      <c r="H5115" t="str">
        <f>HYPERLINK("http://catalog.hathitrust.org/Record/008372154")</f>
        <v>http://catalog.hathitrust.org/Record/008372154</v>
      </c>
      <c r="I5115" s="1" t="s">
        <v>20755</v>
      </c>
      <c r="J5115" s="1">
        <v>1854</v>
      </c>
      <c r="K5115" t="s">
        <v>8760</v>
      </c>
      <c r="L5115" t="s">
        <v>20675</v>
      </c>
    </row>
    <row r="5116" spans="1:12">
      <c r="A5116" t="s">
        <v>8761</v>
      </c>
      <c r="B5116" s="1" t="s">
        <v>8759</v>
      </c>
      <c r="E5116">
        <v>1</v>
      </c>
      <c r="G5116" t="str">
        <f>HYPERLINK("http://babel.hathitrust.org/cgi/pt?id=umn.31951002066936a")</f>
        <v>http://babel.hathitrust.org/cgi/pt?id=umn.31951002066936a</v>
      </c>
      <c r="H5116" t="str">
        <f>HYPERLINK("http://catalog.hathitrust.org/Record/008372154")</f>
        <v>http://catalog.hathitrust.org/Record/008372154</v>
      </c>
      <c r="I5116" s="1" t="s">
        <v>20920</v>
      </c>
      <c r="J5116" s="1">
        <v>1854</v>
      </c>
      <c r="K5116" t="s">
        <v>8760</v>
      </c>
      <c r="L5116" t="s">
        <v>20675</v>
      </c>
    </row>
    <row r="5117" spans="1:12">
      <c r="A5117" t="s">
        <v>8762</v>
      </c>
      <c r="B5117" s="1" t="s">
        <v>8759</v>
      </c>
      <c r="E5117">
        <v>1</v>
      </c>
      <c r="G5117" t="str">
        <f>HYPERLINK("http://babel.hathitrust.org/cgi/pt?id=umn.319510020669378")</f>
        <v>http://babel.hathitrust.org/cgi/pt?id=umn.319510020669378</v>
      </c>
      <c r="H5117" t="str">
        <f>HYPERLINK("http://catalog.hathitrust.org/Record/008372154")</f>
        <v>http://catalog.hathitrust.org/Record/008372154</v>
      </c>
      <c r="I5117" s="1" t="s">
        <v>20679</v>
      </c>
      <c r="J5117" s="1">
        <v>1854</v>
      </c>
      <c r="K5117" t="s">
        <v>8760</v>
      </c>
      <c r="L5117" t="s">
        <v>20675</v>
      </c>
    </row>
    <row r="5118" spans="1:12">
      <c r="A5118" t="s">
        <v>8763</v>
      </c>
      <c r="B5118" s="1" t="s">
        <v>8764</v>
      </c>
      <c r="F5118">
        <v>1</v>
      </c>
      <c r="G5118" t="str">
        <f>HYPERLINK("http://babel.hathitrust.org/cgi/pt?id=umn.319510023211520")</f>
        <v>http://babel.hathitrust.org/cgi/pt?id=umn.319510023211520</v>
      </c>
      <c r="H5118" t="str">
        <f>HYPERLINK("http://catalog.hathitrust.org/Record/008375415")</f>
        <v>http://catalog.hathitrust.org/Record/008375415</v>
      </c>
      <c r="J5118" s="1">
        <v>1840</v>
      </c>
      <c r="K5118" t="s">
        <v>8765</v>
      </c>
      <c r="L5118" t="s">
        <v>8766</v>
      </c>
    </row>
    <row r="5119" spans="1:12">
      <c r="A5119" t="s">
        <v>8767</v>
      </c>
      <c r="B5119" s="1" t="s">
        <v>8768</v>
      </c>
      <c r="D5119">
        <v>1</v>
      </c>
      <c r="G5119" t="str">
        <f>HYPERLINK("http://babel.hathitrust.org/cgi/pt?id=umn.31951002180367y")</f>
        <v>http://babel.hathitrust.org/cgi/pt?id=umn.31951002180367y</v>
      </c>
      <c r="H5119" t="str">
        <f>HYPERLINK("http://catalog.hathitrust.org/Record/008375819")</f>
        <v>http://catalog.hathitrust.org/Record/008375819</v>
      </c>
      <c r="J5119" s="1">
        <v>1815</v>
      </c>
      <c r="K5119" t="s">
        <v>16380</v>
      </c>
      <c r="L5119" t="s">
        <v>20043</v>
      </c>
    </row>
    <row r="5120" spans="1:12">
      <c r="A5120" t="s">
        <v>8769</v>
      </c>
      <c r="B5120" s="1" t="s">
        <v>8770</v>
      </c>
      <c r="F5120">
        <v>1</v>
      </c>
      <c r="G5120" t="str">
        <f>HYPERLINK("http://babel.hathitrust.org/cgi/pt?id=umn.31951002064974c")</f>
        <v>http://babel.hathitrust.org/cgi/pt?id=umn.31951002064974c</v>
      </c>
      <c r="H5120" t="str">
        <f>HYPERLINK("http://catalog.hathitrust.org/Record/008376073")</f>
        <v>http://catalog.hathitrust.org/Record/008376073</v>
      </c>
      <c r="J5120" s="1">
        <v>1850</v>
      </c>
      <c r="K5120" t="s">
        <v>8771</v>
      </c>
      <c r="L5120" t="s">
        <v>12659</v>
      </c>
    </row>
    <row r="5121" spans="1:12">
      <c r="A5121" t="s">
        <v>8772</v>
      </c>
      <c r="B5121" s="1" t="s">
        <v>8773</v>
      </c>
      <c r="E5121">
        <v>1</v>
      </c>
      <c r="G5121" t="str">
        <f>HYPERLINK("http://babel.hathitrust.org/cgi/pt?id=umn.319510020182112")</f>
        <v>http://babel.hathitrust.org/cgi/pt?id=umn.319510020182112</v>
      </c>
      <c r="H5121" t="str">
        <f>HYPERLINK("http://catalog.hathitrust.org/Record/008377788")</f>
        <v>http://catalog.hathitrust.org/Record/008377788</v>
      </c>
      <c r="J5121" s="1">
        <v>1822</v>
      </c>
      <c r="K5121" t="s">
        <v>8774</v>
      </c>
    </row>
    <row r="5122" spans="1:12">
      <c r="A5122" t="s">
        <v>8775</v>
      </c>
      <c r="B5122" s="1" t="s">
        <v>8776</v>
      </c>
      <c r="F5122">
        <v>1</v>
      </c>
      <c r="G5122" t="str">
        <f>HYPERLINK("http://babel.hathitrust.org/cgi/pt?id=pst.000057420264")</f>
        <v>http://babel.hathitrust.org/cgi/pt?id=pst.000057420264</v>
      </c>
      <c r="H5122" t="str">
        <f>HYPERLINK("http://catalog.hathitrust.org/Record/008390083")</f>
        <v>http://catalog.hathitrust.org/Record/008390083</v>
      </c>
      <c r="J5122" s="1">
        <v>1898</v>
      </c>
      <c r="K5122" t="s">
        <v>8777</v>
      </c>
      <c r="L5122" t="s">
        <v>13716</v>
      </c>
    </row>
    <row r="5123" spans="1:12">
      <c r="A5123" t="s">
        <v>8778</v>
      </c>
      <c r="B5123" s="1" t="s">
        <v>8779</v>
      </c>
      <c r="F5123">
        <v>1</v>
      </c>
      <c r="G5123" t="str">
        <f>HYPERLINK("http://babel.hathitrust.org/cgi/pt?id=nnc1.0021647615")</f>
        <v>http://babel.hathitrust.org/cgi/pt?id=nnc1.0021647615</v>
      </c>
      <c r="H5123" t="str">
        <f>HYPERLINK("http://catalog.hathitrust.org/Record/008394117")</f>
        <v>http://catalog.hathitrust.org/Record/008394117</v>
      </c>
      <c r="J5123" s="1">
        <v>1891</v>
      </c>
      <c r="K5123" t="s">
        <v>8708</v>
      </c>
      <c r="L5123" t="s">
        <v>11936</v>
      </c>
    </row>
    <row r="5124" spans="1:12">
      <c r="A5124" t="s">
        <v>8709</v>
      </c>
      <c r="B5124" s="1" t="s">
        <v>8710</v>
      </c>
      <c r="F5124">
        <v>1</v>
      </c>
      <c r="G5124" t="str">
        <f>HYPERLINK("http://babel.hathitrust.org/cgi/pt?id=nnc1.0022444157")</f>
        <v>http://babel.hathitrust.org/cgi/pt?id=nnc1.0022444157</v>
      </c>
      <c r="H5124" t="str">
        <f>HYPERLINK("http://catalog.hathitrust.org/Record/008394345")</f>
        <v>http://catalog.hathitrust.org/Record/008394345</v>
      </c>
      <c r="J5124" s="1">
        <v>1727</v>
      </c>
      <c r="K5124" t="s">
        <v>8711</v>
      </c>
    </row>
    <row r="5125" spans="1:12">
      <c r="A5125" t="s">
        <v>8712</v>
      </c>
      <c r="B5125" s="1" t="s">
        <v>8713</v>
      </c>
      <c r="D5125">
        <v>1</v>
      </c>
      <c r="G5125" t="str">
        <f>HYPERLINK("http://babel.hathitrust.org/cgi/pt?id=nnc1.0023429747")</f>
        <v>http://babel.hathitrust.org/cgi/pt?id=nnc1.0023429747</v>
      </c>
      <c r="H5125" t="str">
        <f>HYPERLINK("http://catalog.hathitrust.org/Record/008394573")</f>
        <v>http://catalog.hathitrust.org/Record/008394573</v>
      </c>
      <c r="I5125" s="1" t="s">
        <v>20755</v>
      </c>
      <c r="J5125" s="1">
        <v>1881</v>
      </c>
      <c r="K5125" t="s">
        <v>8714</v>
      </c>
      <c r="L5125" t="s">
        <v>20086</v>
      </c>
    </row>
    <row r="5126" spans="1:12">
      <c r="A5126" t="s">
        <v>8715</v>
      </c>
      <c r="B5126" s="1" t="s">
        <v>8716</v>
      </c>
      <c r="F5126">
        <v>1</v>
      </c>
      <c r="G5126" t="str">
        <f>HYPERLINK("http://babel.hathitrust.org/cgi/pt?id=nnc1.0023835788")</f>
        <v>http://babel.hathitrust.org/cgi/pt?id=nnc1.0023835788</v>
      </c>
      <c r="H5126" t="str">
        <f>HYPERLINK("http://catalog.hathitrust.org/Record/008394676")</f>
        <v>http://catalog.hathitrust.org/Record/008394676</v>
      </c>
      <c r="J5126" s="1">
        <v>1833</v>
      </c>
      <c r="K5126" t="s">
        <v>8717</v>
      </c>
      <c r="L5126" t="s">
        <v>8718</v>
      </c>
    </row>
    <row r="5127" spans="1:12">
      <c r="A5127" t="s">
        <v>8719</v>
      </c>
      <c r="B5127" s="1" t="s">
        <v>8720</v>
      </c>
      <c r="F5127">
        <v>1</v>
      </c>
      <c r="G5127" t="str">
        <f>HYPERLINK("http://babel.hathitrust.org/cgi/pt?id=nnc1.0027058182")</f>
        <v>http://babel.hathitrust.org/cgi/pt?id=nnc1.0027058182</v>
      </c>
      <c r="H5127" t="str">
        <f>HYPERLINK("http://catalog.hathitrust.org/Record/008394922")</f>
        <v>http://catalog.hathitrust.org/Record/008394922</v>
      </c>
      <c r="J5127" s="1">
        <v>1814</v>
      </c>
      <c r="K5127" t="s">
        <v>8721</v>
      </c>
      <c r="L5127" t="s">
        <v>20960</v>
      </c>
    </row>
    <row r="5128" spans="1:12">
      <c r="A5128" t="s">
        <v>8722</v>
      </c>
      <c r="B5128" s="1" t="s">
        <v>8723</v>
      </c>
      <c r="D5128">
        <v>1</v>
      </c>
      <c r="G5128" t="str">
        <f>HYPERLINK("http://babel.hathitrust.org/cgi/pt?id=nnc1.0035529849")</f>
        <v>http://babel.hathitrust.org/cgi/pt?id=nnc1.0035529849</v>
      </c>
      <c r="H5128" t="str">
        <f>HYPERLINK("http://catalog.hathitrust.org/Record/008395493")</f>
        <v>http://catalog.hathitrust.org/Record/008395493</v>
      </c>
      <c r="I5128" s="1" t="s">
        <v>20755</v>
      </c>
      <c r="J5128" s="1">
        <v>1762</v>
      </c>
      <c r="K5128" t="s">
        <v>8724</v>
      </c>
      <c r="L5128" t="s">
        <v>17659</v>
      </c>
    </row>
    <row r="5129" spans="1:12">
      <c r="A5129" t="s">
        <v>8725</v>
      </c>
      <c r="B5129" s="1" t="s">
        <v>8726</v>
      </c>
      <c r="F5129">
        <v>1</v>
      </c>
      <c r="G5129" t="str">
        <f>HYPERLINK("http://babel.hathitrust.org/cgi/pt?id=nnc1.0035529865")</f>
        <v>http://babel.hathitrust.org/cgi/pt?id=nnc1.0035529865</v>
      </c>
      <c r="H5129" t="str">
        <f>HYPERLINK("http://catalog.hathitrust.org/Record/008395494")</f>
        <v>http://catalog.hathitrust.org/Record/008395494</v>
      </c>
      <c r="I5129" s="1" t="s">
        <v>20916</v>
      </c>
      <c r="J5129" s="1">
        <v>1718</v>
      </c>
      <c r="K5129" t="s">
        <v>8727</v>
      </c>
      <c r="L5129" t="s">
        <v>17659</v>
      </c>
    </row>
    <row r="5130" spans="1:12">
      <c r="A5130" t="s">
        <v>8728</v>
      </c>
      <c r="B5130" s="1" t="s">
        <v>8726</v>
      </c>
      <c r="F5130">
        <v>1</v>
      </c>
      <c r="G5130" t="str">
        <f>HYPERLINK("http://babel.hathitrust.org/cgi/pt?id=nnc1.0035529873")</f>
        <v>http://babel.hathitrust.org/cgi/pt?id=nnc1.0035529873</v>
      </c>
      <c r="H5130" t="str">
        <f>HYPERLINK("http://catalog.hathitrust.org/Record/008395494")</f>
        <v>http://catalog.hathitrust.org/Record/008395494</v>
      </c>
      <c r="I5130" s="1" t="s">
        <v>20755</v>
      </c>
      <c r="J5130" s="1">
        <v>1718</v>
      </c>
      <c r="K5130" t="s">
        <v>8727</v>
      </c>
      <c r="L5130" t="s">
        <v>17659</v>
      </c>
    </row>
    <row r="5131" spans="1:12">
      <c r="A5131" t="s">
        <v>8729</v>
      </c>
      <c r="B5131" s="1" t="s">
        <v>8730</v>
      </c>
      <c r="D5131">
        <v>1</v>
      </c>
      <c r="G5131" t="str">
        <f>HYPERLINK("http://babel.hathitrust.org/cgi/pt?id=nnc1.0035529881")</f>
        <v>http://babel.hathitrust.org/cgi/pt?id=nnc1.0035529881</v>
      </c>
      <c r="H5131" t="str">
        <f>HYPERLINK("http://catalog.hathitrust.org/Record/008395495")</f>
        <v>http://catalog.hathitrust.org/Record/008395495</v>
      </c>
      <c r="I5131" s="1" t="s">
        <v>20916</v>
      </c>
      <c r="J5131" s="1">
        <v>1714</v>
      </c>
      <c r="K5131" t="s">
        <v>8731</v>
      </c>
      <c r="L5131" t="s">
        <v>17659</v>
      </c>
    </row>
    <row r="5132" spans="1:12">
      <c r="A5132" t="s">
        <v>8732</v>
      </c>
      <c r="B5132" s="1" t="s">
        <v>8733</v>
      </c>
      <c r="D5132">
        <v>1</v>
      </c>
      <c r="G5132" t="str">
        <f>HYPERLINK("http://babel.hathitrust.org/cgi/pt?id=nnc1.0035529890")</f>
        <v>http://babel.hathitrust.org/cgi/pt?id=nnc1.0035529890</v>
      </c>
      <c r="H5132" t="str">
        <f>HYPERLINK("http://catalog.hathitrust.org/Record/008395496")</f>
        <v>http://catalog.hathitrust.org/Record/008395496</v>
      </c>
      <c r="J5132" s="1">
        <v>1718</v>
      </c>
      <c r="K5132" t="s">
        <v>8734</v>
      </c>
      <c r="L5132" t="s">
        <v>17659</v>
      </c>
    </row>
    <row r="5133" spans="1:12">
      <c r="A5133" t="s">
        <v>8735</v>
      </c>
      <c r="B5133" s="1" t="s">
        <v>8736</v>
      </c>
      <c r="F5133">
        <v>1</v>
      </c>
      <c r="G5133" t="str">
        <f>HYPERLINK("http://babel.hathitrust.org/cgi/pt?id=nnc1.0037127420")</f>
        <v>http://babel.hathitrust.org/cgi/pt?id=nnc1.0037127420</v>
      </c>
      <c r="H5133" t="str">
        <f>HYPERLINK("http://catalog.hathitrust.org/Record/008399131")</f>
        <v>http://catalog.hathitrust.org/Record/008399131</v>
      </c>
      <c r="J5133" s="1">
        <v>1696</v>
      </c>
      <c r="K5133" t="s">
        <v>8684</v>
      </c>
      <c r="L5133" t="s">
        <v>8685</v>
      </c>
    </row>
    <row r="5134" spans="1:12">
      <c r="A5134" t="s">
        <v>8686</v>
      </c>
      <c r="B5134" s="1" t="s">
        <v>8687</v>
      </c>
      <c r="F5134">
        <v>1</v>
      </c>
      <c r="G5134" t="str">
        <f>HYPERLINK("http://babel.hathitrust.org/cgi/pt?id=nnc1.0038099730")</f>
        <v>http://babel.hathitrust.org/cgi/pt?id=nnc1.0038099730</v>
      </c>
      <c r="H5134" t="str">
        <f>HYPERLINK("http://catalog.hathitrust.org/Record/008399325")</f>
        <v>http://catalog.hathitrust.org/Record/008399325</v>
      </c>
      <c r="J5134" s="1">
        <v>1857</v>
      </c>
      <c r="K5134" t="s">
        <v>8688</v>
      </c>
    </row>
    <row r="5135" spans="1:12">
      <c r="A5135" t="s">
        <v>8689</v>
      </c>
      <c r="B5135" s="1" t="s">
        <v>8690</v>
      </c>
      <c r="D5135">
        <v>1</v>
      </c>
      <c r="G5135" t="str">
        <f>HYPERLINK("http://babel.hathitrust.org/cgi/pt?id=nnc1.0038444356")</f>
        <v>http://babel.hathitrust.org/cgi/pt?id=nnc1.0038444356</v>
      </c>
      <c r="H5135" t="str">
        <f>HYPERLINK("http://catalog.hathitrust.org/Record/008399374")</f>
        <v>http://catalog.hathitrust.org/Record/008399374</v>
      </c>
      <c r="I5135" s="1" t="s">
        <v>20916</v>
      </c>
      <c r="J5135" s="1">
        <v>1809</v>
      </c>
      <c r="K5135" t="s">
        <v>8691</v>
      </c>
      <c r="L5135" t="s">
        <v>20043</v>
      </c>
    </row>
    <row r="5136" spans="1:12">
      <c r="A5136" t="s">
        <v>8692</v>
      </c>
      <c r="B5136" s="1" t="s">
        <v>8690</v>
      </c>
      <c r="D5136">
        <v>1</v>
      </c>
      <c r="G5136" t="str">
        <f>HYPERLINK("http://babel.hathitrust.org/cgi/pt?id=nnc1.0038444364")</f>
        <v>http://babel.hathitrust.org/cgi/pt?id=nnc1.0038444364</v>
      </c>
      <c r="H5136" t="str">
        <f>HYPERLINK("http://catalog.hathitrust.org/Record/008399374")</f>
        <v>http://catalog.hathitrust.org/Record/008399374</v>
      </c>
      <c r="I5136" s="1" t="s">
        <v>20755</v>
      </c>
      <c r="J5136" s="1">
        <v>1809</v>
      </c>
      <c r="K5136" t="s">
        <v>8691</v>
      </c>
      <c r="L5136" t="s">
        <v>20043</v>
      </c>
    </row>
    <row r="5137" spans="1:12">
      <c r="A5137" t="s">
        <v>8693</v>
      </c>
      <c r="B5137" s="1" t="s">
        <v>8694</v>
      </c>
      <c r="F5137">
        <v>1</v>
      </c>
      <c r="G5137" t="str">
        <f>HYPERLINK("http://babel.hathitrust.org/cgi/pt?id=nnc1.0038635798")</f>
        <v>http://babel.hathitrust.org/cgi/pt?id=nnc1.0038635798</v>
      </c>
      <c r="H5137" t="str">
        <f>HYPERLINK("http://catalog.hathitrust.org/Record/008399497")</f>
        <v>http://catalog.hathitrust.org/Record/008399497</v>
      </c>
      <c r="J5137" s="1">
        <v>1815</v>
      </c>
      <c r="K5137" t="s">
        <v>8695</v>
      </c>
      <c r="L5137" t="s">
        <v>20960</v>
      </c>
    </row>
    <row r="5138" spans="1:12">
      <c r="A5138" t="s">
        <v>8696</v>
      </c>
      <c r="B5138" s="1" t="s">
        <v>8697</v>
      </c>
      <c r="F5138">
        <v>1</v>
      </c>
      <c r="G5138" t="str">
        <f>HYPERLINK("http://babel.hathitrust.org/cgi/pt?id=nnc1.0038657830")</f>
        <v>http://babel.hathitrust.org/cgi/pt?id=nnc1.0038657830</v>
      </c>
      <c r="H5138" t="str">
        <f>HYPERLINK("http://catalog.hathitrust.org/Record/008399529")</f>
        <v>http://catalog.hathitrust.org/Record/008399529</v>
      </c>
      <c r="J5138" s="1">
        <v>1822</v>
      </c>
      <c r="K5138" t="s">
        <v>8698</v>
      </c>
      <c r="L5138" t="s">
        <v>19694</v>
      </c>
    </row>
    <row r="5139" spans="1:12">
      <c r="A5139" t="s">
        <v>8699</v>
      </c>
      <c r="B5139" s="1" t="s">
        <v>8700</v>
      </c>
      <c r="F5139">
        <v>1</v>
      </c>
      <c r="G5139" t="str">
        <f>HYPERLINK("http://babel.hathitrust.org/cgi/pt?id=nnc1.0038973421")</f>
        <v>http://babel.hathitrust.org/cgi/pt?id=nnc1.0038973421</v>
      </c>
      <c r="H5139" t="str">
        <f>HYPERLINK("http://catalog.hathitrust.org/Record/008399647")</f>
        <v>http://catalog.hathitrust.org/Record/008399647</v>
      </c>
      <c r="J5139" s="1">
        <v>1912</v>
      </c>
      <c r="K5139" t="s">
        <v>8701</v>
      </c>
      <c r="L5139" t="s">
        <v>17048</v>
      </c>
    </row>
    <row r="5140" spans="1:12">
      <c r="A5140" t="s">
        <v>8702</v>
      </c>
      <c r="B5140" s="1" t="s">
        <v>8700</v>
      </c>
      <c r="F5140">
        <v>1</v>
      </c>
      <c r="G5140" t="str">
        <f>HYPERLINK("http://babel.hathitrust.org/cgi/pt?id=nyp.33433082502935")</f>
        <v>http://babel.hathitrust.org/cgi/pt?id=nyp.33433082502935</v>
      </c>
      <c r="H5140" t="str">
        <f>HYPERLINK("http://catalog.hathitrust.org/Record/008399647")</f>
        <v>http://catalog.hathitrust.org/Record/008399647</v>
      </c>
      <c r="J5140" s="1">
        <v>1912</v>
      </c>
      <c r="K5140" t="s">
        <v>8701</v>
      </c>
      <c r="L5140" t="s">
        <v>17048</v>
      </c>
    </row>
    <row r="5141" spans="1:12">
      <c r="A5141" t="s">
        <v>8703</v>
      </c>
      <c r="B5141" s="1" t="s">
        <v>8704</v>
      </c>
      <c r="E5141">
        <v>1</v>
      </c>
      <c r="G5141" t="str">
        <f>HYPERLINK("http://babel.hathitrust.org/cgi/pt?id=nnc1.0039041654")</f>
        <v>http://babel.hathitrust.org/cgi/pt?id=nnc1.0039041654</v>
      </c>
      <c r="H5141" t="str">
        <f>HYPERLINK("http://catalog.hathitrust.org/Record/008399672")</f>
        <v>http://catalog.hathitrust.org/Record/008399672</v>
      </c>
      <c r="J5141" s="1">
        <v>1883</v>
      </c>
      <c r="K5141" t="s">
        <v>8705</v>
      </c>
      <c r="L5141" t="s">
        <v>15675</v>
      </c>
    </row>
    <row r="5142" spans="1:12">
      <c r="A5142" t="s">
        <v>8706</v>
      </c>
      <c r="B5142" s="1" t="s">
        <v>8707</v>
      </c>
      <c r="F5142">
        <v>1</v>
      </c>
      <c r="G5142" t="str">
        <f>HYPERLINK("http://babel.hathitrust.org/cgi/pt?id=hvd.hwjlpw")</f>
        <v>http://babel.hathitrust.org/cgi/pt?id=hvd.hwjlpw</v>
      </c>
      <c r="H5142" t="str">
        <f>HYPERLINK("http://catalog.hathitrust.org/Record/008399686")</f>
        <v>http://catalog.hathitrust.org/Record/008399686</v>
      </c>
      <c r="J5142" s="1">
        <v>1827</v>
      </c>
      <c r="K5142" t="s">
        <v>8648</v>
      </c>
      <c r="L5142" t="s">
        <v>8649</v>
      </c>
    </row>
    <row r="5143" spans="1:12">
      <c r="A5143" t="s">
        <v>8650</v>
      </c>
      <c r="B5143" s="1" t="s">
        <v>8651</v>
      </c>
      <c r="E5143">
        <v>1</v>
      </c>
      <c r="G5143" t="str">
        <f>HYPERLINK("http://babel.hathitrust.org/cgi/pt?id=nnc1.0040441628")</f>
        <v>http://babel.hathitrust.org/cgi/pt?id=nnc1.0040441628</v>
      </c>
      <c r="H5143" t="str">
        <f>HYPERLINK("http://catalog.hathitrust.org/Record/008399848")</f>
        <v>http://catalog.hathitrust.org/Record/008399848</v>
      </c>
      <c r="J5143" s="1">
        <v>1870</v>
      </c>
      <c r="K5143" t="s">
        <v>8652</v>
      </c>
      <c r="L5143" t="s">
        <v>20904</v>
      </c>
    </row>
    <row r="5144" spans="1:12">
      <c r="A5144" t="s">
        <v>8653</v>
      </c>
      <c r="B5144" s="1" t="s">
        <v>8654</v>
      </c>
      <c r="D5144">
        <v>1</v>
      </c>
      <c r="G5144" t="str">
        <f>HYPERLINK("http://babel.hathitrust.org/cgi/pt?id=hvd.32044086791209")</f>
        <v>http://babel.hathitrust.org/cgi/pt?id=hvd.32044086791209</v>
      </c>
      <c r="H5144" t="str">
        <f>HYPERLINK("http://catalog.hathitrust.org/Record/008400044")</f>
        <v>http://catalog.hathitrust.org/Record/008400044</v>
      </c>
      <c r="I5144" s="1" t="s">
        <v>20916</v>
      </c>
      <c r="J5144" s="1">
        <v>1823</v>
      </c>
      <c r="K5144" t="s">
        <v>8655</v>
      </c>
      <c r="L5144" t="s">
        <v>8656</v>
      </c>
    </row>
    <row r="5145" spans="1:12">
      <c r="A5145" t="s">
        <v>8657</v>
      </c>
      <c r="B5145" s="1" t="s">
        <v>8654</v>
      </c>
      <c r="D5145">
        <v>1</v>
      </c>
      <c r="G5145" t="str">
        <f>HYPERLINK("http://babel.hathitrust.org/cgi/pt?id=hvd.32044090293457")</f>
        <v>http://babel.hathitrust.org/cgi/pt?id=hvd.32044090293457</v>
      </c>
      <c r="H5145" t="str">
        <f>HYPERLINK("http://catalog.hathitrust.org/Record/008400044")</f>
        <v>http://catalog.hathitrust.org/Record/008400044</v>
      </c>
      <c r="I5145" s="1" t="s">
        <v>20755</v>
      </c>
      <c r="J5145" s="1">
        <v>1823</v>
      </c>
      <c r="K5145" t="s">
        <v>8655</v>
      </c>
      <c r="L5145" t="s">
        <v>8656</v>
      </c>
    </row>
    <row r="5146" spans="1:12">
      <c r="A5146" t="s">
        <v>8658</v>
      </c>
      <c r="B5146" s="1" t="s">
        <v>8659</v>
      </c>
      <c r="F5146">
        <v>1</v>
      </c>
      <c r="G5146" t="str">
        <f>HYPERLINK("http://babel.hathitrust.org/cgi/pt?id=nnc1.0043328946")</f>
        <v>http://babel.hathitrust.org/cgi/pt?id=nnc1.0043328946</v>
      </c>
      <c r="H5146" t="str">
        <f>HYPERLINK("http://catalog.hathitrust.org/Record/008400074")</f>
        <v>http://catalog.hathitrust.org/Record/008400074</v>
      </c>
      <c r="J5146" s="1">
        <v>1885</v>
      </c>
      <c r="K5146" t="s">
        <v>14467</v>
      </c>
      <c r="L5146" t="s">
        <v>20448</v>
      </c>
    </row>
    <row r="5147" spans="1:12">
      <c r="A5147" t="s">
        <v>8660</v>
      </c>
      <c r="B5147" s="1" t="s">
        <v>8661</v>
      </c>
      <c r="F5147">
        <v>1</v>
      </c>
      <c r="G5147" t="str">
        <f>HYPERLINK("http://babel.hathitrust.org/cgi/pt?id=nnc1.0043886728")</f>
        <v>http://babel.hathitrust.org/cgi/pt?id=nnc1.0043886728</v>
      </c>
      <c r="H5147" t="str">
        <f>HYPERLINK("http://catalog.hathitrust.org/Record/008400233")</f>
        <v>http://catalog.hathitrust.org/Record/008400233</v>
      </c>
      <c r="J5147" s="1">
        <v>1880</v>
      </c>
      <c r="K5147" t="s">
        <v>8662</v>
      </c>
      <c r="L5147" t="s">
        <v>16039</v>
      </c>
    </row>
    <row r="5148" spans="1:12">
      <c r="A5148" t="s">
        <v>8663</v>
      </c>
      <c r="B5148" s="1" t="s">
        <v>8664</v>
      </c>
      <c r="F5148">
        <v>1</v>
      </c>
      <c r="G5148" t="str">
        <f>HYPERLINK("http://babel.hathitrust.org/cgi/pt?id=nnc1.0044154739")</f>
        <v>http://babel.hathitrust.org/cgi/pt?id=nnc1.0044154739</v>
      </c>
      <c r="H5148" t="str">
        <f>HYPERLINK("http://catalog.hathitrust.org/Record/008400312")</f>
        <v>http://catalog.hathitrust.org/Record/008400312</v>
      </c>
      <c r="J5148" s="1">
        <v>1917</v>
      </c>
      <c r="K5148" t="s">
        <v>8665</v>
      </c>
      <c r="L5148" t="s">
        <v>16396</v>
      </c>
    </row>
    <row r="5149" spans="1:12">
      <c r="A5149" t="s">
        <v>8666</v>
      </c>
      <c r="B5149" s="1" t="s">
        <v>8667</v>
      </c>
      <c r="E5149">
        <v>1</v>
      </c>
      <c r="F5149">
        <v>1</v>
      </c>
      <c r="G5149" t="str">
        <f>HYPERLINK("http://babel.hathitrust.org/cgi/pt?id=nnc1.0044159692")</f>
        <v>http://babel.hathitrust.org/cgi/pt?id=nnc1.0044159692</v>
      </c>
      <c r="H5149" t="str">
        <f>HYPERLINK("http://catalog.hathitrust.org/Record/008400315")</f>
        <v>http://catalog.hathitrust.org/Record/008400315</v>
      </c>
      <c r="J5149" s="1">
        <v>1820</v>
      </c>
      <c r="K5149" t="s">
        <v>8668</v>
      </c>
      <c r="L5149" t="s">
        <v>11854</v>
      </c>
    </row>
    <row r="5150" spans="1:12">
      <c r="A5150" t="s">
        <v>8669</v>
      </c>
      <c r="B5150" s="1" t="s">
        <v>8670</v>
      </c>
      <c r="E5150">
        <v>1</v>
      </c>
      <c r="G5150" t="str">
        <f>HYPERLINK("http://babel.hathitrust.org/cgi/pt?id=nnc1.0053512316")</f>
        <v>http://babel.hathitrust.org/cgi/pt?id=nnc1.0053512316</v>
      </c>
      <c r="H5150" t="str">
        <f>HYPERLINK("http://catalog.hathitrust.org/Record/008400590")</f>
        <v>http://catalog.hathitrust.org/Record/008400590</v>
      </c>
      <c r="J5150" s="1">
        <v>1895</v>
      </c>
      <c r="K5150" t="s">
        <v>8671</v>
      </c>
      <c r="L5150" t="s">
        <v>13226</v>
      </c>
    </row>
    <row r="5151" spans="1:12">
      <c r="A5151" t="s">
        <v>8672</v>
      </c>
      <c r="B5151" s="1" t="s">
        <v>8673</v>
      </c>
      <c r="D5151">
        <v>1</v>
      </c>
      <c r="G5151" t="str">
        <f>HYPERLINK("http://babel.hathitrust.org/cgi/pt?id=nnc1.0055067760")</f>
        <v>http://babel.hathitrust.org/cgi/pt?id=nnc1.0055067760</v>
      </c>
      <c r="H5151" t="str">
        <f>HYPERLINK("http://catalog.hathitrust.org/Record/008400606")</f>
        <v>http://catalog.hathitrust.org/Record/008400606</v>
      </c>
      <c r="J5151" s="1">
        <v>1922</v>
      </c>
      <c r="K5151" t="s">
        <v>19726</v>
      </c>
      <c r="L5151" t="s">
        <v>19727</v>
      </c>
    </row>
    <row r="5152" spans="1:12">
      <c r="A5152" t="s">
        <v>8674</v>
      </c>
      <c r="B5152" s="1" t="s">
        <v>8675</v>
      </c>
      <c r="E5152">
        <v>1</v>
      </c>
      <c r="G5152" t="str">
        <f>HYPERLINK("http://babel.hathitrust.org/cgi/pt?id=nnc1.0055242928")</f>
        <v>http://babel.hathitrust.org/cgi/pt?id=nnc1.0055242928</v>
      </c>
      <c r="H5152" t="str">
        <f>HYPERLINK("http://catalog.hathitrust.org/Record/008400615")</f>
        <v>http://catalog.hathitrust.org/Record/008400615</v>
      </c>
      <c r="I5152" s="1" t="s">
        <v>20679</v>
      </c>
      <c r="J5152" s="1">
        <v>1863</v>
      </c>
      <c r="K5152" t="s">
        <v>8676</v>
      </c>
      <c r="L5152" t="s">
        <v>15050</v>
      </c>
    </row>
    <row r="5153" spans="1:12">
      <c r="A5153" t="s">
        <v>8677</v>
      </c>
      <c r="B5153" s="1" t="s">
        <v>8675</v>
      </c>
      <c r="E5153">
        <v>1</v>
      </c>
      <c r="G5153" t="str">
        <f>HYPERLINK("http://babel.hathitrust.org/cgi/pt?id=nnc1.0055242936")</f>
        <v>http://babel.hathitrust.org/cgi/pt?id=nnc1.0055242936</v>
      </c>
      <c r="H5153" t="str">
        <f>HYPERLINK("http://catalog.hathitrust.org/Record/008400615")</f>
        <v>http://catalog.hathitrust.org/Record/008400615</v>
      </c>
      <c r="I5153" s="1" t="s">
        <v>20755</v>
      </c>
      <c r="J5153" s="1">
        <v>1863</v>
      </c>
      <c r="K5153" t="s">
        <v>8676</v>
      </c>
      <c r="L5153" t="s">
        <v>15050</v>
      </c>
    </row>
    <row r="5154" spans="1:12">
      <c r="A5154" t="s">
        <v>8678</v>
      </c>
      <c r="B5154" s="1" t="s">
        <v>8675</v>
      </c>
      <c r="E5154">
        <v>1</v>
      </c>
      <c r="G5154" t="str">
        <f>HYPERLINK("http://babel.hathitrust.org/cgi/pt?id=nnc1.0055242952")</f>
        <v>http://babel.hathitrust.org/cgi/pt?id=nnc1.0055242952</v>
      </c>
      <c r="H5154" t="str">
        <f>HYPERLINK("http://catalog.hathitrust.org/Record/008400615")</f>
        <v>http://catalog.hathitrust.org/Record/008400615</v>
      </c>
      <c r="I5154" s="1" t="s">
        <v>20920</v>
      </c>
      <c r="J5154" s="1">
        <v>1863</v>
      </c>
      <c r="K5154" t="s">
        <v>8676</v>
      </c>
      <c r="L5154" t="s">
        <v>15050</v>
      </c>
    </row>
    <row r="5155" spans="1:12">
      <c r="A5155" t="s">
        <v>8679</v>
      </c>
      <c r="B5155" s="1" t="s">
        <v>8675</v>
      </c>
      <c r="E5155">
        <v>1</v>
      </c>
      <c r="G5155" t="str">
        <f>HYPERLINK("http://babel.hathitrust.org/cgi/pt?id=nnc1.0315300242")</f>
        <v>http://babel.hathitrust.org/cgi/pt?id=nnc1.0315300242</v>
      </c>
      <c r="H5155" t="str">
        <f>HYPERLINK("http://catalog.hathitrust.org/Record/008400615")</f>
        <v>http://catalog.hathitrust.org/Record/008400615</v>
      </c>
      <c r="I5155" s="1" t="s">
        <v>20916</v>
      </c>
      <c r="J5155" s="1">
        <v>1863</v>
      </c>
      <c r="K5155" t="s">
        <v>8676</v>
      </c>
      <c r="L5155" t="s">
        <v>15050</v>
      </c>
    </row>
    <row r="5156" spans="1:12">
      <c r="A5156" t="s">
        <v>8680</v>
      </c>
      <c r="B5156" s="1" t="s">
        <v>8681</v>
      </c>
      <c r="F5156">
        <v>1</v>
      </c>
      <c r="G5156" t="str">
        <f>HYPERLINK("http://babel.hathitrust.org/cgi/pt?id=nnc1.0111785020")</f>
        <v>http://babel.hathitrust.org/cgi/pt?id=nnc1.0111785020</v>
      </c>
      <c r="H5156" t="str">
        <f>HYPERLINK("http://catalog.hathitrust.org/Record/008401026")</f>
        <v>http://catalog.hathitrust.org/Record/008401026</v>
      </c>
      <c r="J5156" s="1">
        <v>1913</v>
      </c>
      <c r="K5156" t="s">
        <v>12338</v>
      </c>
      <c r="L5156" t="s">
        <v>12339</v>
      </c>
    </row>
    <row r="5157" spans="1:12">
      <c r="A5157" t="s">
        <v>8682</v>
      </c>
      <c r="B5157" s="1" t="s">
        <v>8683</v>
      </c>
      <c r="D5157">
        <v>1</v>
      </c>
      <c r="G5157" t="str">
        <f>HYPERLINK("http://babel.hathitrust.org/cgi/pt?id=nnc1.0113869779")</f>
        <v>http://babel.hathitrust.org/cgi/pt?id=nnc1.0113869779</v>
      </c>
      <c r="H5157" t="str">
        <f>HYPERLINK("http://catalog.hathitrust.org/Record/008401392")</f>
        <v>http://catalog.hathitrust.org/Record/008401392</v>
      </c>
      <c r="J5157" s="1">
        <v>1570</v>
      </c>
      <c r="K5157" t="s">
        <v>8616</v>
      </c>
      <c r="L5157" t="s">
        <v>14549</v>
      </c>
    </row>
    <row r="5158" spans="1:12">
      <c r="A5158" t="s">
        <v>8617</v>
      </c>
      <c r="B5158" s="1" t="s">
        <v>8618</v>
      </c>
      <c r="F5158">
        <v>1</v>
      </c>
      <c r="G5158" t="str">
        <f>HYPERLINK("http://babel.hathitrust.org/cgi/pt?id=nnc1.1000295043")</f>
        <v>http://babel.hathitrust.org/cgi/pt?id=nnc1.1000295043</v>
      </c>
      <c r="H5158" t="str">
        <f>HYPERLINK("http://catalog.hathitrust.org/Record/008403373")</f>
        <v>http://catalog.hathitrust.org/Record/008403373</v>
      </c>
      <c r="J5158" s="1">
        <v>1837</v>
      </c>
      <c r="K5158" t="s">
        <v>8619</v>
      </c>
      <c r="L5158" t="s">
        <v>8620</v>
      </c>
    </row>
    <row r="5159" spans="1:12">
      <c r="A5159" t="s">
        <v>8621</v>
      </c>
      <c r="B5159" s="1" t="s">
        <v>8618</v>
      </c>
      <c r="F5159">
        <v>1</v>
      </c>
      <c r="G5159" t="str">
        <f>HYPERLINK("http://babel.hathitrust.org/cgi/pt?id=nyp.33433069247819")</f>
        <v>http://babel.hathitrust.org/cgi/pt?id=nyp.33433069247819</v>
      </c>
      <c r="H5159" t="str">
        <f>HYPERLINK("http://catalog.hathitrust.org/Record/008403373")</f>
        <v>http://catalog.hathitrust.org/Record/008403373</v>
      </c>
      <c r="J5159" s="1">
        <v>1837</v>
      </c>
      <c r="K5159" t="s">
        <v>8619</v>
      </c>
      <c r="L5159" t="s">
        <v>8620</v>
      </c>
    </row>
    <row r="5160" spans="1:12">
      <c r="A5160" t="s">
        <v>8622</v>
      </c>
      <c r="B5160" s="1" t="s">
        <v>8623</v>
      </c>
      <c r="F5160">
        <v>1</v>
      </c>
      <c r="G5160" t="str">
        <f>HYPERLINK("http://babel.hathitrust.org/cgi/pt?id=nnc1.1002301270")</f>
        <v>http://babel.hathitrust.org/cgi/pt?id=nnc1.1002301270</v>
      </c>
      <c r="H5160" t="str">
        <f>HYPERLINK("http://catalog.hathitrust.org/Record/008405242")</f>
        <v>http://catalog.hathitrust.org/Record/008405242</v>
      </c>
      <c r="J5160" s="1">
        <v>1853</v>
      </c>
      <c r="K5160" t="s">
        <v>8624</v>
      </c>
      <c r="L5160" t="s">
        <v>12780</v>
      </c>
    </row>
    <row r="5161" spans="1:12">
      <c r="A5161" t="s">
        <v>8625</v>
      </c>
      <c r="B5161" s="1" t="s">
        <v>8626</v>
      </c>
      <c r="F5161">
        <v>1</v>
      </c>
      <c r="G5161" t="str">
        <f>HYPERLINK("http://babel.hathitrust.org/cgi/pt?id=nnc1.1002305003")</f>
        <v>http://babel.hathitrust.org/cgi/pt?id=nnc1.1002305003</v>
      </c>
      <c r="H5161" t="str">
        <f>HYPERLINK("http://catalog.hathitrust.org/Record/008405258")</f>
        <v>http://catalog.hathitrust.org/Record/008405258</v>
      </c>
      <c r="J5161" s="1">
        <v>1890</v>
      </c>
      <c r="K5161" t="s">
        <v>10784</v>
      </c>
      <c r="L5161" t="s">
        <v>20507</v>
      </c>
    </row>
    <row r="5162" spans="1:12">
      <c r="A5162" t="s">
        <v>8627</v>
      </c>
      <c r="B5162" s="1" t="s">
        <v>8628</v>
      </c>
      <c r="F5162">
        <v>1</v>
      </c>
      <c r="G5162" t="str">
        <f>HYPERLINK("http://babel.hathitrust.org/cgi/pt?id=nnc1.1002353288")</f>
        <v>http://babel.hathitrust.org/cgi/pt?id=nnc1.1002353288</v>
      </c>
      <c r="H5162" t="str">
        <f>HYPERLINK("http://catalog.hathitrust.org/Record/008405530")</f>
        <v>http://catalog.hathitrust.org/Record/008405530</v>
      </c>
      <c r="J5162" s="1">
        <v>1850</v>
      </c>
      <c r="K5162" t="s">
        <v>8629</v>
      </c>
      <c r="L5162" t="s">
        <v>20748</v>
      </c>
    </row>
    <row r="5163" spans="1:12">
      <c r="A5163" t="s">
        <v>8630</v>
      </c>
      <c r="B5163" s="1" t="s">
        <v>8631</v>
      </c>
      <c r="D5163">
        <v>1</v>
      </c>
      <c r="G5163" t="str">
        <f>HYPERLINK("http://babel.hathitrust.org/cgi/pt?id=nnc1.1002358050")</f>
        <v>http://babel.hathitrust.org/cgi/pt?id=nnc1.1002358050</v>
      </c>
      <c r="H5163" t="str">
        <f>HYPERLINK("http://catalog.hathitrust.org/Record/008405556")</f>
        <v>http://catalog.hathitrust.org/Record/008405556</v>
      </c>
      <c r="J5163" s="1">
        <v>1819</v>
      </c>
      <c r="K5163" t="s">
        <v>8632</v>
      </c>
      <c r="L5163" t="s">
        <v>8633</v>
      </c>
    </row>
    <row r="5164" spans="1:12">
      <c r="A5164" t="s">
        <v>8634</v>
      </c>
      <c r="B5164" s="1" t="s">
        <v>8631</v>
      </c>
      <c r="F5164">
        <v>1</v>
      </c>
      <c r="G5164" t="str">
        <f>HYPERLINK("http://babel.hathitrust.org/cgi/pt?id=uc1.$b393558")</f>
        <v>http://babel.hathitrust.org/cgi/pt?id=uc1.$b393558</v>
      </c>
      <c r="H5164" t="str">
        <f>HYPERLINK("http://catalog.hathitrust.org/Record/008405556")</f>
        <v>http://catalog.hathitrust.org/Record/008405556</v>
      </c>
      <c r="J5164" s="1">
        <v>1819</v>
      </c>
      <c r="K5164" t="s">
        <v>8632</v>
      </c>
      <c r="L5164" t="s">
        <v>8633</v>
      </c>
    </row>
    <row r="5165" spans="1:12">
      <c r="A5165" t="s">
        <v>8635</v>
      </c>
      <c r="B5165" s="1" t="s">
        <v>8631</v>
      </c>
      <c r="F5165">
        <v>1</v>
      </c>
      <c r="G5165" t="str">
        <f>HYPERLINK("http://babel.hathitrust.org/cgi/pt?id=uc2.ark:/13960/t9z032v1m")</f>
        <v>http://babel.hathitrust.org/cgi/pt?id=uc2.ark:/13960/t9z032v1m</v>
      </c>
      <c r="H5165" t="str">
        <f>HYPERLINK("http://catalog.hathitrust.org/Record/008405556")</f>
        <v>http://catalog.hathitrust.org/Record/008405556</v>
      </c>
      <c r="J5165" s="1">
        <v>1819</v>
      </c>
      <c r="K5165" t="s">
        <v>8632</v>
      </c>
      <c r="L5165" t="s">
        <v>8633</v>
      </c>
    </row>
    <row r="5166" spans="1:12">
      <c r="A5166" t="s">
        <v>8636</v>
      </c>
      <c r="B5166" s="1" t="s">
        <v>8637</v>
      </c>
      <c r="F5166">
        <v>1</v>
      </c>
      <c r="G5166" t="str">
        <f>HYPERLINK("http://babel.hathitrust.org/cgi/pt?id=nnc1.1002375842")</f>
        <v>http://babel.hathitrust.org/cgi/pt?id=nnc1.1002375842</v>
      </c>
      <c r="H5166" t="str">
        <f>HYPERLINK("http://catalog.hathitrust.org/Record/008405621")</f>
        <v>http://catalog.hathitrust.org/Record/008405621</v>
      </c>
      <c r="J5166" s="1">
        <v>1884</v>
      </c>
      <c r="K5166" t="s">
        <v>8638</v>
      </c>
      <c r="L5166" t="s">
        <v>8639</v>
      </c>
    </row>
    <row r="5167" spans="1:12">
      <c r="A5167" t="s">
        <v>8640</v>
      </c>
      <c r="B5167" s="1" t="s">
        <v>8641</v>
      </c>
      <c r="E5167">
        <v>1</v>
      </c>
      <c r="F5167">
        <v>1</v>
      </c>
      <c r="G5167" t="str">
        <f>HYPERLINK("http://babel.hathitrust.org/cgi/pt?id=nnc1.1002376024")</f>
        <v>http://babel.hathitrust.org/cgi/pt?id=nnc1.1002376024</v>
      </c>
      <c r="H5167" t="str">
        <f>HYPERLINK("http://catalog.hathitrust.org/Record/008405623")</f>
        <v>http://catalog.hathitrust.org/Record/008405623</v>
      </c>
      <c r="J5167" s="1">
        <v>1810</v>
      </c>
      <c r="K5167" t="s">
        <v>8642</v>
      </c>
      <c r="L5167" t="s">
        <v>8643</v>
      </c>
    </row>
    <row r="5168" spans="1:12">
      <c r="A5168" t="s">
        <v>8644</v>
      </c>
      <c r="B5168" s="1" t="s">
        <v>8641</v>
      </c>
      <c r="F5168">
        <v>1</v>
      </c>
      <c r="G5168" t="str">
        <f>HYPERLINK("http://babel.hathitrust.org/cgi/pt?id=uc1.$b624845")</f>
        <v>http://babel.hathitrust.org/cgi/pt?id=uc1.$b624845</v>
      </c>
      <c r="H5168" t="str">
        <f>HYPERLINK("http://catalog.hathitrust.org/Record/008405623")</f>
        <v>http://catalog.hathitrust.org/Record/008405623</v>
      </c>
      <c r="J5168" s="1">
        <v>1810</v>
      </c>
      <c r="K5168" t="s">
        <v>8642</v>
      </c>
      <c r="L5168" t="s">
        <v>8643</v>
      </c>
    </row>
    <row r="5169" spans="1:12">
      <c r="A5169" t="s">
        <v>8645</v>
      </c>
      <c r="B5169" s="1" t="s">
        <v>8641</v>
      </c>
      <c r="F5169">
        <v>1</v>
      </c>
      <c r="G5169" t="str">
        <f>HYPERLINK("http://babel.hathitrust.org/cgi/pt?id=uc2.ark:/13960/t23b62b85")</f>
        <v>http://babel.hathitrust.org/cgi/pt?id=uc2.ark:/13960/t23b62b85</v>
      </c>
      <c r="H5169" t="str">
        <f>HYPERLINK("http://catalog.hathitrust.org/Record/008405623")</f>
        <v>http://catalog.hathitrust.org/Record/008405623</v>
      </c>
      <c r="J5169" s="1">
        <v>1810</v>
      </c>
      <c r="K5169" t="s">
        <v>8642</v>
      </c>
      <c r="L5169" t="s">
        <v>8643</v>
      </c>
    </row>
    <row r="5170" spans="1:12">
      <c r="A5170" t="s">
        <v>8646</v>
      </c>
      <c r="B5170" s="1" t="s">
        <v>8647</v>
      </c>
      <c r="F5170">
        <v>1</v>
      </c>
      <c r="G5170" t="str">
        <f>HYPERLINK("http://babel.hathitrust.org/cgi/pt?id=nnc1.1002376792")</f>
        <v>http://babel.hathitrust.org/cgi/pt?id=nnc1.1002376792</v>
      </c>
      <c r="H5170" t="str">
        <f>HYPERLINK("http://catalog.hathitrust.org/Record/008405626")</f>
        <v>http://catalog.hathitrust.org/Record/008405626</v>
      </c>
      <c r="J5170" s="1">
        <v>1852</v>
      </c>
      <c r="K5170" t="s">
        <v>8583</v>
      </c>
    </row>
    <row r="5171" spans="1:12">
      <c r="A5171" t="s">
        <v>8584</v>
      </c>
      <c r="B5171" s="1" t="s">
        <v>8585</v>
      </c>
      <c r="F5171">
        <v>1</v>
      </c>
      <c r="G5171" t="str">
        <f>HYPERLINK("http://babel.hathitrust.org/cgi/pt?id=nnc1.1002377195")</f>
        <v>http://babel.hathitrust.org/cgi/pt?id=nnc1.1002377195</v>
      </c>
      <c r="H5171" t="str">
        <f>HYPERLINK("http://catalog.hathitrust.org/Record/008405629")</f>
        <v>http://catalog.hathitrust.org/Record/008405629</v>
      </c>
      <c r="J5171" s="1">
        <v>1901</v>
      </c>
      <c r="K5171" t="s">
        <v>8586</v>
      </c>
      <c r="L5171" t="s">
        <v>8587</v>
      </c>
    </row>
    <row r="5172" spans="1:12">
      <c r="A5172" t="s">
        <v>8588</v>
      </c>
      <c r="B5172" s="1" t="s">
        <v>8589</v>
      </c>
      <c r="E5172">
        <v>1</v>
      </c>
      <c r="G5172" t="str">
        <f>HYPERLINK("http://babel.hathitrust.org/cgi/pt?id=nnc1.1002377306")</f>
        <v>http://babel.hathitrust.org/cgi/pt?id=nnc1.1002377306</v>
      </c>
      <c r="H5172" t="str">
        <f>HYPERLINK("http://catalog.hathitrust.org/Record/008405631")</f>
        <v>http://catalog.hathitrust.org/Record/008405631</v>
      </c>
      <c r="J5172" s="1">
        <v>1854</v>
      </c>
      <c r="K5172" t="s">
        <v>8590</v>
      </c>
      <c r="L5172" t="s">
        <v>20960</v>
      </c>
    </row>
    <row r="5173" spans="1:12">
      <c r="A5173" t="s">
        <v>8591</v>
      </c>
      <c r="B5173" s="1" t="s">
        <v>8592</v>
      </c>
      <c r="C5173">
        <v>1</v>
      </c>
      <c r="E5173">
        <v>1</v>
      </c>
      <c r="G5173" t="str">
        <f>HYPERLINK("http://babel.hathitrust.org/cgi/pt?id=nnc1.1002383080")</f>
        <v>http://babel.hathitrust.org/cgi/pt?id=nnc1.1002383080</v>
      </c>
      <c r="H5173" t="str">
        <f>HYPERLINK("http://catalog.hathitrust.org/Record/008405654")</f>
        <v>http://catalog.hathitrust.org/Record/008405654</v>
      </c>
      <c r="J5173" s="1">
        <v>1812</v>
      </c>
      <c r="K5173" t="s">
        <v>8593</v>
      </c>
      <c r="L5173" t="s">
        <v>16265</v>
      </c>
    </row>
    <row r="5174" spans="1:12">
      <c r="A5174" t="s">
        <v>8594</v>
      </c>
      <c r="B5174" s="1" t="s">
        <v>8595</v>
      </c>
      <c r="E5174">
        <v>1</v>
      </c>
      <c r="F5174">
        <v>1</v>
      </c>
      <c r="G5174" t="str">
        <f>HYPERLINK("http://babel.hathitrust.org/cgi/pt?id=nnc1.1002383330")</f>
        <v>http://babel.hathitrust.org/cgi/pt?id=nnc1.1002383330</v>
      </c>
      <c r="H5174" t="str">
        <f>HYPERLINK("http://catalog.hathitrust.org/Record/008405657")</f>
        <v>http://catalog.hathitrust.org/Record/008405657</v>
      </c>
      <c r="J5174" s="1">
        <v>1906</v>
      </c>
      <c r="K5174" t="s">
        <v>8596</v>
      </c>
      <c r="L5174" t="s">
        <v>18982</v>
      </c>
    </row>
    <row r="5175" spans="1:12">
      <c r="A5175" t="s">
        <v>8597</v>
      </c>
      <c r="B5175" s="1" t="s">
        <v>8598</v>
      </c>
      <c r="F5175">
        <v>1</v>
      </c>
      <c r="G5175" t="str">
        <f>HYPERLINK("http://babel.hathitrust.org/cgi/pt?id=nnc1.1002383454")</f>
        <v>http://babel.hathitrust.org/cgi/pt?id=nnc1.1002383454</v>
      </c>
      <c r="H5175" t="str">
        <f>HYPERLINK("http://catalog.hathitrust.org/Record/008405658")</f>
        <v>http://catalog.hathitrust.org/Record/008405658</v>
      </c>
      <c r="J5175" s="1">
        <v>1913</v>
      </c>
      <c r="K5175" t="s">
        <v>8599</v>
      </c>
      <c r="L5175" t="s">
        <v>11390</v>
      </c>
    </row>
    <row r="5176" spans="1:12">
      <c r="A5176" t="s">
        <v>8600</v>
      </c>
      <c r="B5176" s="1" t="s">
        <v>8601</v>
      </c>
      <c r="E5176">
        <v>1</v>
      </c>
      <c r="G5176" t="str">
        <f>HYPERLINK("http://babel.hathitrust.org/cgi/pt?id=nnc1.1002391198")</f>
        <v>http://babel.hathitrust.org/cgi/pt?id=nnc1.1002391198</v>
      </c>
      <c r="H5176" t="str">
        <f>HYPERLINK("http://catalog.hathitrust.org/Record/008405695")</f>
        <v>http://catalog.hathitrust.org/Record/008405695</v>
      </c>
      <c r="J5176" s="1">
        <v>1872</v>
      </c>
      <c r="K5176" t="s">
        <v>8602</v>
      </c>
      <c r="L5176" t="s">
        <v>19404</v>
      </c>
    </row>
    <row r="5177" spans="1:12">
      <c r="A5177" t="s">
        <v>8603</v>
      </c>
      <c r="B5177" s="1" t="s">
        <v>8604</v>
      </c>
      <c r="F5177">
        <v>1</v>
      </c>
      <c r="G5177" t="str">
        <f>HYPERLINK("http://babel.hathitrust.org/cgi/pt?id=nnc1.1002399601")</f>
        <v>http://babel.hathitrust.org/cgi/pt?id=nnc1.1002399601</v>
      </c>
      <c r="H5177" t="str">
        <f>HYPERLINK("http://catalog.hathitrust.org/Record/008405715")</f>
        <v>http://catalog.hathitrust.org/Record/008405715</v>
      </c>
      <c r="J5177" s="1">
        <v>1899</v>
      </c>
      <c r="K5177" t="s">
        <v>8605</v>
      </c>
      <c r="L5177" t="s">
        <v>8606</v>
      </c>
    </row>
    <row r="5178" spans="1:12" ht="15">
      <c r="A5178" t="s">
        <v>8607</v>
      </c>
      <c r="B5178" s="1" t="s">
        <v>8608</v>
      </c>
      <c r="F5178">
        <v>1</v>
      </c>
      <c r="G5178" t="str">
        <f>HYPERLINK("http://babel.hathitrust.org/cgi/pt?id=nnc1.50265244")</f>
        <v>http://babel.hathitrust.org/cgi/pt?id=nnc1.50265244</v>
      </c>
      <c r="H5178" t="str">
        <f>HYPERLINK("http://catalog.hathitrust.org/Record/008410324")</f>
        <v>http://catalog.hathitrust.org/Record/008410324</v>
      </c>
      <c r="J5178" s="1">
        <v>1913</v>
      </c>
      <c r="K5178" t="s">
        <v>8609</v>
      </c>
      <c r="L5178" t="s">
        <v>8610</v>
      </c>
    </row>
    <row r="5179" spans="1:12">
      <c r="A5179" t="s">
        <v>8611</v>
      </c>
      <c r="B5179" s="1" t="s">
        <v>8612</v>
      </c>
      <c r="C5179">
        <v>1</v>
      </c>
      <c r="G5179" t="str">
        <f>HYPERLINK("http://babel.hathitrust.org/cgi/pt?id=nnc1.cr58236821")</f>
        <v>http://babel.hathitrust.org/cgi/pt?id=nnc1.cr58236821</v>
      </c>
      <c r="H5179" t="str">
        <f>HYPERLINK("http://catalog.hathitrust.org/Record/008413095")</f>
        <v>http://catalog.hathitrust.org/Record/008413095</v>
      </c>
      <c r="J5179" s="1">
        <v>1737</v>
      </c>
      <c r="K5179" t="s">
        <v>8613</v>
      </c>
      <c r="L5179" t="s">
        <v>20312</v>
      </c>
    </row>
    <row r="5180" spans="1:12">
      <c r="A5180" t="s">
        <v>8614</v>
      </c>
      <c r="B5180" s="1" t="s">
        <v>8615</v>
      </c>
      <c r="D5180">
        <v>1</v>
      </c>
      <c r="G5180" t="str">
        <f>HYPERLINK("http://babel.hathitrust.org/cgi/pt?id=nnc1.cr58237992")</f>
        <v>http://babel.hathitrust.org/cgi/pt?id=nnc1.cr58237992</v>
      </c>
      <c r="H5180" t="str">
        <f>HYPERLINK("http://catalog.hathitrust.org/Record/008413103")</f>
        <v>http://catalog.hathitrust.org/Record/008413103</v>
      </c>
      <c r="J5180" s="1">
        <v>1788</v>
      </c>
      <c r="K5180" t="s">
        <v>8538</v>
      </c>
      <c r="L5180" t="s">
        <v>20275</v>
      </c>
    </row>
    <row r="5181" spans="1:12">
      <c r="A5181" t="s">
        <v>8539</v>
      </c>
      <c r="B5181" s="1" t="s">
        <v>8540</v>
      </c>
      <c r="E5181">
        <v>1</v>
      </c>
      <c r="G5181" t="str">
        <f>HYPERLINK("http://babel.hathitrust.org/cgi/pt?id=nnc1.cr61015008")</f>
        <v>http://babel.hathitrust.org/cgi/pt?id=nnc1.cr61015008</v>
      </c>
      <c r="H5181" t="str">
        <f>HYPERLINK("http://catalog.hathitrust.org/Record/008417307")</f>
        <v>http://catalog.hathitrust.org/Record/008417307</v>
      </c>
      <c r="J5181" s="1">
        <v>1921</v>
      </c>
      <c r="K5181" t="s">
        <v>8541</v>
      </c>
      <c r="L5181" t="s">
        <v>8542</v>
      </c>
    </row>
    <row r="5182" spans="1:12">
      <c r="A5182" t="s">
        <v>8543</v>
      </c>
      <c r="B5182" s="1" t="s">
        <v>8544</v>
      </c>
      <c r="E5182">
        <v>1</v>
      </c>
      <c r="G5182" t="str">
        <f>HYPERLINK("http://babel.hathitrust.org/cgi/pt?id=hvd.hn1s64")</f>
        <v>http://babel.hathitrust.org/cgi/pt?id=hvd.hn1s64</v>
      </c>
      <c r="H5182" t="str">
        <f>HYPERLINK("http://catalog.hathitrust.org/Record/008418870")</f>
        <v>http://catalog.hathitrust.org/Record/008418870</v>
      </c>
      <c r="J5182" s="1">
        <v>1860</v>
      </c>
      <c r="K5182" t="s">
        <v>8545</v>
      </c>
      <c r="L5182" t="s">
        <v>8546</v>
      </c>
    </row>
    <row r="5183" spans="1:12">
      <c r="A5183" t="s">
        <v>8547</v>
      </c>
      <c r="B5183" s="1" t="s">
        <v>8548</v>
      </c>
      <c r="F5183">
        <v>1</v>
      </c>
      <c r="G5183" t="str">
        <f>HYPERLINK("http://babel.hathitrust.org/cgi/pt?id=nnc1.cu53335490")</f>
        <v>http://babel.hathitrust.org/cgi/pt?id=nnc1.cu53335490</v>
      </c>
      <c r="H5183" t="str">
        <f>HYPERLINK("http://catalog.hathitrust.org/Record/008426836")</f>
        <v>http://catalog.hathitrust.org/Record/008426836</v>
      </c>
      <c r="J5183" s="1">
        <v>1832</v>
      </c>
      <c r="K5183" t="s">
        <v>8549</v>
      </c>
      <c r="L5183" t="s">
        <v>8550</v>
      </c>
    </row>
    <row r="5184" spans="1:12">
      <c r="A5184" t="s">
        <v>8551</v>
      </c>
      <c r="B5184" s="1" t="s">
        <v>8552</v>
      </c>
      <c r="E5184">
        <v>1</v>
      </c>
      <c r="G5184" t="str">
        <f>HYPERLINK("http://babel.hathitrust.org/cgi/pt?id=nnc1.cu54876052")</f>
        <v>http://babel.hathitrust.org/cgi/pt?id=nnc1.cu54876052</v>
      </c>
      <c r="H5184" t="str">
        <f>HYPERLINK("http://catalog.hathitrust.org/Record/008428303")</f>
        <v>http://catalog.hathitrust.org/Record/008428303</v>
      </c>
      <c r="J5184" s="1">
        <v>1899</v>
      </c>
      <c r="K5184" t="s">
        <v>8553</v>
      </c>
      <c r="L5184" t="s">
        <v>20981</v>
      </c>
    </row>
    <row r="5185" spans="1:12">
      <c r="A5185" t="s">
        <v>8554</v>
      </c>
      <c r="B5185" s="1" t="s">
        <v>8555</v>
      </c>
      <c r="F5185">
        <v>1</v>
      </c>
      <c r="G5185" t="str">
        <f>HYPERLINK("http://babel.hathitrust.org/cgi/pt?id=loc.ark:/13960/t23b6wv7b")</f>
        <v>http://babel.hathitrust.org/cgi/pt?id=loc.ark:/13960/t23b6wv7b</v>
      </c>
      <c r="H5185" t="str">
        <f>HYPERLINK("http://catalog.hathitrust.org/Record/008430597")</f>
        <v>http://catalog.hathitrust.org/Record/008430597</v>
      </c>
      <c r="J5185" s="1">
        <v>1913</v>
      </c>
      <c r="K5185" t="s">
        <v>8881</v>
      </c>
      <c r="L5185" t="s">
        <v>11450</v>
      </c>
    </row>
    <row r="5186" spans="1:12">
      <c r="A5186" t="s">
        <v>8556</v>
      </c>
      <c r="B5186" s="1" t="s">
        <v>8555</v>
      </c>
      <c r="F5186">
        <v>1</v>
      </c>
      <c r="G5186" t="str">
        <f>HYPERLINK("http://babel.hathitrust.org/cgi/pt?id=nnc1.cu56083394")</f>
        <v>http://babel.hathitrust.org/cgi/pt?id=nnc1.cu56083394</v>
      </c>
      <c r="H5186" t="str">
        <f>HYPERLINK("http://catalog.hathitrust.org/Record/008430597")</f>
        <v>http://catalog.hathitrust.org/Record/008430597</v>
      </c>
      <c r="J5186" s="1">
        <v>1913</v>
      </c>
      <c r="K5186" t="s">
        <v>8881</v>
      </c>
      <c r="L5186" t="s">
        <v>11450</v>
      </c>
    </row>
    <row r="5187" spans="1:12">
      <c r="A5187" t="s">
        <v>8557</v>
      </c>
      <c r="B5187" s="1" t="s">
        <v>8558</v>
      </c>
      <c r="F5187">
        <v>1</v>
      </c>
      <c r="G5187" t="str">
        <f>HYPERLINK("http://babel.hathitrust.org/cgi/pt?id=nnc1.cu58249923")</f>
        <v>http://babel.hathitrust.org/cgi/pt?id=nnc1.cu58249923</v>
      </c>
      <c r="H5187" t="str">
        <f>HYPERLINK("http://catalog.hathitrust.org/Record/008434031")</f>
        <v>http://catalog.hathitrust.org/Record/008434031</v>
      </c>
      <c r="J5187" s="1">
        <v>1861</v>
      </c>
      <c r="K5187" t="s">
        <v>8559</v>
      </c>
      <c r="L5187" t="s">
        <v>16779</v>
      </c>
    </row>
    <row r="5188" spans="1:12">
      <c r="A5188" t="s">
        <v>8560</v>
      </c>
      <c r="B5188" s="1" t="s">
        <v>8561</v>
      </c>
      <c r="F5188">
        <v>1</v>
      </c>
      <c r="G5188" t="str">
        <f>HYPERLINK("http://babel.hathitrust.org/cgi/pt?id=nnc1.cu58255346")</f>
        <v>http://babel.hathitrust.org/cgi/pt?id=nnc1.cu58255346</v>
      </c>
      <c r="H5188" t="str">
        <f>HYPERLINK("http://catalog.hathitrust.org/Record/008434059")</f>
        <v>http://catalog.hathitrust.org/Record/008434059</v>
      </c>
      <c r="J5188" s="1">
        <v>1845</v>
      </c>
      <c r="K5188" t="s">
        <v>8562</v>
      </c>
      <c r="L5188" t="s">
        <v>15042</v>
      </c>
    </row>
    <row r="5189" spans="1:12">
      <c r="A5189" t="s">
        <v>8563</v>
      </c>
      <c r="B5189" s="1" t="s">
        <v>8564</v>
      </c>
      <c r="F5189">
        <v>1</v>
      </c>
      <c r="G5189" t="str">
        <f>HYPERLINK("http://babel.hathitrust.org/cgi/pt?id=nnc1.cu58255923")</f>
        <v>http://babel.hathitrust.org/cgi/pt?id=nnc1.cu58255923</v>
      </c>
      <c r="H5189" t="str">
        <f>HYPERLINK("http://catalog.hathitrust.org/Record/008434064")</f>
        <v>http://catalog.hathitrust.org/Record/008434064</v>
      </c>
      <c r="J5189" s="1">
        <v>1820</v>
      </c>
      <c r="K5189" t="s">
        <v>8565</v>
      </c>
      <c r="L5189" t="s">
        <v>8566</v>
      </c>
    </row>
    <row r="5190" spans="1:12">
      <c r="A5190" t="s">
        <v>8567</v>
      </c>
      <c r="B5190" s="1" t="s">
        <v>8568</v>
      </c>
      <c r="D5190">
        <v>1</v>
      </c>
      <c r="G5190" t="str">
        <f>HYPERLINK("http://babel.hathitrust.org/cgi/pt?id=nnc1.cu58265430")</f>
        <v>http://babel.hathitrust.org/cgi/pt?id=nnc1.cu58265430</v>
      </c>
      <c r="H5190" t="str">
        <f>HYPERLINK("http://catalog.hathitrust.org/Record/008434089")</f>
        <v>http://catalog.hathitrust.org/Record/008434089</v>
      </c>
      <c r="J5190" s="1">
        <v>1881</v>
      </c>
      <c r="K5190" t="s">
        <v>8569</v>
      </c>
      <c r="L5190" t="s">
        <v>18991</v>
      </c>
    </row>
    <row r="5191" spans="1:12">
      <c r="A5191" t="s">
        <v>8570</v>
      </c>
      <c r="B5191" s="1" t="s">
        <v>8571</v>
      </c>
      <c r="F5191">
        <v>1</v>
      </c>
      <c r="G5191" t="str">
        <f>HYPERLINK("http://babel.hathitrust.org/cgi/pt?id=nnc1.cu58274898")</f>
        <v>http://babel.hathitrust.org/cgi/pt?id=nnc1.cu58274898</v>
      </c>
      <c r="H5191" t="str">
        <f>HYPERLINK("http://catalog.hathitrust.org/Record/008434103")</f>
        <v>http://catalog.hathitrust.org/Record/008434103</v>
      </c>
      <c r="J5191" s="1">
        <v>1872</v>
      </c>
      <c r="K5191" t="s">
        <v>8572</v>
      </c>
      <c r="L5191" t="s">
        <v>12738</v>
      </c>
    </row>
    <row r="5192" spans="1:12">
      <c r="A5192" t="s">
        <v>8573</v>
      </c>
      <c r="B5192" s="1" t="s">
        <v>8574</v>
      </c>
      <c r="F5192">
        <v>1</v>
      </c>
      <c r="G5192" t="str">
        <f>HYPERLINK("http://babel.hathitrust.org/cgi/pt?id=nnc1.cu58396110")</f>
        <v>http://babel.hathitrust.org/cgi/pt?id=nnc1.cu58396110</v>
      </c>
      <c r="H5192" t="str">
        <f>HYPERLINK("http://catalog.hathitrust.org/Record/008434339")</f>
        <v>http://catalog.hathitrust.org/Record/008434339</v>
      </c>
      <c r="J5192" s="1">
        <v>1893</v>
      </c>
      <c r="K5192" t="s">
        <v>8575</v>
      </c>
    </row>
    <row r="5193" spans="1:12">
      <c r="A5193" t="s">
        <v>8576</v>
      </c>
      <c r="B5193" s="1" t="s">
        <v>8577</v>
      </c>
      <c r="E5193">
        <v>1</v>
      </c>
      <c r="G5193" t="str">
        <f>HYPERLINK("http://babel.hathitrust.org/cgi/pt?id=nnc1.cu58412921")</f>
        <v>http://babel.hathitrust.org/cgi/pt?id=nnc1.cu58412921</v>
      </c>
      <c r="H5193" t="str">
        <f>HYPERLINK("http://catalog.hathitrust.org/Record/008434359")</f>
        <v>http://catalog.hathitrust.org/Record/008434359</v>
      </c>
      <c r="J5193" s="1">
        <v>1872</v>
      </c>
      <c r="K5193" t="s">
        <v>13015</v>
      </c>
      <c r="L5193" t="s">
        <v>14322</v>
      </c>
    </row>
    <row r="5194" spans="1:12">
      <c r="A5194" t="s">
        <v>8578</v>
      </c>
      <c r="B5194" s="1" t="s">
        <v>8579</v>
      </c>
      <c r="E5194">
        <v>1</v>
      </c>
      <c r="F5194">
        <v>1</v>
      </c>
      <c r="G5194" t="str">
        <f>HYPERLINK("http://babel.hathitrust.org/cgi/pt?id=nnc1.cu58437290")</f>
        <v>http://babel.hathitrust.org/cgi/pt?id=nnc1.cu58437290</v>
      </c>
      <c r="H5194" t="str">
        <f>HYPERLINK("http://catalog.hathitrust.org/Record/008434374")</f>
        <v>http://catalog.hathitrust.org/Record/008434374</v>
      </c>
      <c r="J5194" s="1">
        <v>1894</v>
      </c>
      <c r="K5194" t="s">
        <v>8580</v>
      </c>
      <c r="L5194" t="s">
        <v>20297</v>
      </c>
    </row>
    <row r="5195" spans="1:12">
      <c r="A5195" t="s">
        <v>8581</v>
      </c>
      <c r="B5195" s="1" t="s">
        <v>8582</v>
      </c>
      <c r="E5195">
        <v>1</v>
      </c>
      <c r="G5195" t="str">
        <f>HYPERLINK("http://babel.hathitrust.org/cgi/pt?id=nnc1.cu58482440")</f>
        <v>http://babel.hathitrust.org/cgi/pt?id=nnc1.cu58482440</v>
      </c>
      <c r="H5195" t="str">
        <f>HYPERLINK("http://catalog.hathitrust.org/Record/008434415")</f>
        <v>http://catalog.hathitrust.org/Record/008434415</v>
      </c>
      <c r="J5195" s="1">
        <v>1879</v>
      </c>
      <c r="K5195" t="s">
        <v>8497</v>
      </c>
      <c r="L5195" t="s">
        <v>8498</v>
      </c>
    </row>
    <row r="5196" spans="1:12">
      <c r="A5196" t="s">
        <v>8499</v>
      </c>
      <c r="B5196" s="1" t="s">
        <v>8500</v>
      </c>
      <c r="F5196">
        <v>1</v>
      </c>
      <c r="G5196" t="str">
        <f>HYPERLINK("http://babel.hathitrust.org/cgi/pt?id=nnc1.cu58483640")</f>
        <v>http://babel.hathitrust.org/cgi/pt?id=nnc1.cu58483640</v>
      </c>
      <c r="H5196" t="str">
        <f>HYPERLINK("http://catalog.hathitrust.org/Record/008434416")</f>
        <v>http://catalog.hathitrust.org/Record/008434416</v>
      </c>
      <c r="J5196" s="1">
        <v>1893</v>
      </c>
      <c r="K5196" t="s">
        <v>8501</v>
      </c>
      <c r="L5196" t="s">
        <v>13209</v>
      </c>
    </row>
    <row r="5197" spans="1:12">
      <c r="A5197" t="s">
        <v>8502</v>
      </c>
      <c r="B5197" s="1" t="s">
        <v>8503</v>
      </c>
      <c r="E5197">
        <v>1</v>
      </c>
      <c r="G5197" t="str">
        <f>HYPERLINK("http://babel.hathitrust.org/cgi/pt?id=nnc1.cu58484515")</f>
        <v>http://babel.hathitrust.org/cgi/pt?id=nnc1.cu58484515</v>
      </c>
      <c r="H5197" t="str">
        <f>HYPERLINK("http://catalog.hathitrust.org/Record/008434417")</f>
        <v>http://catalog.hathitrust.org/Record/008434417</v>
      </c>
      <c r="J5197" s="1">
        <v>1892</v>
      </c>
      <c r="K5197" t="s">
        <v>8504</v>
      </c>
      <c r="L5197" t="s">
        <v>14911</v>
      </c>
    </row>
    <row r="5198" spans="1:12">
      <c r="A5198" t="s">
        <v>8505</v>
      </c>
      <c r="B5198" s="1" t="s">
        <v>8506</v>
      </c>
      <c r="F5198">
        <v>1</v>
      </c>
      <c r="G5198" t="str">
        <f>HYPERLINK("http://babel.hathitrust.org/cgi/pt?id=nnc1.cu58485317")</f>
        <v>http://babel.hathitrust.org/cgi/pt?id=nnc1.cu58485317</v>
      </c>
      <c r="H5198" t="str">
        <f>HYPERLINK("http://catalog.hathitrust.org/Record/008434418")</f>
        <v>http://catalog.hathitrust.org/Record/008434418</v>
      </c>
      <c r="J5198" s="1">
        <v>1838</v>
      </c>
      <c r="K5198" t="s">
        <v>8507</v>
      </c>
      <c r="L5198" t="s">
        <v>8508</v>
      </c>
    </row>
    <row r="5199" spans="1:12">
      <c r="A5199" t="s">
        <v>8509</v>
      </c>
      <c r="B5199" s="1" t="s">
        <v>8506</v>
      </c>
      <c r="F5199">
        <v>1</v>
      </c>
      <c r="G5199" t="str">
        <f>HYPERLINK("http://babel.hathitrust.org/cgi/pt?id=uc1.31158006134539")</f>
        <v>http://babel.hathitrust.org/cgi/pt?id=uc1.31158006134539</v>
      </c>
      <c r="H5199" t="str">
        <f>HYPERLINK("http://catalog.hathitrust.org/Record/008434418")</f>
        <v>http://catalog.hathitrust.org/Record/008434418</v>
      </c>
      <c r="J5199" s="1">
        <v>1838</v>
      </c>
      <c r="K5199" t="s">
        <v>8507</v>
      </c>
      <c r="L5199" t="s">
        <v>8508</v>
      </c>
    </row>
    <row r="5200" spans="1:12">
      <c r="A5200" t="s">
        <v>8510</v>
      </c>
      <c r="B5200" s="1" t="s">
        <v>8511</v>
      </c>
      <c r="F5200">
        <v>1</v>
      </c>
      <c r="G5200" t="str">
        <f>HYPERLINK("http://babel.hathitrust.org/cgi/pt?id=nnc1.cu58485546")</f>
        <v>http://babel.hathitrust.org/cgi/pt?id=nnc1.cu58485546</v>
      </c>
      <c r="H5200" t="str">
        <f>HYPERLINK("http://catalog.hathitrust.org/Record/008434420")</f>
        <v>http://catalog.hathitrust.org/Record/008434420</v>
      </c>
      <c r="J5200" s="1">
        <v>1845</v>
      </c>
      <c r="K5200" t="s">
        <v>8512</v>
      </c>
      <c r="L5200" t="s">
        <v>11439</v>
      </c>
    </row>
    <row r="5201" spans="1:12">
      <c r="A5201" t="s">
        <v>8513</v>
      </c>
      <c r="B5201" s="1" t="s">
        <v>8514</v>
      </c>
      <c r="F5201">
        <v>1</v>
      </c>
      <c r="G5201" t="str">
        <f>HYPERLINK("http://babel.hathitrust.org/cgi/pt?id=nnc1.cu58486011")</f>
        <v>http://babel.hathitrust.org/cgi/pt?id=nnc1.cu58486011</v>
      </c>
      <c r="H5201" t="str">
        <f>HYPERLINK("http://catalog.hathitrust.org/Record/008434421")</f>
        <v>http://catalog.hathitrust.org/Record/008434421</v>
      </c>
      <c r="J5201" s="1">
        <v>1907</v>
      </c>
      <c r="K5201" t="s">
        <v>8515</v>
      </c>
      <c r="L5201" t="s">
        <v>19565</v>
      </c>
    </row>
    <row r="5202" spans="1:12">
      <c r="A5202" t="s">
        <v>8516</v>
      </c>
      <c r="B5202" s="1" t="s">
        <v>8517</v>
      </c>
      <c r="D5202">
        <v>1</v>
      </c>
      <c r="G5202" t="str">
        <f>HYPERLINK("http://babel.hathitrust.org/cgi/pt?id=nnc1.cu58500022")</f>
        <v>http://babel.hathitrust.org/cgi/pt?id=nnc1.cu58500022</v>
      </c>
      <c r="H5202" t="str">
        <f>HYPERLINK("http://catalog.hathitrust.org/Record/008434451")</f>
        <v>http://catalog.hathitrust.org/Record/008434451</v>
      </c>
      <c r="J5202" s="1">
        <v>1882</v>
      </c>
      <c r="K5202" t="s">
        <v>8518</v>
      </c>
      <c r="L5202" t="s">
        <v>13169</v>
      </c>
    </row>
    <row r="5203" spans="1:12">
      <c r="A5203" t="s">
        <v>8519</v>
      </c>
      <c r="B5203" s="1" t="s">
        <v>8520</v>
      </c>
      <c r="D5203">
        <v>1</v>
      </c>
      <c r="G5203" t="str">
        <f>HYPERLINK("http://babel.hathitrust.org/cgi/pt?id=nnc1.cu58502629")</f>
        <v>http://babel.hathitrust.org/cgi/pt?id=nnc1.cu58502629</v>
      </c>
      <c r="H5203" t="str">
        <f>HYPERLINK("http://catalog.hathitrust.org/Record/008434468")</f>
        <v>http://catalog.hathitrust.org/Record/008434468</v>
      </c>
      <c r="J5203" s="1">
        <v>1837</v>
      </c>
      <c r="K5203" t="s">
        <v>8521</v>
      </c>
      <c r="L5203" t="s">
        <v>20043</v>
      </c>
    </row>
    <row r="5204" spans="1:12">
      <c r="A5204" t="s">
        <v>8522</v>
      </c>
      <c r="B5204" s="1" t="s">
        <v>8523</v>
      </c>
      <c r="F5204">
        <v>1</v>
      </c>
      <c r="G5204" t="str">
        <f>HYPERLINK("http://babel.hathitrust.org/cgi/pt?id=nnc1.cu58505296")</f>
        <v>http://babel.hathitrust.org/cgi/pt?id=nnc1.cu58505296</v>
      </c>
      <c r="H5204" t="str">
        <f>HYPERLINK("http://catalog.hathitrust.org/Record/008434478")</f>
        <v>http://catalog.hathitrust.org/Record/008434478</v>
      </c>
      <c r="J5204" s="1">
        <v>1897</v>
      </c>
      <c r="K5204" t="s">
        <v>8524</v>
      </c>
      <c r="L5204" t="s">
        <v>8525</v>
      </c>
    </row>
    <row r="5205" spans="1:12">
      <c r="A5205" t="s">
        <v>8526</v>
      </c>
      <c r="B5205" s="1" t="s">
        <v>8527</v>
      </c>
      <c r="F5205">
        <v>1</v>
      </c>
      <c r="G5205" t="str">
        <f>HYPERLINK("http://babel.hathitrust.org/cgi/pt?id=nnc1.cu58506446")</f>
        <v>http://babel.hathitrust.org/cgi/pt?id=nnc1.cu58506446</v>
      </c>
      <c r="H5205" t="str">
        <f>HYPERLINK("http://catalog.hathitrust.org/Record/008434484")</f>
        <v>http://catalog.hathitrust.org/Record/008434484</v>
      </c>
      <c r="J5205" s="1">
        <v>1863</v>
      </c>
      <c r="K5205" t="s">
        <v>8528</v>
      </c>
      <c r="L5205" t="s">
        <v>8529</v>
      </c>
    </row>
    <row r="5206" spans="1:12">
      <c r="A5206" t="s">
        <v>8530</v>
      </c>
      <c r="B5206" s="1" t="s">
        <v>8527</v>
      </c>
      <c r="F5206">
        <v>1</v>
      </c>
      <c r="G5206" t="str">
        <f>HYPERLINK("http://babel.hathitrust.org/cgi/pt?id=nyp.33433081988176")</f>
        <v>http://babel.hathitrust.org/cgi/pt?id=nyp.33433081988176</v>
      </c>
      <c r="H5206" t="str">
        <f>HYPERLINK("http://catalog.hathitrust.org/Record/008434484")</f>
        <v>http://catalog.hathitrust.org/Record/008434484</v>
      </c>
      <c r="J5206" s="1">
        <v>1863</v>
      </c>
      <c r="K5206" t="s">
        <v>8528</v>
      </c>
      <c r="L5206" t="s">
        <v>8529</v>
      </c>
    </row>
    <row r="5207" spans="1:12">
      <c r="A5207" t="s">
        <v>8531</v>
      </c>
      <c r="B5207" s="1" t="s">
        <v>8532</v>
      </c>
      <c r="F5207">
        <v>1</v>
      </c>
      <c r="G5207" t="str">
        <f>HYPERLINK("http://babel.hathitrust.org/cgi/pt?id=nyp.33433082512470")</f>
        <v>http://babel.hathitrust.org/cgi/pt?id=nyp.33433082512470</v>
      </c>
      <c r="H5207" t="str">
        <f>HYPERLINK("http://catalog.hathitrust.org/Record/008434506")</f>
        <v>http://catalog.hathitrust.org/Record/008434506</v>
      </c>
      <c r="J5207" s="1">
        <v>1895</v>
      </c>
      <c r="K5207" t="s">
        <v>8533</v>
      </c>
      <c r="L5207" t="s">
        <v>16449</v>
      </c>
    </row>
    <row r="5208" spans="1:12">
      <c r="A5208" t="s">
        <v>8534</v>
      </c>
      <c r="B5208" s="1" t="s">
        <v>8535</v>
      </c>
      <c r="F5208">
        <v>1</v>
      </c>
      <c r="G5208" t="str">
        <f>HYPERLINK("http://babel.hathitrust.org/cgi/pt?id=nnc1.cu58512888")</f>
        <v>http://babel.hathitrust.org/cgi/pt?id=nnc1.cu58512888</v>
      </c>
      <c r="H5208" t="str">
        <f>HYPERLINK("http://catalog.hathitrust.org/Record/008434513")</f>
        <v>http://catalog.hathitrust.org/Record/008434513</v>
      </c>
      <c r="J5208" s="1">
        <v>1874</v>
      </c>
      <c r="K5208" t="s">
        <v>12219</v>
      </c>
      <c r="L5208" t="s">
        <v>12718</v>
      </c>
    </row>
    <row r="5209" spans="1:12">
      <c r="A5209" t="s">
        <v>8536</v>
      </c>
      <c r="B5209" s="1" t="s">
        <v>8537</v>
      </c>
      <c r="E5209">
        <v>1</v>
      </c>
      <c r="F5209">
        <v>1</v>
      </c>
      <c r="G5209" t="str">
        <f>HYPERLINK("http://babel.hathitrust.org/cgi/pt?id=nnc1.cu58512900")</f>
        <v>http://babel.hathitrust.org/cgi/pt?id=nnc1.cu58512900</v>
      </c>
      <c r="H5209" t="str">
        <f>HYPERLINK("http://catalog.hathitrust.org/Record/008434514")</f>
        <v>http://catalog.hathitrust.org/Record/008434514</v>
      </c>
      <c r="J5209" s="1">
        <v>1825</v>
      </c>
      <c r="K5209" t="s">
        <v>8452</v>
      </c>
      <c r="L5209" t="s">
        <v>8453</v>
      </c>
    </row>
    <row r="5210" spans="1:12">
      <c r="A5210" t="s">
        <v>8454</v>
      </c>
      <c r="B5210" s="1" t="s">
        <v>8455</v>
      </c>
      <c r="F5210">
        <v>1</v>
      </c>
      <c r="G5210" t="str">
        <f>HYPERLINK("http://babel.hathitrust.org/cgi/pt?id=nnc1.cu58934065")</f>
        <v>http://babel.hathitrust.org/cgi/pt?id=nnc1.cu58934065</v>
      </c>
      <c r="H5210" t="str">
        <f>HYPERLINK("http://catalog.hathitrust.org/Record/008435376")</f>
        <v>http://catalog.hathitrust.org/Record/008435376</v>
      </c>
      <c r="J5210" s="1">
        <v>1918</v>
      </c>
      <c r="K5210" t="s">
        <v>8456</v>
      </c>
      <c r="L5210" t="s">
        <v>8457</v>
      </c>
    </row>
    <row r="5211" spans="1:12">
      <c r="A5211" t="s">
        <v>8458</v>
      </c>
      <c r="B5211" s="1" t="s">
        <v>8459</v>
      </c>
      <c r="F5211">
        <v>1</v>
      </c>
      <c r="G5211" t="str">
        <f>HYPERLINK("http://babel.hathitrust.org/cgi/pt?id=nnc1.cu58976523")</f>
        <v>http://babel.hathitrust.org/cgi/pt?id=nnc1.cu58976523</v>
      </c>
      <c r="H5211" t="str">
        <f>HYPERLINK("http://catalog.hathitrust.org/Record/008435879")</f>
        <v>http://catalog.hathitrust.org/Record/008435879</v>
      </c>
      <c r="J5211" s="1">
        <v>1889</v>
      </c>
      <c r="K5211" t="s">
        <v>8460</v>
      </c>
      <c r="L5211" t="s">
        <v>8461</v>
      </c>
    </row>
    <row r="5212" spans="1:12">
      <c r="A5212" t="s">
        <v>8462</v>
      </c>
      <c r="B5212" s="1" t="s">
        <v>8463</v>
      </c>
      <c r="F5212">
        <v>1</v>
      </c>
      <c r="G5212" t="str">
        <f>HYPERLINK("http://babel.hathitrust.org/cgi/pt?id=nnc1.cu60787945")</f>
        <v>http://babel.hathitrust.org/cgi/pt?id=nnc1.cu60787945</v>
      </c>
      <c r="H5212" t="str">
        <f>HYPERLINK("http://catalog.hathitrust.org/Record/008437056")</f>
        <v>http://catalog.hathitrust.org/Record/008437056</v>
      </c>
      <c r="J5212" s="1">
        <v>1895</v>
      </c>
      <c r="K5212" t="s">
        <v>8464</v>
      </c>
      <c r="L5212" t="s">
        <v>8465</v>
      </c>
    </row>
    <row r="5213" spans="1:12">
      <c r="A5213" t="s">
        <v>8466</v>
      </c>
      <c r="B5213" s="1" t="s">
        <v>8467</v>
      </c>
      <c r="E5213">
        <v>1</v>
      </c>
      <c r="G5213" t="str">
        <f>HYPERLINK("http://babel.hathitrust.org/cgi/pt?id=nyp.33433076037161")</f>
        <v>http://babel.hathitrust.org/cgi/pt?id=nyp.33433076037161</v>
      </c>
      <c r="H5213" t="str">
        <f>HYPERLINK("http://catalog.hathitrust.org/Record/008438431")</f>
        <v>http://catalog.hathitrust.org/Record/008438431</v>
      </c>
      <c r="J5213" s="1">
        <v>1790</v>
      </c>
      <c r="K5213" t="s">
        <v>8468</v>
      </c>
    </row>
    <row r="5214" spans="1:12">
      <c r="A5214" t="s">
        <v>8469</v>
      </c>
      <c r="B5214" s="1" t="s">
        <v>8470</v>
      </c>
      <c r="E5214">
        <v>1</v>
      </c>
      <c r="F5214">
        <v>1</v>
      </c>
      <c r="G5214" t="str">
        <f>HYPERLINK("http://babel.hathitrust.org/cgi/pt?id=njp.32101038123947")</f>
        <v>http://babel.hathitrust.org/cgi/pt?id=njp.32101038123947</v>
      </c>
      <c r="H5214" t="str">
        <f>HYPERLINK("http://catalog.hathitrust.org/Record/008440570")</f>
        <v>http://catalog.hathitrust.org/Record/008440570</v>
      </c>
      <c r="J5214" s="1">
        <v>1887</v>
      </c>
      <c r="K5214" t="s">
        <v>8471</v>
      </c>
      <c r="L5214" t="s">
        <v>20629</v>
      </c>
    </row>
    <row r="5215" spans="1:12">
      <c r="A5215" t="s">
        <v>8472</v>
      </c>
      <c r="B5215" s="1" t="s">
        <v>8470</v>
      </c>
      <c r="F5215">
        <v>1</v>
      </c>
      <c r="G5215" t="str">
        <f>HYPERLINK("http://babel.hathitrust.org/cgi/pt?id=uc1.$b699367")</f>
        <v>http://babel.hathitrust.org/cgi/pt?id=uc1.$b699367</v>
      </c>
      <c r="H5215" t="str">
        <f>HYPERLINK("http://catalog.hathitrust.org/Record/008440570")</f>
        <v>http://catalog.hathitrust.org/Record/008440570</v>
      </c>
      <c r="J5215" s="1">
        <v>1887</v>
      </c>
      <c r="K5215" t="s">
        <v>8471</v>
      </c>
      <c r="L5215" t="s">
        <v>20629</v>
      </c>
    </row>
    <row r="5216" spans="1:12">
      <c r="A5216" t="s">
        <v>8473</v>
      </c>
      <c r="B5216" s="1" t="s">
        <v>8470</v>
      </c>
      <c r="F5216">
        <v>1</v>
      </c>
      <c r="G5216" t="str">
        <f>HYPERLINK("http://babel.hathitrust.org/cgi/pt?id=uc2.ark:/13960/t2m61k10v")</f>
        <v>http://babel.hathitrust.org/cgi/pt?id=uc2.ark:/13960/t2m61k10v</v>
      </c>
      <c r="H5216" t="str">
        <f>HYPERLINK("http://catalog.hathitrust.org/Record/008440570")</f>
        <v>http://catalog.hathitrust.org/Record/008440570</v>
      </c>
      <c r="J5216" s="1">
        <v>1887</v>
      </c>
      <c r="K5216" t="s">
        <v>8471</v>
      </c>
      <c r="L5216" t="s">
        <v>20629</v>
      </c>
    </row>
    <row r="5217" spans="1:12">
      <c r="A5217" t="s">
        <v>8474</v>
      </c>
      <c r="B5217" s="1" t="s">
        <v>8475</v>
      </c>
      <c r="F5217">
        <v>1</v>
      </c>
      <c r="G5217" t="str">
        <f>HYPERLINK("http://babel.hathitrust.org/cgi/pt?id=uc1.$b699725")</f>
        <v>http://babel.hathitrust.org/cgi/pt?id=uc1.$b699725</v>
      </c>
      <c r="H5217" t="str">
        <f>HYPERLINK("http://catalog.hathitrust.org/Record/008440742")</f>
        <v>http://catalog.hathitrust.org/Record/008440742</v>
      </c>
      <c r="J5217" s="1">
        <v>1919</v>
      </c>
      <c r="K5217" t="s">
        <v>8476</v>
      </c>
      <c r="L5217" t="s">
        <v>13032</v>
      </c>
    </row>
    <row r="5218" spans="1:12">
      <c r="A5218" t="s">
        <v>8477</v>
      </c>
      <c r="B5218" s="1" t="s">
        <v>8475</v>
      </c>
      <c r="F5218">
        <v>1</v>
      </c>
      <c r="G5218" t="str">
        <f>HYPERLINK("http://babel.hathitrust.org/cgi/pt?id=uc2.ark:/13960/t7br8tp7q")</f>
        <v>http://babel.hathitrust.org/cgi/pt?id=uc2.ark:/13960/t7br8tp7q</v>
      </c>
      <c r="H5218" t="str">
        <f>HYPERLINK("http://catalog.hathitrust.org/Record/008440742")</f>
        <v>http://catalog.hathitrust.org/Record/008440742</v>
      </c>
      <c r="J5218" s="1">
        <v>1919</v>
      </c>
      <c r="K5218" t="s">
        <v>8476</v>
      </c>
      <c r="L5218" t="s">
        <v>13032</v>
      </c>
    </row>
    <row r="5219" spans="1:12">
      <c r="A5219" t="s">
        <v>8478</v>
      </c>
      <c r="B5219" s="1" t="s">
        <v>8479</v>
      </c>
      <c r="F5219">
        <v>1</v>
      </c>
      <c r="G5219" t="str">
        <f>HYPERLINK("http://babel.hathitrust.org/cgi/pt?id=uc1.$b700557")</f>
        <v>http://babel.hathitrust.org/cgi/pt?id=uc1.$b700557</v>
      </c>
      <c r="H5219" t="str">
        <f>HYPERLINK("http://catalog.hathitrust.org/Record/008440977")</f>
        <v>http://catalog.hathitrust.org/Record/008440977</v>
      </c>
      <c r="J5219" s="1">
        <v>1919</v>
      </c>
      <c r="K5219" t="s">
        <v>8480</v>
      </c>
      <c r="L5219" t="s">
        <v>8481</v>
      </c>
    </row>
    <row r="5220" spans="1:12">
      <c r="A5220" t="s">
        <v>8482</v>
      </c>
      <c r="B5220" s="1" t="s">
        <v>8479</v>
      </c>
      <c r="F5220">
        <v>1</v>
      </c>
      <c r="G5220" t="str">
        <f>HYPERLINK("http://babel.hathitrust.org/cgi/pt?id=uc2.ark:/13960/t18k7b16j")</f>
        <v>http://babel.hathitrust.org/cgi/pt?id=uc2.ark:/13960/t18k7b16j</v>
      </c>
      <c r="H5220" t="str">
        <f>HYPERLINK("http://catalog.hathitrust.org/Record/008440977")</f>
        <v>http://catalog.hathitrust.org/Record/008440977</v>
      </c>
      <c r="J5220" s="1">
        <v>1919</v>
      </c>
      <c r="K5220" t="s">
        <v>8480</v>
      </c>
      <c r="L5220" t="s">
        <v>8481</v>
      </c>
    </row>
    <row r="5221" spans="1:12">
      <c r="A5221" t="s">
        <v>8483</v>
      </c>
      <c r="B5221" s="1" t="s">
        <v>8484</v>
      </c>
      <c r="F5221">
        <v>1</v>
      </c>
      <c r="G5221" t="str">
        <f>HYPERLINK("http://babel.hathitrust.org/cgi/pt?id=uc1.$b659387")</f>
        <v>http://babel.hathitrust.org/cgi/pt?id=uc1.$b659387</v>
      </c>
      <c r="H5221" t="str">
        <f>HYPERLINK("http://catalog.hathitrust.org/Record/008462955")</f>
        <v>http://catalog.hathitrust.org/Record/008462955</v>
      </c>
      <c r="J5221" s="1">
        <v>1869</v>
      </c>
      <c r="K5221" t="s">
        <v>8485</v>
      </c>
    </row>
    <row r="5222" spans="1:12">
      <c r="A5222" t="s">
        <v>8486</v>
      </c>
      <c r="B5222" s="1" t="s">
        <v>8487</v>
      </c>
      <c r="D5222">
        <v>1</v>
      </c>
      <c r="G5222" t="str">
        <f>HYPERLINK("http://babel.hathitrust.org/cgi/pt?id=uc1.$b661479")</f>
        <v>http://babel.hathitrust.org/cgi/pt?id=uc1.$b661479</v>
      </c>
      <c r="H5222" t="str">
        <f>HYPERLINK("http://catalog.hathitrust.org/Record/008462976")</f>
        <v>http://catalog.hathitrust.org/Record/008462976</v>
      </c>
      <c r="J5222" s="1">
        <v>1901</v>
      </c>
      <c r="K5222" t="s">
        <v>8488</v>
      </c>
      <c r="L5222" t="s">
        <v>19783</v>
      </c>
    </row>
    <row r="5223" spans="1:12">
      <c r="A5223" t="s">
        <v>8489</v>
      </c>
      <c r="B5223" s="1" t="s">
        <v>8490</v>
      </c>
      <c r="E5223">
        <v>1</v>
      </c>
      <c r="G5223" t="str">
        <f>HYPERLINK("http://babel.hathitrust.org/cgi/pt?id=uc1.$b662299")</f>
        <v>http://babel.hathitrust.org/cgi/pt?id=uc1.$b662299</v>
      </c>
      <c r="H5223" t="str">
        <f>HYPERLINK("http://catalog.hathitrust.org/Record/008463050")</f>
        <v>http://catalog.hathitrust.org/Record/008463050</v>
      </c>
      <c r="J5223" s="1">
        <v>1910</v>
      </c>
      <c r="K5223" t="s">
        <v>8491</v>
      </c>
      <c r="L5223" t="s">
        <v>20976</v>
      </c>
    </row>
    <row r="5224" spans="1:12">
      <c r="A5224" t="s">
        <v>8492</v>
      </c>
      <c r="B5224" s="1" t="s">
        <v>8493</v>
      </c>
      <c r="D5224">
        <v>1</v>
      </c>
      <c r="G5224" t="str">
        <f>HYPERLINK("http://babel.hathitrust.org/cgi/pt?id=nyp.33433001046709")</f>
        <v>http://babel.hathitrust.org/cgi/pt?id=nyp.33433001046709</v>
      </c>
      <c r="H5224" t="str">
        <f>HYPERLINK("http://catalog.hathitrust.org/Record/008465821")</f>
        <v>http://catalog.hathitrust.org/Record/008465821</v>
      </c>
      <c r="J5224" s="1">
        <v>1818</v>
      </c>
      <c r="K5224" t="s">
        <v>8494</v>
      </c>
      <c r="L5224" t="s">
        <v>20043</v>
      </c>
    </row>
    <row r="5225" spans="1:12">
      <c r="A5225" t="s">
        <v>8495</v>
      </c>
      <c r="B5225" s="1" t="s">
        <v>8496</v>
      </c>
      <c r="F5225">
        <v>1</v>
      </c>
      <c r="G5225" t="str">
        <f>HYPERLINK("http://babel.hathitrust.org/cgi/pt?id=nyp.33433069253064")</f>
        <v>http://babel.hathitrust.org/cgi/pt?id=nyp.33433069253064</v>
      </c>
      <c r="H5225" t="str">
        <f>HYPERLINK("http://catalog.hathitrust.org/Record/008522525")</f>
        <v>http://catalog.hathitrust.org/Record/008522525</v>
      </c>
      <c r="J5225" s="1">
        <v>1921</v>
      </c>
      <c r="K5225" t="s">
        <v>8408</v>
      </c>
      <c r="L5225" t="s">
        <v>21025</v>
      </c>
    </row>
    <row r="5226" spans="1:12">
      <c r="A5226" t="s">
        <v>8409</v>
      </c>
      <c r="B5226" s="1" t="s">
        <v>8496</v>
      </c>
      <c r="F5226">
        <v>1</v>
      </c>
      <c r="G5226" t="str">
        <f>HYPERLINK("http://babel.hathitrust.org/cgi/pt?id=uc1.$b633826")</f>
        <v>http://babel.hathitrust.org/cgi/pt?id=uc1.$b633826</v>
      </c>
      <c r="H5226" t="str">
        <f>HYPERLINK("http://catalog.hathitrust.org/Record/008522525")</f>
        <v>http://catalog.hathitrust.org/Record/008522525</v>
      </c>
      <c r="J5226" s="1">
        <v>1921</v>
      </c>
      <c r="K5226" t="s">
        <v>8408</v>
      </c>
      <c r="L5226" t="s">
        <v>21025</v>
      </c>
    </row>
    <row r="5227" spans="1:12">
      <c r="A5227" t="s">
        <v>8410</v>
      </c>
      <c r="B5227" s="1" t="s">
        <v>8496</v>
      </c>
      <c r="F5227">
        <v>1</v>
      </c>
      <c r="G5227" t="str">
        <f>HYPERLINK("http://babel.hathitrust.org/cgi/pt?id=uc2.ark:/13960/t9m32tx8j")</f>
        <v>http://babel.hathitrust.org/cgi/pt?id=uc2.ark:/13960/t9m32tx8j</v>
      </c>
      <c r="H5227" t="str">
        <f>HYPERLINK("http://catalog.hathitrust.org/Record/008522525")</f>
        <v>http://catalog.hathitrust.org/Record/008522525</v>
      </c>
      <c r="J5227" s="1">
        <v>1921</v>
      </c>
      <c r="K5227" t="s">
        <v>8408</v>
      </c>
      <c r="L5227" t="s">
        <v>21025</v>
      </c>
    </row>
    <row r="5228" spans="1:12">
      <c r="A5228" t="s">
        <v>8411</v>
      </c>
      <c r="B5228" s="1" t="s">
        <v>8412</v>
      </c>
      <c r="F5228">
        <v>1</v>
      </c>
      <c r="G5228" t="str">
        <f>HYPERLINK("http://babel.hathitrust.org/cgi/pt?id=nyp.33433069253411")</f>
        <v>http://babel.hathitrust.org/cgi/pt?id=nyp.33433069253411</v>
      </c>
      <c r="H5228" t="str">
        <f>HYPERLINK("http://catalog.hathitrust.org/Record/008546650")</f>
        <v>http://catalog.hathitrust.org/Record/008546650</v>
      </c>
      <c r="J5228" s="1">
        <v>1809</v>
      </c>
      <c r="K5228" t="s">
        <v>8413</v>
      </c>
      <c r="L5228" t="s">
        <v>13356</v>
      </c>
    </row>
    <row r="5229" spans="1:12">
      <c r="A5229" t="s">
        <v>8414</v>
      </c>
      <c r="B5229" s="1" t="s">
        <v>8412</v>
      </c>
      <c r="F5229">
        <v>1</v>
      </c>
      <c r="G5229" t="str">
        <f>HYPERLINK("http://babel.hathitrust.org/cgi/pt?id=uc1.$b627048")</f>
        <v>http://babel.hathitrust.org/cgi/pt?id=uc1.$b627048</v>
      </c>
      <c r="H5229" t="str">
        <f>HYPERLINK("http://catalog.hathitrust.org/Record/008546650")</f>
        <v>http://catalog.hathitrust.org/Record/008546650</v>
      </c>
      <c r="J5229" s="1">
        <v>1809</v>
      </c>
      <c r="K5229" t="s">
        <v>8413</v>
      </c>
      <c r="L5229" t="s">
        <v>13356</v>
      </c>
    </row>
    <row r="5230" spans="1:12">
      <c r="A5230" t="s">
        <v>8415</v>
      </c>
      <c r="B5230" s="1" t="s">
        <v>8412</v>
      </c>
      <c r="F5230">
        <v>1</v>
      </c>
      <c r="G5230" t="str">
        <f>HYPERLINK("http://babel.hathitrust.org/cgi/pt?id=uc2.ark:/13960/t9q23xh4f")</f>
        <v>http://babel.hathitrust.org/cgi/pt?id=uc2.ark:/13960/t9q23xh4f</v>
      </c>
      <c r="H5230" t="str">
        <f>HYPERLINK("http://catalog.hathitrust.org/Record/008546650")</f>
        <v>http://catalog.hathitrust.org/Record/008546650</v>
      </c>
      <c r="J5230" s="1">
        <v>1809</v>
      </c>
      <c r="K5230" t="s">
        <v>8413</v>
      </c>
      <c r="L5230" t="s">
        <v>13356</v>
      </c>
    </row>
    <row r="5231" spans="1:12">
      <c r="A5231" t="s">
        <v>8416</v>
      </c>
      <c r="B5231" s="1" t="s">
        <v>8417</v>
      </c>
      <c r="F5231">
        <v>1</v>
      </c>
      <c r="G5231" t="str">
        <f>HYPERLINK("http://babel.hathitrust.org/cgi/pt?id=uc1.$b627352")</f>
        <v>http://babel.hathitrust.org/cgi/pt?id=uc1.$b627352</v>
      </c>
      <c r="H5231" t="str">
        <f>HYPERLINK("http://catalog.hathitrust.org/Record/008546705")</f>
        <v>http://catalog.hathitrust.org/Record/008546705</v>
      </c>
      <c r="J5231" s="1">
        <v>1951</v>
      </c>
      <c r="K5231" t="s">
        <v>8418</v>
      </c>
      <c r="L5231" t="s">
        <v>20948</v>
      </c>
    </row>
    <row r="5232" spans="1:12">
      <c r="A5232" t="s">
        <v>8419</v>
      </c>
      <c r="B5232" s="1" t="s">
        <v>8420</v>
      </c>
      <c r="F5232">
        <v>1</v>
      </c>
      <c r="G5232" t="str">
        <f>HYPERLINK("http://babel.hathitrust.org/cgi/pt?id=uc2.ark:/13960/t14m96f64")</f>
        <v>http://babel.hathitrust.org/cgi/pt?id=uc2.ark:/13960/t14m96f64</v>
      </c>
      <c r="H5232" t="str">
        <f>HYPERLINK("http://catalog.hathitrust.org/Record/008546956")</f>
        <v>http://catalog.hathitrust.org/Record/008546956</v>
      </c>
      <c r="J5232" s="1">
        <v>1870</v>
      </c>
      <c r="K5232" t="s">
        <v>8421</v>
      </c>
      <c r="L5232" t="s">
        <v>8422</v>
      </c>
    </row>
    <row r="5233" spans="1:12">
      <c r="A5233" t="s">
        <v>8423</v>
      </c>
      <c r="B5233" s="1" t="s">
        <v>8424</v>
      </c>
      <c r="F5233">
        <v>1</v>
      </c>
      <c r="G5233" t="str">
        <f>HYPERLINK("http://babel.hathitrust.org/cgi/pt?id=uc1.$b624075")</f>
        <v>http://babel.hathitrust.org/cgi/pt?id=uc1.$b624075</v>
      </c>
      <c r="H5233" t="str">
        <f>HYPERLINK("http://catalog.hathitrust.org/Record/008546992")</f>
        <v>http://catalog.hathitrust.org/Record/008546992</v>
      </c>
      <c r="J5233" s="1">
        <v>1847</v>
      </c>
      <c r="K5233" t="s">
        <v>8425</v>
      </c>
      <c r="L5233" t="s">
        <v>8426</v>
      </c>
    </row>
    <row r="5234" spans="1:12">
      <c r="A5234" t="s">
        <v>8427</v>
      </c>
      <c r="B5234" s="1" t="s">
        <v>8428</v>
      </c>
      <c r="F5234">
        <v>1</v>
      </c>
      <c r="G5234" t="str">
        <f>HYPERLINK("http://babel.hathitrust.org/cgi/pt?id=uc1.$b624100")</f>
        <v>http://babel.hathitrust.org/cgi/pt?id=uc1.$b624100</v>
      </c>
      <c r="H5234" t="str">
        <f>HYPERLINK("http://catalog.hathitrust.org/Record/008547011")</f>
        <v>http://catalog.hathitrust.org/Record/008547011</v>
      </c>
      <c r="J5234" s="1">
        <v>1869</v>
      </c>
      <c r="K5234" t="s">
        <v>8429</v>
      </c>
      <c r="L5234" t="s">
        <v>8430</v>
      </c>
    </row>
    <row r="5235" spans="1:12">
      <c r="A5235" t="s">
        <v>8431</v>
      </c>
      <c r="B5235" s="1" t="s">
        <v>8432</v>
      </c>
      <c r="F5235">
        <v>1</v>
      </c>
      <c r="G5235" t="str">
        <f>HYPERLINK("http://babel.hathitrust.org/cgi/pt?id=uc1.$b624108")</f>
        <v>http://babel.hathitrust.org/cgi/pt?id=uc1.$b624108</v>
      </c>
      <c r="H5235" t="str">
        <f>HYPERLINK("http://catalog.hathitrust.org/Record/008547017")</f>
        <v>http://catalog.hathitrust.org/Record/008547017</v>
      </c>
      <c r="J5235" s="1">
        <v>1874</v>
      </c>
      <c r="K5235" t="s">
        <v>8433</v>
      </c>
      <c r="L5235" t="s">
        <v>8434</v>
      </c>
    </row>
    <row r="5236" spans="1:12">
      <c r="A5236" t="s">
        <v>8435</v>
      </c>
      <c r="B5236" s="1" t="s">
        <v>8432</v>
      </c>
      <c r="F5236">
        <v>1</v>
      </c>
      <c r="G5236" t="str">
        <f>HYPERLINK("http://babel.hathitrust.org/cgi/pt?id=uc2.ark:/13960/t7mp5206t")</f>
        <v>http://babel.hathitrust.org/cgi/pt?id=uc2.ark:/13960/t7mp5206t</v>
      </c>
      <c r="H5236" t="str">
        <f>HYPERLINK("http://catalog.hathitrust.org/Record/008547017")</f>
        <v>http://catalog.hathitrust.org/Record/008547017</v>
      </c>
      <c r="J5236" s="1">
        <v>1874</v>
      </c>
      <c r="K5236" t="s">
        <v>8433</v>
      </c>
      <c r="L5236" t="s">
        <v>8434</v>
      </c>
    </row>
    <row r="5237" spans="1:12">
      <c r="A5237" t="s">
        <v>8436</v>
      </c>
      <c r="B5237" s="1" t="s">
        <v>8437</v>
      </c>
      <c r="F5237">
        <v>1</v>
      </c>
      <c r="G5237" t="str">
        <f>HYPERLINK("http://babel.hathitrust.org/cgi/pt?id=uc2.ark:/13960/t0vq2z60t")</f>
        <v>http://babel.hathitrust.org/cgi/pt?id=uc2.ark:/13960/t0vq2z60t</v>
      </c>
      <c r="H5237" t="str">
        <f>HYPERLINK("http://catalog.hathitrust.org/Record/008547020")</f>
        <v>http://catalog.hathitrust.org/Record/008547020</v>
      </c>
      <c r="J5237" s="1">
        <v>1881</v>
      </c>
      <c r="K5237" t="s">
        <v>8438</v>
      </c>
    </row>
    <row r="5238" spans="1:12">
      <c r="A5238" t="s">
        <v>8439</v>
      </c>
      <c r="B5238" s="1" t="s">
        <v>8440</v>
      </c>
      <c r="F5238">
        <v>1</v>
      </c>
      <c r="G5238" t="str">
        <f>HYPERLINK("http://babel.hathitrust.org/cgi/pt?id=uc2.ark:/13960/t8z897v3d")</f>
        <v>http://babel.hathitrust.org/cgi/pt?id=uc2.ark:/13960/t8z897v3d</v>
      </c>
      <c r="H5238" t="str">
        <f>HYPERLINK("http://catalog.hathitrust.org/Record/008547023")</f>
        <v>http://catalog.hathitrust.org/Record/008547023</v>
      </c>
      <c r="J5238" s="1">
        <v>1830</v>
      </c>
      <c r="K5238" t="s">
        <v>8441</v>
      </c>
      <c r="L5238" t="s">
        <v>8442</v>
      </c>
    </row>
    <row r="5239" spans="1:12">
      <c r="A5239" t="s">
        <v>8443</v>
      </c>
      <c r="B5239" s="1" t="s">
        <v>8444</v>
      </c>
      <c r="F5239">
        <v>1</v>
      </c>
      <c r="G5239" t="str">
        <f>HYPERLINK("http://babel.hathitrust.org/cgi/pt?id=uc1.$b624120")</f>
        <v>http://babel.hathitrust.org/cgi/pt?id=uc1.$b624120</v>
      </c>
      <c r="H5239" t="str">
        <f>HYPERLINK("http://catalog.hathitrust.org/Record/008547028")</f>
        <v>http://catalog.hathitrust.org/Record/008547028</v>
      </c>
      <c r="J5239" s="1">
        <v>1823</v>
      </c>
      <c r="K5239" t="s">
        <v>8445</v>
      </c>
      <c r="L5239" t="s">
        <v>8446</v>
      </c>
    </row>
    <row r="5240" spans="1:12">
      <c r="A5240" t="s">
        <v>8447</v>
      </c>
      <c r="B5240" s="1" t="s">
        <v>8448</v>
      </c>
      <c r="E5240">
        <v>1</v>
      </c>
      <c r="F5240">
        <v>1</v>
      </c>
      <c r="G5240" t="str">
        <f>HYPERLINK("http://babel.hathitrust.org/cgi/pt?id=uc1.$b624137")</f>
        <v>http://babel.hathitrust.org/cgi/pt?id=uc1.$b624137</v>
      </c>
      <c r="H5240" t="str">
        <f>HYPERLINK("http://catalog.hathitrust.org/Record/008547037")</f>
        <v>http://catalog.hathitrust.org/Record/008547037</v>
      </c>
      <c r="J5240" s="1">
        <v>1893</v>
      </c>
      <c r="K5240" t="s">
        <v>12224</v>
      </c>
      <c r="L5240" t="s">
        <v>12225</v>
      </c>
    </row>
    <row r="5241" spans="1:12">
      <c r="A5241" t="s">
        <v>8449</v>
      </c>
      <c r="B5241" s="1" t="s">
        <v>8448</v>
      </c>
      <c r="F5241">
        <v>1</v>
      </c>
      <c r="G5241" t="str">
        <f>HYPERLINK("http://babel.hathitrust.org/cgi/pt?id=uc2.ark:/13960/t2z31ts4m")</f>
        <v>http://babel.hathitrust.org/cgi/pt?id=uc2.ark:/13960/t2z31ts4m</v>
      </c>
      <c r="H5241" t="str">
        <f>HYPERLINK("http://catalog.hathitrust.org/Record/008547037")</f>
        <v>http://catalog.hathitrust.org/Record/008547037</v>
      </c>
      <c r="J5241" s="1">
        <v>1893</v>
      </c>
      <c r="K5241" t="s">
        <v>12224</v>
      </c>
      <c r="L5241" t="s">
        <v>12225</v>
      </c>
    </row>
    <row r="5242" spans="1:12">
      <c r="A5242" t="s">
        <v>8450</v>
      </c>
      <c r="B5242" s="1" t="s">
        <v>8451</v>
      </c>
      <c r="E5242">
        <v>1</v>
      </c>
      <c r="G5242" t="str">
        <f>HYPERLINK("http://babel.hathitrust.org/cgi/pt?id=uc2.ark:/13960/t77s7q55t")</f>
        <v>http://babel.hathitrust.org/cgi/pt?id=uc2.ark:/13960/t77s7q55t</v>
      </c>
      <c r="H5242" t="str">
        <f>HYPERLINK("http://catalog.hathitrust.org/Record/008547088")</f>
        <v>http://catalog.hathitrust.org/Record/008547088</v>
      </c>
      <c r="J5242" s="1">
        <v>1830</v>
      </c>
      <c r="K5242" t="s">
        <v>8366</v>
      </c>
      <c r="L5242" t="s">
        <v>20960</v>
      </c>
    </row>
    <row r="5243" spans="1:12">
      <c r="A5243" t="s">
        <v>8367</v>
      </c>
      <c r="B5243" s="1" t="s">
        <v>8368</v>
      </c>
      <c r="F5243">
        <v>1</v>
      </c>
      <c r="G5243" t="str">
        <f>HYPERLINK("http://babel.hathitrust.org/cgi/pt?id=uc1.$b624778")</f>
        <v>http://babel.hathitrust.org/cgi/pt?id=uc1.$b624778</v>
      </c>
      <c r="H5243" t="str">
        <f>HYPERLINK("http://catalog.hathitrust.org/Record/008547259")</f>
        <v>http://catalog.hathitrust.org/Record/008547259</v>
      </c>
      <c r="J5243" s="1">
        <v>1920</v>
      </c>
      <c r="K5243" t="s">
        <v>8369</v>
      </c>
      <c r="L5243" t="s">
        <v>8370</v>
      </c>
    </row>
    <row r="5244" spans="1:12">
      <c r="A5244" t="s">
        <v>8371</v>
      </c>
      <c r="B5244" s="1" t="s">
        <v>8368</v>
      </c>
      <c r="F5244">
        <v>1</v>
      </c>
      <c r="G5244" t="str">
        <f>HYPERLINK("http://babel.hathitrust.org/cgi/pt?id=uc2.ark:/13960/t55d8tp8n")</f>
        <v>http://babel.hathitrust.org/cgi/pt?id=uc2.ark:/13960/t55d8tp8n</v>
      </c>
      <c r="H5244" t="str">
        <f>HYPERLINK("http://catalog.hathitrust.org/Record/008547259")</f>
        <v>http://catalog.hathitrust.org/Record/008547259</v>
      </c>
      <c r="J5244" s="1">
        <v>1920</v>
      </c>
      <c r="K5244" t="s">
        <v>8369</v>
      </c>
      <c r="L5244" t="s">
        <v>8370</v>
      </c>
    </row>
    <row r="5245" spans="1:12">
      <c r="A5245" t="s">
        <v>8372</v>
      </c>
      <c r="B5245" s="1" t="s">
        <v>8373</v>
      </c>
      <c r="F5245">
        <v>1</v>
      </c>
      <c r="G5245" t="str">
        <f>HYPERLINK("http://babel.hathitrust.org/cgi/pt?id=uc1.$b624779")</f>
        <v>http://babel.hathitrust.org/cgi/pt?id=uc1.$b624779</v>
      </c>
      <c r="H5245" t="str">
        <f>HYPERLINK("http://catalog.hathitrust.org/Record/008547260")</f>
        <v>http://catalog.hathitrust.org/Record/008547260</v>
      </c>
      <c r="J5245" s="1">
        <v>1920</v>
      </c>
      <c r="K5245" t="s">
        <v>8374</v>
      </c>
      <c r="L5245" t="s">
        <v>8370</v>
      </c>
    </row>
    <row r="5246" spans="1:12">
      <c r="A5246" t="s">
        <v>8375</v>
      </c>
      <c r="B5246" s="1" t="s">
        <v>8373</v>
      </c>
      <c r="F5246">
        <v>1</v>
      </c>
      <c r="G5246" t="str">
        <f>HYPERLINK("http://babel.hathitrust.org/cgi/pt?id=uc2.ark:/13960/t39024p75")</f>
        <v>http://babel.hathitrust.org/cgi/pt?id=uc2.ark:/13960/t39024p75</v>
      </c>
      <c r="H5246" t="str">
        <f>HYPERLINK("http://catalog.hathitrust.org/Record/008547260")</f>
        <v>http://catalog.hathitrust.org/Record/008547260</v>
      </c>
      <c r="J5246" s="1">
        <v>1920</v>
      </c>
      <c r="K5246" t="s">
        <v>8374</v>
      </c>
      <c r="L5246" t="s">
        <v>8370</v>
      </c>
    </row>
    <row r="5247" spans="1:12">
      <c r="A5247" t="s">
        <v>8376</v>
      </c>
      <c r="B5247" s="1" t="s">
        <v>8377</v>
      </c>
      <c r="F5247">
        <v>1</v>
      </c>
      <c r="G5247" t="str">
        <f>HYPERLINK("http://babel.hathitrust.org/cgi/pt?id=uc1.$b624781")</f>
        <v>http://babel.hathitrust.org/cgi/pt?id=uc1.$b624781</v>
      </c>
      <c r="H5247" t="str">
        <f>HYPERLINK("http://catalog.hathitrust.org/Record/008547262")</f>
        <v>http://catalog.hathitrust.org/Record/008547262</v>
      </c>
      <c r="J5247" s="1">
        <v>1917</v>
      </c>
      <c r="K5247" t="s">
        <v>8378</v>
      </c>
      <c r="L5247" t="s">
        <v>9292</v>
      </c>
    </row>
    <row r="5248" spans="1:12">
      <c r="A5248" t="s">
        <v>8379</v>
      </c>
      <c r="B5248" s="1" t="s">
        <v>8380</v>
      </c>
      <c r="F5248">
        <v>1</v>
      </c>
      <c r="G5248" t="str">
        <f>HYPERLINK("http://babel.hathitrust.org/cgi/pt?id=uc1.$b624788")</f>
        <v>http://babel.hathitrust.org/cgi/pt?id=uc1.$b624788</v>
      </c>
      <c r="H5248" t="str">
        <f>HYPERLINK("http://catalog.hathitrust.org/Record/008547267")</f>
        <v>http://catalog.hathitrust.org/Record/008547267</v>
      </c>
      <c r="J5248" s="1">
        <v>1921</v>
      </c>
      <c r="K5248" t="s">
        <v>8381</v>
      </c>
      <c r="L5248" t="s">
        <v>8382</v>
      </c>
    </row>
    <row r="5249" spans="1:12">
      <c r="A5249" t="s">
        <v>8383</v>
      </c>
      <c r="B5249" s="1" t="s">
        <v>8384</v>
      </c>
      <c r="F5249">
        <v>1</v>
      </c>
      <c r="G5249" t="str">
        <f>HYPERLINK("http://babel.hathitrust.org/cgi/pt?id=njp.32101074756675")</f>
        <v>http://babel.hathitrust.org/cgi/pt?id=njp.32101074756675</v>
      </c>
      <c r="H5249" t="str">
        <f>HYPERLINK("http://catalog.hathitrust.org/Record/008547271")</f>
        <v>http://catalog.hathitrust.org/Record/008547271</v>
      </c>
      <c r="J5249" s="1">
        <v>1882</v>
      </c>
      <c r="K5249" t="s">
        <v>20640</v>
      </c>
      <c r="L5249" t="s">
        <v>12623</v>
      </c>
    </row>
    <row r="5250" spans="1:12">
      <c r="A5250" t="s">
        <v>8385</v>
      </c>
      <c r="B5250" s="1" t="s">
        <v>8384</v>
      </c>
      <c r="F5250">
        <v>1</v>
      </c>
      <c r="G5250" t="str">
        <f>HYPERLINK("http://babel.hathitrust.org/cgi/pt?id=uc1.$b624797")</f>
        <v>http://babel.hathitrust.org/cgi/pt?id=uc1.$b624797</v>
      </c>
      <c r="H5250" t="str">
        <f>HYPERLINK("http://catalog.hathitrust.org/Record/008547271")</f>
        <v>http://catalog.hathitrust.org/Record/008547271</v>
      </c>
      <c r="J5250" s="1">
        <v>1882</v>
      </c>
      <c r="K5250" t="s">
        <v>20640</v>
      </c>
      <c r="L5250" t="s">
        <v>12623</v>
      </c>
    </row>
    <row r="5251" spans="1:12">
      <c r="A5251" t="s">
        <v>8386</v>
      </c>
      <c r="B5251" s="1" t="s">
        <v>8384</v>
      </c>
      <c r="F5251">
        <v>1</v>
      </c>
      <c r="G5251" t="str">
        <f>HYPERLINK("http://babel.hathitrust.org/cgi/pt?id=uc2.ark:/13960/t09w0fv7h")</f>
        <v>http://babel.hathitrust.org/cgi/pt?id=uc2.ark:/13960/t09w0fv7h</v>
      </c>
      <c r="H5251" t="str">
        <f>HYPERLINK("http://catalog.hathitrust.org/Record/008547271")</f>
        <v>http://catalog.hathitrust.org/Record/008547271</v>
      </c>
      <c r="J5251" s="1">
        <v>1882</v>
      </c>
      <c r="K5251" t="s">
        <v>20640</v>
      </c>
      <c r="L5251" t="s">
        <v>12623</v>
      </c>
    </row>
    <row r="5252" spans="1:12">
      <c r="A5252" t="s">
        <v>8387</v>
      </c>
      <c r="B5252" s="1" t="s">
        <v>8388</v>
      </c>
      <c r="F5252">
        <v>1</v>
      </c>
      <c r="G5252" t="str">
        <f>HYPERLINK("http://babel.hathitrust.org/cgi/pt?id=uc1.$b624800")</f>
        <v>http://babel.hathitrust.org/cgi/pt?id=uc1.$b624800</v>
      </c>
      <c r="H5252" t="str">
        <f>HYPERLINK("http://catalog.hathitrust.org/Record/008547273")</f>
        <v>http://catalog.hathitrust.org/Record/008547273</v>
      </c>
      <c r="J5252" s="1">
        <v>1913</v>
      </c>
      <c r="K5252" t="s">
        <v>8389</v>
      </c>
      <c r="L5252" t="s">
        <v>16396</v>
      </c>
    </row>
    <row r="5253" spans="1:12">
      <c r="A5253" t="s">
        <v>8390</v>
      </c>
      <c r="B5253" s="1" t="s">
        <v>8388</v>
      </c>
      <c r="F5253">
        <v>1</v>
      </c>
      <c r="G5253" t="str">
        <f>HYPERLINK("http://babel.hathitrust.org/cgi/pt?id=uc2.ark:/13960/t8z897t10")</f>
        <v>http://babel.hathitrust.org/cgi/pt?id=uc2.ark:/13960/t8z897t10</v>
      </c>
      <c r="H5253" t="str">
        <f>HYPERLINK("http://catalog.hathitrust.org/Record/008547273")</f>
        <v>http://catalog.hathitrust.org/Record/008547273</v>
      </c>
      <c r="J5253" s="1">
        <v>1913</v>
      </c>
      <c r="K5253" t="s">
        <v>8389</v>
      </c>
      <c r="L5253" t="s">
        <v>16396</v>
      </c>
    </row>
    <row r="5254" spans="1:12">
      <c r="A5254" t="s">
        <v>8391</v>
      </c>
      <c r="B5254" s="1" t="s">
        <v>8392</v>
      </c>
      <c r="F5254">
        <v>1</v>
      </c>
      <c r="G5254" t="str">
        <f>HYPERLINK("http://babel.hathitrust.org/cgi/pt?id=uc2.ark:/13960/t5r78bv6p")</f>
        <v>http://babel.hathitrust.org/cgi/pt?id=uc2.ark:/13960/t5r78bv6p</v>
      </c>
      <c r="H5254" t="str">
        <f>HYPERLINK("http://catalog.hathitrust.org/Record/008547275")</f>
        <v>http://catalog.hathitrust.org/Record/008547275</v>
      </c>
      <c r="J5254" s="1">
        <v>1915</v>
      </c>
      <c r="K5254" t="s">
        <v>8393</v>
      </c>
      <c r="L5254" t="s">
        <v>8394</v>
      </c>
    </row>
    <row r="5255" spans="1:12">
      <c r="A5255" t="s">
        <v>8395</v>
      </c>
      <c r="B5255" s="1" t="s">
        <v>8396</v>
      </c>
      <c r="F5255">
        <v>1</v>
      </c>
      <c r="G5255" t="str">
        <f>HYPERLINK("http://babel.hathitrust.org/cgi/pt?id=uc2.ark:/13960/t6930v61s")</f>
        <v>http://babel.hathitrust.org/cgi/pt?id=uc2.ark:/13960/t6930v61s</v>
      </c>
      <c r="H5255" t="str">
        <f>HYPERLINK("http://catalog.hathitrust.org/Record/008547282")</f>
        <v>http://catalog.hathitrust.org/Record/008547282</v>
      </c>
      <c r="J5255" s="1">
        <v>1856</v>
      </c>
      <c r="K5255" t="s">
        <v>8397</v>
      </c>
      <c r="L5255" t="s">
        <v>8398</v>
      </c>
    </row>
    <row r="5256" spans="1:12">
      <c r="A5256" t="s">
        <v>8399</v>
      </c>
      <c r="B5256" s="1" t="s">
        <v>8400</v>
      </c>
      <c r="F5256">
        <v>1</v>
      </c>
      <c r="G5256" t="str">
        <f>HYPERLINK("http://babel.hathitrust.org/cgi/pt?id=uc1.$b624829")</f>
        <v>http://babel.hathitrust.org/cgi/pt?id=uc1.$b624829</v>
      </c>
      <c r="H5256" t="str">
        <f>HYPERLINK("http://catalog.hathitrust.org/Record/008547291")</f>
        <v>http://catalog.hathitrust.org/Record/008547291</v>
      </c>
      <c r="J5256" s="1">
        <v>1850</v>
      </c>
      <c r="K5256" t="s">
        <v>8401</v>
      </c>
      <c r="L5256" t="s">
        <v>12790</v>
      </c>
    </row>
    <row r="5257" spans="1:12">
      <c r="A5257" t="s">
        <v>8402</v>
      </c>
      <c r="B5257" s="1" t="s">
        <v>8403</v>
      </c>
      <c r="F5257">
        <v>1</v>
      </c>
      <c r="G5257" t="str">
        <f>HYPERLINK("http://babel.hathitrust.org/cgi/pt?id=uc1.$b624830")</f>
        <v>http://babel.hathitrust.org/cgi/pt?id=uc1.$b624830</v>
      </c>
      <c r="H5257" t="str">
        <f>HYPERLINK("http://catalog.hathitrust.org/Record/008547292")</f>
        <v>http://catalog.hathitrust.org/Record/008547292</v>
      </c>
      <c r="J5257" s="1">
        <v>1948</v>
      </c>
      <c r="K5257" t="s">
        <v>8404</v>
      </c>
      <c r="L5257" t="s">
        <v>8405</v>
      </c>
    </row>
    <row r="5258" spans="1:12">
      <c r="A5258" t="s">
        <v>8406</v>
      </c>
      <c r="B5258" s="1" t="s">
        <v>8407</v>
      </c>
      <c r="E5258">
        <v>1</v>
      </c>
      <c r="F5258">
        <v>1</v>
      </c>
      <c r="G5258" t="str">
        <f>HYPERLINK("http://babel.hathitrust.org/cgi/pt?id=uc1.$b617713")</f>
        <v>http://babel.hathitrust.org/cgi/pt?id=uc1.$b617713</v>
      </c>
      <c r="H5258" t="str">
        <f>HYPERLINK("http://catalog.hathitrust.org/Record/008547750")</f>
        <v>http://catalog.hathitrust.org/Record/008547750</v>
      </c>
      <c r="J5258" s="1">
        <v>1878</v>
      </c>
      <c r="K5258" t="s">
        <v>8327</v>
      </c>
      <c r="L5258" t="s">
        <v>19514</v>
      </c>
    </row>
    <row r="5259" spans="1:12">
      <c r="A5259" t="s">
        <v>8328</v>
      </c>
      <c r="B5259" s="1" t="s">
        <v>8407</v>
      </c>
      <c r="F5259">
        <v>1</v>
      </c>
      <c r="G5259" t="str">
        <f>HYPERLINK("http://babel.hathitrust.org/cgi/pt?id=uc2.ark:/13960/t3cz3769r")</f>
        <v>http://babel.hathitrust.org/cgi/pt?id=uc2.ark:/13960/t3cz3769r</v>
      </c>
      <c r="H5259" t="str">
        <f>HYPERLINK("http://catalog.hathitrust.org/Record/008547750")</f>
        <v>http://catalog.hathitrust.org/Record/008547750</v>
      </c>
      <c r="J5259" s="1">
        <v>1878</v>
      </c>
      <c r="K5259" t="s">
        <v>8327</v>
      </c>
      <c r="L5259" t="s">
        <v>19514</v>
      </c>
    </row>
    <row r="5260" spans="1:12">
      <c r="A5260" t="s">
        <v>8329</v>
      </c>
      <c r="B5260" s="1" t="s">
        <v>8330</v>
      </c>
      <c r="F5260">
        <v>1</v>
      </c>
      <c r="G5260" t="str">
        <f>HYPERLINK("http://babel.hathitrust.org/cgi/pt?id=uc1.$b617756")</f>
        <v>http://babel.hathitrust.org/cgi/pt?id=uc1.$b617756</v>
      </c>
      <c r="H5260" t="str">
        <f>HYPERLINK("http://catalog.hathitrust.org/Record/008547761")</f>
        <v>http://catalog.hathitrust.org/Record/008547761</v>
      </c>
      <c r="J5260" s="1">
        <v>1955</v>
      </c>
      <c r="K5260" t="s">
        <v>8331</v>
      </c>
      <c r="L5260" t="s">
        <v>8332</v>
      </c>
    </row>
    <row r="5261" spans="1:12">
      <c r="A5261" t="s">
        <v>8333</v>
      </c>
      <c r="B5261" s="1" t="s">
        <v>8334</v>
      </c>
      <c r="F5261">
        <v>1</v>
      </c>
      <c r="G5261" t="str">
        <f>HYPERLINK("http://babel.hathitrust.org/cgi/pt?id=uc1.$b617764")</f>
        <v>http://babel.hathitrust.org/cgi/pt?id=uc1.$b617764</v>
      </c>
      <c r="H5261" t="str">
        <f>HYPERLINK("http://catalog.hathitrust.org/Record/008547769")</f>
        <v>http://catalog.hathitrust.org/Record/008547769</v>
      </c>
      <c r="J5261" s="1">
        <v>1882</v>
      </c>
      <c r="K5261" t="s">
        <v>8335</v>
      </c>
      <c r="L5261" t="s">
        <v>20884</v>
      </c>
    </row>
    <row r="5262" spans="1:12">
      <c r="A5262" t="s">
        <v>8336</v>
      </c>
      <c r="B5262" s="1" t="s">
        <v>8334</v>
      </c>
      <c r="F5262">
        <v>1</v>
      </c>
      <c r="G5262" t="str">
        <f>HYPERLINK("http://babel.hathitrust.org/cgi/pt?id=uc2.ark:/13960/t0gt5m92r")</f>
        <v>http://babel.hathitrust.org/cgi/pt?id=uc2.ark:/13960/t0gt5m92r</v>
      </c>
      <c r="H5262" t="str">
        <f>HYPERLINK("http://catalog.hathitrust.org/Record/008547769")</f>
        <v>http://catalog.hathitrust.org/Record/008547769</v>
      </c>
      <c r="J5262" s="1">
        <v>1882</v>
      </c>
      <c r="K5262" t="s">
        <v>8335</v>
      </c>
      <c r="L5262" t="s">
        <v>20884</v>
      </c>
    </row>
    <row r="5263" spans="1:12">
      <c r="A5263" t="s">
        <v>8337</v>
      </c>
      <c r="B5263" s="1" t="s">
        <v>8338</v>
      </c>
      <c r="F5263">
        <v>1</v>
      </c>
      <c r="G5263" t="str">
        <f>HYPERLINK("http://babel.hathitrust.org/cgi/pt?id=uc1.$b617802")</f>
        <v>http://babel.hathitrust.org/cgi/pt?id=uc1.$b617802</v>
      </c>
      <c r="H5263" t="str">
        <f>HYPERLINK("http://catalog.hathitrust.org/Record/008547783")</f>
        <v>http://catalog.hathitrust.org/Record/008547783</v>
      </c>
      <c r="J5263" s="1">
        <v>1812</v>
      </c>
      <c r="K5263" t="s">
        <v>8339</v>
      </c>
      <c r="L5263" t="s">
        <v>8340</v>
      </c>
    </row>
    <row r="5264" spans="1:12">
      <c r="A5264" t="s">
        <v>8341</v>
      </c>
      <c r="B5264" s="1" t="s">
        <v>8342</v>
      </c>
      <c r="E5264">
        <v>1</v>
      </c>
      <c r="G5264" t="str">
        <f>HYPERLINK("http://babel.hathitrust.org/cgi/pt?id=uc1.$b617809")</f>
        <v>http://babel.hathitrust.org/cgi/pt?id=uc1.$b617809</v>
      </c>
      <c r="H5264" t="str">
        <f>HYPERLINK("http://catalog.hathitrust.org/Record/008547787")</f>
        <v>http://catalog.hathitrust.org/Record/008547787</v>
      </c>
      <c r="J5264" s="1">
        <v>1805</v>
      </c>
      <c r="K5264" t="s">
        <v>8343</v>
      </c>
      <c r="L5264" t="s">
        <v>20043</v>
      </c>
    </row>
    <row r="5265" spans="1:12">
      <c r="A5265" t="s">
        <v>8344</v>
      </c>
      <c r="B5265" s="1" t="s">
        <v>8345</v>
      </c>
      <c r="F5265">
        <v>1</v>
      </c>
      <c r="G5265" t="str">
        <f>HYPERLINK("http://babel.hathitrust.org/cgi/pt?id=umn.319510021698978")</f>
        <v>http://babel.hathitrust.org/cgi/pt?id=umn.319510021698978</v>
      </c>
      <c r="H5265" t="str">
        <f>HYPERLINK("http://catalog.hathitrust.org/Record/008557989")</f>
        <v>http://catalog.hathitrust.org/Record/008557989</v>
      </c>
      <c r="J5265" s="1">
        <v>1897</v>
      </c>
      <c r="K5265" t="s">
        <v>8346</v>
      </c>
      <c r="L5265" t="s">
        <v>11794</v>
      </c>
    </row>
    <row r="5266" spans="1:12">
      <c r="A5266" t="s">
        <v>8347</v>
      </c>
      <c r="B5266" s="1" t="s">
        <v>8348</v>
      </c>
      <c r="F5266">
        <v>1</v>
      </c>
      <c r="G5266" t="str">
        <f>HYPERLINK("http://babel.hathitrust.org/cgi/pt?id=umn.31951p00735696w")</f>
        <v>http://babel.hathitrust.org/cgi/pt?id=umn.31951p00735696w</v>
      </c>
      <c r="H5266" t="str">
        <f>HYPERLINK("http://catalog.hathitrust.org/Record/008558319")</f>
        <v>http://catalog.hathitrust.org/Record/008558319</v>
      </c>
      <c r="J5266" s="1">
        <v>1870</v>
      </c>
      <c r="K5266" t="s">
        <v>17033</v>
      </c>
      <c r="L5266" t="s">
        <v>17034</v>
      </c>
    </row>
    <row r="5267" spans="1:12">
      <c r="A5267" t="s">
        <v>8349</v>
      </c>
      <c r="B5267" s="1" t="s">
        <v>8350</v>
      </c>
      <c r="E5267">
        <v>1</v>
      </c>
      <c r="G5267" t="str">
        <f>HYPERLINK("http://babel.hathitrust.org/cgi/pt?id=umn.31951d005302466")</f>
        <v>http://babel.hathitrust.org/cgi/pt?id=umn.31951d005302466</v>
      </c>
      <c r="H5267" t="str">
        <f>HYPERLINK("http://catalog.hathitrust.org/Record/008558416")</f>
        <v>http://catalog.hathitrust.org/Record/008558416</v>
      </c>
      <c r="I5267" s="1" t="s">
        <v>19820</v>
      </c>
      <c r="J5267" s="1">
        <v>1841</v>
      </c>
      <c r="K5267" t="s">
        <v>15055</v>
      </c>
      <c r="L5267" t="s">
        <v>15050</v>
      </c>
    </row>
    <row r="5268" spans="1:12">
      <c r="A5268" t="s">
        <v>8351</v>
      </c>
      <c r="B5268" s="1" t="s">
        <v>8350</v>
      </c>
      <c r="E5268">
        <v>1</v>
      </c>
      <c r="G5268" t="str">
        <f>HYPERLINK("http://babel.hathitrust.org/cgi/pt?id=umn.31951d005302474")</f>
        <v>http://babel.hathitrust.org/cgi/pt?id=umn.31951d005302474</v>
      </c>
      <c r="H5268" t="str">
        <f>HYPERLINK("http://catalog.hathitrust.org/Record/008558416")</f>
        <v>http://catalog.hathitrust.org/Record/008558416</v>
      </c>
      <c r="I5268" s="1" t="s">
        <v>20108</v>
      </c>
      <c r="J5268" s="1">
        <v>1841</v>
      </c>
      <c r="K5268" t="s">
        <v>15055</v>
      </c>
      <c r="L5268" t="s">
        <v>15050</v>
      </c>
    </row>
    <row r="5269" spans="1:12">
      <c r="A5269" t="s">
        <v>8352</v>
      </c>
      <c r="B5269" s="1" t="s">
        <v>8353</v>
      </c>
      <c r="F5269">
        <v>1</v>
      </c>
      <c r="G5269" t="str">
        <f>HYPERLINK("http://babel.hathitrust.org/cgi/pt?id=umn.31951002402605p")</f>
        <v>http://babel.hathitrust.org/cgi/pt?id=umn.31951002402605p</v>
      </c>
      <c r="H5269" t="str">
        <f>HYPERLINK("http://catalog.hathitrust.org/Record/008558527")</f>
        <v>http://catalog.hathitrust.org/Record/008558527</v>
      </c>
      <c r="J5269" s="1">
        <v>1862</v>
      </c>
      <c r="K5269" t="s">
        <v>8354</v>
      </c>
      <c r="L5269" t="s">
        <v>17959</v>
      </c>
    </row>
    <row r="5270" spans="1:12">
      <c r="A5270" t="s">
        <v>8355</v>
      </c>
      <c r="B5270" s="1" t="s">
        <v>8356</v>
      </c>
      <c r="F5270">
        <v>1</v>
      </c>
      <c r="G5270" t="str">
        <f>HYPERLINK("http://babel.hathitrust.org/cgi/pt?id=umn.31951002463509g")</f>
        <v>http://babel.hathitrust.org/cgi/pt?id=umn.31951002463509g</v>
      </c>
      <c r="H5270" t="str">
        <f>HYPERLINK("http://catalog.hathitrust.org/Record/008558571")</f>
        <v>http://catalog.hathitrust.org/Record/008558571</v>
      </c>
      <c r="I5270" s="1" t="s">
        <v>20755</v>
      </c>
      <c r="J5270" s="1">
        <v>1887</v>
      </c>
      <c r="K5270" t="s">
        <v>9659</v>
      </c>
      <c r="L5270" t="s">
        <v>19827</v>
      </c>
    </row>
    <row r="5271" spans="1:12">
      <c r="A5271" t="s">
        <v>8357</v>
      </c>
      <c r="B5271" s="1" t="s">
        <v>8358</v>
      </c>
      <c r="D5271">
        <v>1</v>
      </c>
      <c r="G5271" t="str">
        <f>HYPERLINK("http://babel.hathitrust.org/cgi/pt?id=umn.31951p005142983")</f>
        <v>http://babel.hathitrust.org/cgi/pt?id=umn.31951p005142983</v>
      </c>
      <c r="H5271" t="str">
        <f>HYPERLINK("http://catalog.hathitrust.org/Record/008558703")</f>
        <v>http://catalog.hathitrust.org/Record/008558703</v>
      </c>
      <c r="I5271" s="1" t="s">
        <v>20755</v>
      </c>
      <c r="J5271" s="1">
        <v>1817</v>
      </c>
      <c r="K5271" t="s">
        <v>8359</v>
      </c>
      <c r="L5271" t="s">
        <v>19694</v>
      </c>
    </row>
    <row r="5272" spans="1:12">
      <c r="A5272" t="s">
        <v>8360</v>
      </c>
      <c r="B5272" s="1" t="s">
        <v>8361</v>
      </c>
      <c r="F5272">
        <v>1</v>
      </c>
      <c r="G5272" t="str">
        <f>HYPERLINK("http://babel.hathitrust.org/cgi/pt?id=umn.31951001621689g")</f>
        <v>http://babel.hathitrust.org/cgi/pt?id=umn.31951001621689g</v>
      </c>
      <c r="H5272" t="str">
        <f>HYPERLINK("http://catalog.hathitrust.org/Record/008558760")</f>
        <v>http://catalog.hathitrust.org/Record/008558760</v>
      </c>
      <c r="J5272" s="1">
        <v>1871</v>
      </c>
      <c r="K5272" t="s">
        <v>8362</v>
      </c>
      <c r="L5272" t="s">
        <v>8363</v>
      </c>
    </row>
    <row r="5273" spans="1:12">
      <c r="A5273" t="s">
        <v>8364</v>
      </c>
      <c r="B5273" s="1" t="s">
        <v>8365</v>
      </c>
      <c r="F5273">
        <v>1</v>
      </c>
      <c r="G5273" t="str">
        <f>HYPERLINK("http://babel.hathitrust.org/cgi/pt?id=umn.31951002041616t")</f>
        <v>http://babel.hathitrust.org/cgi/pt?id=umn.31951002041616t</v>
      </c>
      <c r="H5273" t="str">
        <f>HYPERLINK("http://catalog.hathitrust.org/Record/008559206")</f>
        <v>http://catalog.hathitrust.org/Record/008559206</v>
      </c>
      <c r="J5273" s="1">
        <v>1835</v>
      </c>
      <c r="K5273" t="s">
        <v>8272</v>
      </c>
      <c r="L5273" t="s">
        <v>12679</v>
      </c>
    </row>
    <row r="5274" spans="1:12">
      <c r="A5274" t="s">
        <v>8273</v>
      </c>
      <c r="B5274" s="1" t="s">
        <v>8274</v>
      </c>
      <c r="F5274">
        <v>1</v>
      </c>
      <c r="G5274" t="str">
        <f>HYPERLINK("http://babel.hathitrust.org/cgi/pt?id=umn.319510015961511")</f>
        <v>http://babel.hathitrust.org/cgi/pt?id=umn.319510015961511</v>
      </c>
      <c r="H5274" t="str">
        <f>HYPERLINK("http://catalog.hathitrust.org/Record/008559436")</f>
        <v>http://catalog.hathitrust.org/Record/008559436</v>
      </c>
      <c r="J5274" s="1">
        <v>1896</v>
      </c>
      <c r="K5274" t="s">
        <v>8275</v>
      </c>
      <c r="L5274" t="s">
        <v>16950</v>
      </c>
    </row>
    <row r="5275" spans="1:12">
      <c r="A5275" t="s">
        <v>8276</v>
      </c>
      <c r="B5275" s="1" t="s">
        <v>8277</v>
      </c>
      <c r="F5275">
        <v>1</v>
      </c>
      <c r="G5275" t="str">
        <f>HYPERLINK("http://babel.hathitrust.org/cgi/pt?id=umn.31951002088064j")</f>
        <v>http://babel.hathitrust.org/cgi/pt?id=umn.31951002088064j</v>
      </c>
      <c r="H5275" t="str">
        <f>HYPERLINK("http://catalog.hathitrust.org/Record/008559539")</f>
        <v>http://catalog.hathitrust.org/Record/008559539</v>
      </c>
      <c r="J5275" s="1">
        <v>1839</v>
      </c>
      <c r="K5275" t="s">
        <v>8278</v>
      </c>
      <c r="L5275" t="s">
        <v>12679</v>
      </c>
    </row>
    <row r="5276" spans="1:12">
      <c r="A5276" t="s">
        <v>8279</v>
      </c>
      <c r="B5276" s="1" t="s">
        <v>8280</v>
      </c>
      <c r="E5276">
        <v>1</v>
      </c>
      <c r="G5276" t="str">
        <f>HYPERLINK("http://babel.hathitrust.org/cgi/pt?id=umn.319510020510284")</f>
        <v>http://babel.hathitrust.org/cgi/pt?id=umn.319510020510284</v>
      </c>
      <c r="H5276" t="str">
        <f>HYPERLINK("http://catalog.hathitrust.org/Record/008559553")</f>
        <v>http://catalog.hathitrust.org/Record/008559553</v>
      </c>
      <c r="J5276" s="1">
        <v>1875</v>
      </c>
      <c r="K5276" t="s">
        <v>8281</v>
      </c>
      <c r="L5276" t="s">
        <v>14322</v>
      </c>
    </row>
    <row r="5277" spans="1:12">
      <c r="A5277" t="s">
        <v>8282</v>
      </c>
      <c r="B5277" s="1" t="s">
        <v>8283</v>
      </c>
      <c r="F5277">
        <v>1</v>
      </c>
      <c r="G5277" t="str">
        <f>HYPERLINK("http://babel.hathitrust.org/cgi/pt?id=umn.319510021699017")</f>
        <v>http://babel.hathitrust.org/cgi/pt?id=umn.319510021699017</v>
      </c>
      <c r="H5277" t="str">
        <f>HYPERLINK("http://catalog.hathitrust.org/Record/008559559")</f>
        <v>http://catalog.hathitrust.org/Record/008559559</v>
      </c>
      <c r="J5277" s="1">
        <v>1889</v>
      </c>
      <c r="K5277" t="s">
        <v>8284</v>
      </c>
      <c r="L5277" t="s">
        <v>12611</v>
      </c>
    </row>
    <row r="5278" spans="1:12">
      <c r="A5278" t="s">
        <v>8285</v>
      </c>
      <c r="B5278" s="1" t="s">
        <v>8286</v>
      </c>
      <c r="F5278">
        <v>1</v>
      </c>
      <c r="G5278" t="str">
        <f>HYPERLINK("http://babel.hathitrust.org/cgi/pt?id=umn.31951002403528c")</f>
        <v>http://babel.hathitrust.org/cgi/pt?id=umn.31951002403528c</v>
      </c>
      <c r="H5278" t="str">
        <f>HYPERLINK("http://catalog.hathitrust.org/Record/008559688")</f>
        <v>http://catalog.hathitrust.org/Record/008559688</v>
      </c>
      <c r="J5278" s="1">
        <v>1898</v>
      </c>
      <c r="K5278" t="s">
        <v>8287</v>
      </c>
      <c r="L5278" t="s">
        <v>12706</v>
      </c>
    </row>
    <row r="5279" spans="1:12">
      <c r="A5279" t="s">
        <v>8288</v>
      </c>
      <c r="B5279" s="1" t="s">
        <v>8289</v>
      </c>
      <c r="E5279">
        <v>1</v>
      </c>
      <c r="F5279">
        <v>1</v>
      </c>
      <c r="G5279" t="str">
        <f>HYPERLINK("http://babel.hathitrust.org/cgi/pt?id=umn.319510024002704")</f>
        <v>http://babel.hathitrust.org/cgi/pt?id=umn.319510024002704</v>
      </c>
      <c r="H5279" t="str">
        <f>HYPERLINK("http://catalog.hathitrust.org/Record/008559925")</f>
        <v>http://catalog.hathitrust.org/Record/008559925</v>
      </c>
      <c r="J5279" s="1">
        <v>1862</v>
      </c>
      <c r="K5279" t="s">
        <v>8290</v>
      </c>
      <c r="L5279" t="s">
        <v>8291</v>
      </c>
    </row>
    <row r="5280" spans="1:12">
      <c r="A5280" t="s">
        <v>8292</v>
      </c>
      <c r="B5280" s="1" t="s">
        <v>8293</v>
      </c>
      <c r="E5280">
        <v>1</v>
      </c>
      <c r="G5280" t="str">
        <f>HYPERLINK("http://babel.hathitrust.org/cgi/pt?id=umn.31951002015584e")</f>
        <v>http://babel.hathitrust.org/cgi/pt?id=umn.31951002015584e</v>
      </c>
      <c r="H5280" t="str">
        <f>HYPERLINK("http://catalog.hathitrust.org/Record/008559982")</f>
        <v>http://catalog.hathitrust.org/Record/008559982</v>
      </c>
      <c r="J5280" s="1">
        <v>1893</v>
      </c>
      <c r="K5280" t="s">
        <v>8294</v>
      </c>
      <c r="L5280" t="s">
        <v>15226</v>
      </c>
    </row>
    <row r="5281" spans="1:12">
      <c r="A5281" t="s">
        <v>8295</v>
      </c>
      <c r="B5281" s="1" t="s">
        <v>8296</v>
      </c>
      <c r="F5281">
        <v>1</v>
      </c>
      <c r="G5281" t="str">
        <f>HYPERLINK("http://babel.hathitrust.org/cgi/pt?id=umn.31951002408271y")</f>
        <v>http://babel.hathitrust.org/cgi/pt?id=umn.31951002408271y</v>
      </c>
      <c r="H5281" t="str">
        <f>HYPERLINK("http://catalog.hathitrust.org/Record/008560222")</f>
        <v>http://catalog.hathitrust.org/Record/008560222</v>
      </c>
      <c r="I5281" s="1" t="s">
        <v>20916</v>
      </c>
      <c r="J5281" s="1">
        <v>1861</v>
      </c>
      <c r="K5281" t="s">
        <v>8297</v>
      </c>
      <c r="L5281" t="s">
        <v>17914</v>
      </c>
    </row>
    <row r="5282" spans="1:12">
      <c r="A5282" t="s">
        <v>8298</v>
      </c>
      <c r="B5282" s="1" t="s">
        <v>8296</v>
      </c>
      <c r="F5282">
        <v>1</v>
      </c>
      <c r="G5282" t="str">
        <f>HYPERLINK("http://babel.hathitrust.org/cgi/pt?id=umn.31951002408272w")</f>
        <v>http://babel.hathitrust.org/cgi/pt?id=umn.31951002408272w</v>
      </c>
      <c r="H5282" t="str">
        <f>HYPERLINK("http://catalog.hathitrust.org/Record/008560222")</f>
        <v>http://catalog.hathitrust.org/Record/008560222</v>
      </c>
      <c r="I5282" s="1" t="s">
        <v>20755</v>
      </c>
      <c r="J5282" s="1">
        <v>1861</v>
      </c>
      <c r="K5282" t="s">
        <v>8297</v>
      </c>
      <c r="L5282" t="s">
        <v>17914</v>
      </c>
    </row>
    <row r="5283" spans="1:12">
      <c r="A5283" t="s">
        <v>8299</v>
      </c>
      <c r="B5283" s="1" t="s">
        <v>8300</v>
      </c>
      <c r="D5283">
        <v>1</v>
      </c>
      <c r="G5283" t="str">
        <f>HYPERLINK("http://babel.hathitrust.org/cgi/pt?id=umn.319510021591051")</f>
        <v>http://babel.hathitrust.org/cgi/pt?id=umn.319510021591051</v>
      </c>
      <c r="H5283" t="str">
        <f>HYPERLINK("http://catalog.hathitrust.org/Record/008560322")</f>
        <v>http://catalog.hathitrust.org/Record/008560322</v>
      </c>
      <c r="I5283" s="1" t="s">
        <v>20916</v>
      </c>
      <c r="J5283" s="1">
        <v>1823</v>
      </c>
      <c r="K5283" t="s">
        <v>15472</v>
      </c>
      <c r="L5283" t="s">
        <v>15473</v>
      </c>
    </row>
    <row r="5284" spans="1:12">
      <c r="A5284" t="s">
        <v>8301</v>
      </c>
      <c r="B5284" s="1" t="s">
        <v>8300</v>
      </c>
      <c r="D5284">
        <v>1</v>
      </c>
      <c r="G5284" t="str">
        <f>HYPERLINK("http://babel.hathitrust.org/cgi/pt?id=umn.31951002159106z")</f>
        <v>http://babel.hathitrust.org/cgi/pt?id=umn.31951002159106z</v>
      </c>
      <c r="H5284" t="str">
        <f>HYPERLINK("http://catalog.hathitrust.org/Record/008560322")</f>
        <v>http://catalog.hathitrust.org/Record/008560322</v>
      </c>
      <c r="I5284" s="1" t="s">
        <v>20755</v>
      </c>
      <c r="J5284" s="1">
        <v>1823</v>
      </c>
      <c r="K5284" t="s">
        <v>15472</v>
      </c>
      <c r="L5284" t="s">
        <v>15473</v>
      </c>
    </row>
    <row r="5285" spans="1:12">
      <c r="A5285" t="s">
        <v>8302</v>
      </c>
      <c r="B5285" s="1" t="s">
        <v>8303</v>
      </c>
      <c r="F5285">
        <v>1</v>
      </c>
      <c r="G5285" t="str">
        <f>HYPERLINK("http://babel.hathitrust.org/cgi/pt?id=inu.32000007903257")</f>
        <v>http://babel.hathitrust.org/cgi/pt?id=inu.32000007903257</v>
      </c>
      <c r="H5285" t="str">
        <f>HYPERLINK("http://catalog.hathitrust.org/Record/008566506")</f>
        <v>http://catalog.hathitrust.org/Record/008566506</v>
      </c>
      <c r="J5285" s="1">
        <v>1913</v>
      </c>
      <c r="K5285" t="s">
        <v>8304</v>
      </c>
      <c r="L5285" t="s">
        <v>19211</v>
      </c>
    </row>
    <row r="5286" spans="1:12">
      <c r="A5286" t="s">
        <v>8305</v>
      </c>
      <c r="B5286" s="1" t="s">
        <v>8306</v>
      </c>
      <c r="E5286">
        <v>1</v>
      </c>
      <c r="G5286" t="str">
        <f>HYPERLINK("http://babel.hathitrust.org/cgi/pt?id=inu.30000063814093")</f>
        <v>http://babel.hathitrust.org/cgi/pt?id=inu.30000063814093</v>
      </c>
      <c r="H5286" t="str">
        <f>HYPERLINK("http://catalog.hathitrust.org/Record/008569146")</f>
        <v>http://catalog.hathitrust.org/Record/008569146</v>
      </c>
      <c r="J5286" s="1">
        <v>1907</v>
      </c>
      <c r="K5286" t="s">
        <v>17239</v>
      </c>
    </row>
    <row r="5287" spans="1:12">
      <c r="A5287" t="s">
        <v>8307</v>
      </c>
      <c r="B5287" s="1" t="s">
        <v>8308</v>
      </c>
      <c r="F5287">
        <v>1</v>
      </c>
      <c r="G5287" t="str">
        <f>HYPERLINK("http://babel.hathitrust.org/cgi/pt?id=uc1.b4557737")</f>
        <v>http://babel.hathitrust.org/cgi/pt?id=uc1.b4557737</v>
      </c>
      <c r="H5287" t="str">
        <f>HYPERLINK("http://catalog.hathitrust.org/Record/008569314")</f>
        <v>http://catalog.hathitrust.org/Record/008569314</v>
      </c>
      <c r="J5287" s="1">
        <v>1860</v>
      </c>
      <c r="K5287" t="s">
        <v>8309</v>
      </c>
      <c r="L5287" t="s">
        <v>8310</v>
      </c>
    </row>
    <row r="5288" spans="1:12">
      <c r="A5288" t="s">
        <v>8311</v>
      </c>
      <c r="B5288" s="1" t="s">
        <v>8312</v>
      </c>
      <c r="F5288">
        <v>1</v>
      </c>
      <c r="G5288" t="str">
        <f>HYPERLINK("http://babel.hathitrust.org/cgi/pt?id=uc1.$b616469")</f>
        <v>http://babel.hathitrust.org/cgi/pt?id=uc1.$b616469</v>
      </c>
      <c r="H5288" t="str">
        <f>HYPERLINK("http://catalog.hathitrust.org/Record/008578721")</f>
        <v>http://catalog.hathitrust.org/Record/008578721</v>
      </c>
      <c r="J5288" s="1">
        <v>1894</v>
      </c>
      <c r="K5288" t="s">
        <v>13523</v>
      </c>
      <c r="L5288" t="s">
        <v>16360</v>
      </c>
    </row>
    <row r="5289" spans="1:12">
      <c r="A5289" t="s">
        <v>8313</v>
      </c>
      <c r="B5289" s="1" t="s">
        <v>8312</v>
      </c>
      <c r="F5289">
        <v>1</v>
      </c>
      <c r="G5289" t="str">
        <f>HYPERLINK("http://babel.hathitrust.org/cgi/pt?id=uc2.ark:/13960/t6930v42c")</f>
        <v>http://babel.hathitrust.org/cgi/pt?id=uc2.ark:/13960/t6930v42c</v>
      </c>
      <c r="H5289" t="str">
        <f>HYPERLINK("http://catalog.hathitrust.org/Record/008578721")</f>
        <v>http://catalog.hathitrust.org/Record/008578721</v>
      </c>
      <c r="J5289" s="1">
        <v>1894</v>
      </c>
      <c r="K5289" t="s">
        <v>13523</v>
      </c>
      <c r="L5289" t="s">
        <v>16360</v>
      </c>
    </row>
    <row r="5290" spans="1:12">
      <c r="A5290" t="s">
        <v>8314</v>
      </c>
      <c r="B5290" s="1" t="s">
        <v>8315</v>
      </c>
      <c r="F5290">
        <v>1</v>
      </c>
      <c r="G5290" t="str">
        <f>HYPERLINK("http://babel.hathitrust.org/cgi/pt?id=hvd.hn8nk6")</f>
        <v>http://babel.hathitrust.org/cgi/pt?id=hvd.hn8nk6</v>
      </c>
      <c r="H5290" t="str">
        <f>HYPERLINK("http://catalog.hathitrust.org/Record/008578723")</f>
        <v>http://catalog.hathitrust.org/Record/008578723</v>
      </c>
      <c r="J5290" s="1">
        <v>1865</v>
      </c>
      <c r="K5290" t="s">
        <v>8316</v>
      </c>
      <c r="L5290" t="s">
        <v>16306</v>
      </c>
    </row>
    <row r="5291" spans="1:12">
      <c r="A5291" t="s">
        <v>8317</v>
      </c>
      <c r="B5291" s="1" t="s">
        <v>8315</v>
      </c>
      <c r="F5291">
        <v>1</v>
      </c>
      <c r="G5291" t="str">
        <f>HYPERLINK("http://babel.hathitrust.org/cgi/pt?id=hvd.hx521p")</f>
        <v>http://babel.hathitrust.org/cgi/pt?id=hvd.hx521p</v>
      </c>
      <c r="H5291" t="str">
        <f>HYPERLINK("http://catalog.hathitrust.org/Record/008578723")</f>
        <v>http://catalog.hathitrust.org/Record/008578723</v>
      </c>
      <c r="J5291" s="1">
        <v>1865</v>
      </c>
      <c r="K5291" t="s">
        <v>8316</v>
      </c>
      <c r="L5291" t="s">
        <v>16306</v>
      </c>
    </row>
    <row r="5292" spans="1:12">
      <c r="A5292" t="s">
        <v>8318</v>
      </c>
      <c r="B5292" s="1" t="s">
        <v>8315</v>
      </c>
      <c r="F5292">
        <v>1</v>
      </c>
      <c r="G5292" t="str">
        <f>HYPERLINK("http://babel.hathitrust.org/cgi/pt?id=njp.32101013521735")</f>
        <v>http://babel.hathitrust.org/cgi/pt?id=njp.32101013521735</v>
      </c>
      <c r="H5292" t="str">
        <f>HYPERLINK("http://catalog.hathitrust.org/Record/008578723")</f>
        <v>http://catalog.hathitrust.org/Record/008578723</v>
      </c>
      <c r="J5292" s="1">
        <v>1865</v>
      </c>
      <c r="K5292" t="s">
        <v>8316</v>
      </c>
      <c r="L5292" t="s">
        <v>16306</v>
      </c>
    </row>
    <row r="5293" spans="1:12">
      <c r="A5293" t="s">
        <v>8319</v>
      </c>
      <c r="B5293" s="1" t="s">
        <v>8315</v>
      </c>
      <c r="F5293">
        <v>1</v>
      </c>
      <c r="G5293" t="str">
        <f>HYPERLINK("http://babel.hathitrust.org/cgi/pt?id=uc1.$b616474")</f>
        <v>http://babel.hathitrust.org/cgi/pt?id=uc1.$b616474</v>
      </c>
      <c r="H5293" t="str">
        <f>HYPERLINK("http://catalog.hathitrust.org/Record/008578723")</f>
        <v>http://catalog.hathitrust.org/Record/008578723</v>
      </c>
      <c r="J5293" s="1">
        <v>1865</v>
      </c>
      <c r="K5293" t="s">
        <v>8316</v>
      </c>
      <c r="L5293" t="s">
        <v>16306</v>
      </c>
    </row>
    <row r="5294" spans="1:12">
      <c r="A5294" t="s">
        <v>8320</v>
      </c>
      <c r="B5294" s="1" t="s">
        <v>8315</v>
      </c>
      <c r="F5294">
        <v>1</v>
      </c>
      <c r="G5294" t="str">
        <f>HYPERLINK("http://babel.hathitrust.org/cgi/pt?id=uc2.ark:/13960/t0vq2z41d")</f>
        <v>http://babel.hathitrust.org/cgi/pt?id=uc2.ark:/13960/t0vq2z41d</v>
      </c>
      <c r="H5294" t="str">
        <f>HYPERLINK("http://catalog.hathitrust.org/Record/008578723")</f>
        <v>http://catalog.hathitrust.org/Record/008578723</v>
      </c>
      <c r="J5294" s="1">
        <v>1865</v>
      </c>
      <c r="K5294" t="s">
        <v>8316</v>
      </c>
      <c r="L5294" t="s">
        <v>16306</v>
      </c>
    </row>
    <row r="5295" spans="1:12">
      <c r="A5295" t="s">
        <v>8321</v>
      </c>
      <c r="B5295" s="1" t="s">
        <v>8322</v>
      </c>
      <c r="D5295">
        <v>1</v>
      </c>
      <c r="G5295" t="str">
        <f>HYPERLINK("http://babel.hathitrust.org/cgi/pt?id=uc1.$b616475")</f>
        <v>http://babel.hathitrust.org/cgi/pt?id=uc1.$b616475</v>
      </c>
      <c r="H5295" t="str">
        <f>HYPERLINK("http://catalog.hathitrust.org/Record/008578724")</f>
        <v>http://catalog.hathitrust.org/Record/008578724</v>
      </c>
      <c r="J5295" s="1">
        <v>1862</v>
      </c>
      <c r="K5295" t="s">
        <v>8323</v>
      </c>
      <c r="L5295" t="s">
        <v>13169</v>
      </c>
    </row>
    <row r="5296" spans="1:12">
      <c r="A5296" t="s">
        <v>8324</v>
      </c>
      <c r="B5296" s="1" t="s">
        <v>8325</v>
      </c>
      <c r="F5296">
        <v>1</v>
      </c>
      <c r="G5296" t="str">
        <f>HYPERLINK("http://babel.hathitrust.org/cgi/pt?id=nyp.33433069254328")</f>
        <v>http://babel.hathitrust.org/cgi/pt?id=nyp.33433069254328</v>
      </c>
      <c r="H5296" t="str">
        <f>HYPERLINK("http://catalog.hathitrust.org/Record/008578725")</f>
        <v>http://catalog.hathitrust.org/Record/008578725</v>
      </c>
      <c r="J5296" s="1">
        <v>1862</v>
      </c>
      <c r="K5296" t="s">
        <v>8326</v>
      </c>
      <c r="L5296" t="s">
        <v>13169</v>
      </c>
    </row>
    <row r="5297" spans="1:12">
      <c r="A5297" t="s">
        <v>8220</v>
      </c>
      <c r="B5297" s="1" t="s">
        <v>8325</v>
      </c>
      <c r="F5297">
        <v>1</v>
      </c>
      <c r="G5297" t="str">
        <f>HYPERLINK("http://babel.hathitrust.org/cgi/pt?id=uc1.$b616476")</f>
        <v>http://babel.hathitrust.org/cgi/pt?id=uc1.$b616476</v>
      </c>
      <c r="H5297" t="str">
        <f>HYPERLINK("http://catalog.hathitrust.org/Record/008578725")</f>
        <v>http://catalog.hathitrust.org/Record/008578725</v>
      </c>
      <c r="J5297" s="1">
        <v>1862</v>
      </c>
      <c r="K5297" t="s">
        <v>8326</v>
      </c>
      <c r="L5297" t="s">
        <v>13169</v>
      </c>
    </row>
    <row r="5298" spans="1:12">
      <c r="A5298" t="s">
        <v>8221</v>
      </c>
      <c r="B5298" s="1" t="s">
        <v>8325</v>
      </c>
      <c r="F5298">
        <v>1</v>
      </c>
      <c r="G5298" t="str">
        <f>HYPERLINK("http://babel.hathitrust.org/cgi/pt?id=uc2.ark:/13960/t3pv6h80h")</f>
        <v>http://babel.hathitrust.org/cgi/pt?id=uc2.ark:/13960/t3pv6h80h</v>
      </c>
      <c r="H5298" t="str">
        <f>HYPERLINK("http://catalog.hathitrust.org/Record/008578725")</f>
        <v>http://catalog.hathitrust.org/Record/008578725</v>
      </c>
      <c r="J5298" s="1">
        <v>1862</v>
      </c>
      <c r="K5298" t="s">
        <v>8326</v>
      </c>
      <c r="L5298" t="s">
        <v>13169</v>
      </c>
    </row>
    <row r="5299" spans="1:12">
      <c r="A5299" t="s">
        <v>8222</v>
      </c>
      <c r="B5299" s="1" t="s">
        <v>8223</v>
      </c>
      <c r="F5299">
        <v>1</v>
      </c>
      <c r="G5299" t="str">
        <f>HYPERLINK("http://babel.hathitrust.org/cgi/pt?id=uc1.$b616486")</f>
        <v>http://babel.hathitrust.org/cgi/pt?id=uc1.$b616486</v>
      </c>
      <c r="H5299" t="str">
        <f>HYPERLINK("http://catalog.hathitrust.org/Record/008578729")</f>
        <v>http://catalog.hathitrust.org/Record/008578729</v>
      </c>
      <c r="J5299" s="1">
        <v>1938</v>
      </c>
      <c r="K5299" t="s">
        <v>8224</v>
      </c>
      <c r="L5299" t="s">
        <v>8225</v>
      </c>
    </row>
    <row r="5300" spans="1:12">
      <c r="A5300" t="s">
        <v>8226</v>
      </c>
      <c r="B5300" s="1" t="s">
        <v>8227</v>
      </c>
      <c r="F5300">
        <v>1</v>
      </c>
      <c r="G5300" t="str">
        <f>HYPERLINK("http://babel.hathitrust.org/cgi/pt?id=uc2.ark:/13960/t0ms3qw0s")</f>
        <v>http://babel.hathitrust.org/cgi/pt?id=uc2.ark:/13960/t0ms3qw0s</v>
      </c>
      <c r="H5300" t="str">
        <f>HYPERLINK("http://catalog.hathitrust.org/Record/008578736")</f>
        <v>http://catalog.hathitrust.org/Record/008578736</v>
      </c>
      <c r="J5300" s="1">
        <v>1874</v>
      </c>
      <c r="K5300" t="s">
        <v>8228</v>
      </c>
      <c r="L5300" t="s">
        <v>8229</v>
      </c>
    </row>
    <row r="5301" spans="1:12">
      <c r="A5301" t="s">
        <v>8230</v>
      </c>
      <c r="B5301" s="1" t="s">
        <v>8231</v>
      </c>
      <c r="F5301">
        <v>1</v>
      </c>
      <c r="G5301" t="str">
        <f>HYPERLINK("http://babel.hathitrust.org/cgi/pt?id=hvd.hx5b18")</f>
        <v>http://babel.hathitrust.org/cgi/pt?id=hvd.hx5b18</v>
      </c>
      <c r="H5301" t="str">
        <f>HYPERLINK("http://catalog.hathitrust.org/Record/008578741")</f>
        <v>http://catalog.hathitrust.org/Record/008578741</v>
      </c>
      <c r="J5301" s="1">
        <v>1845</v>
      </c>
      <c r="K5301" t="s">
        <v>8232</v>
      </c>
      <c r="L5301" t="s">
        <v>8233</v>
      </c>
    </row>
    <row r="5302" spans="1:12">
      <c r="A5302" t="s">
        <v>8234</v>
      </c>
      <c r="B5302" s="1" t="s">
        <v>8231</v>
      </c>
      <c r="F5302">
        <v>1</v>
      </c>
      <c r="G5302" t="str">
        <f>HYPERLINK("http://babel.hathitrust.org/cgi/pt?id=njp.32101074743285")</f>
        <v>http://babel.hathitrust.org/cgi/pt?id=njp.32101074743285</v>
      </c>
      <c r="H5302" t="str">
        <f>HYPERLINK("http://catalog.hathitrust.org/Record/008578741")</f>
        <v>http://catalog.hathitrust.org/Record/008578741</v>
      </c>
      <c r="J5302" s="1">
        <v>1845</v>
      </c>
      <c r="K5302" t="s">
        <v>8232</v>
      </c>
      <c r="L5302" t="s">
        <v>8233</v>
      </c>
    </row>
    <row r="5303" spans="1:12">
      <c r="A5303" t="s">
        <v>8235</v>
      </c>
      <c r="B5303" s="1" t="s">
        <v>8231</v>
      </c>
      <c r="F5303">
        <v>1</v>
      </c>
      <c r="G5303" t="str">
        <f>HYPERLINK("http://babel.hathitrust.org/cgi/pt?id=uc1.$b616510")</f>
        <v>http://babel.hathitrust.org/cgi/pt?id=uc1.$b616510</v>
      </c>
      <c r="H5303" t="str">
        <f>HYPERLINK("http://catalog.hathitrust.org/Record/008578741")</f>
        <v>http://catalog.hathitrust.org/Record/008578741</v>
      </c>
      <c r="J5303" s="1">
        <v>1845</v>
      </c>
      <c r="K5303" t="s">
        <v>8232</v>
      </c>
      <c r="L5303" t="s">
        <v>8233</v>
      </c>
    </row>
    <row r="5304" spans="1:12">
      <c r="A5304" t="s">
        <v>8236</v>
      </c>
      <c r="B5304" s="1" t="s">
        <v>8231</v>
      </c>
      <c r="F5304">
        <v>1</v>
      </c>
      <c r="G5304" t="str">
        <f>HYPERLINK("http://babel.hathitrust.org/cgi/pt?id=uc2.ark:/13960/t86h4k468")</f>
        <v>http://babel.hathitrust.org/cgi/pt?id=uc2.ark:/13960/t86h4k468</v>
      </c>
      <c r="H5304" t="str">
        <f>HYPERLINK("http://catalog.hathitrust.org/Record/008578741")</f>
        <v>http://catalog.hathitrust.org/Record/008578741</v>
      </c>
      <c r="J5304" s="1">
        <v>1845</v>
      </c>
      <c r="K5304" t="s">
        <v>8232</v>
      </c>
      <c r="L5304" t="s">
        <v>8233</v>
      </c>
    </row>
    <row r="5305" spans="1:12">
      <c r="A5305" t="s">
        <v>8237</v>
      </c>
      <c r="B5305" s="1" t="s">
        <v>8238</v>
      </c>
      <c r="F5305">
        <v>1</v>
      </c>
      <c r="G5305" t="str">
        <f>HYPERLINK("http://babel.hathitrust.org/cgi/pt?id=uc1.$b616855")</f>
        <v>http://babel.hathitrust.org/cgi/pt?id=uc1.$b616855</v>
      </c>
      <c r="H5305" t="str">
        <f>HYPERLINK("http://catalog.hathitrust.org/Record/008578823")</f>
        <v>http://catalog.hathitrust.org/Record/008578823</v>
      </c>
      <c r="J5305" s="1">
        <v>1898</v>
      </c>
      <c r="K5305" t="s">
        <v>8239</v>
      </c>
      <c r="L5305" t="s">
        <v>8240</v>
      </c>
    </row>
    <row r="5306" spans="1:12">
      <c r="A5306" t="s">
        <v>8241</v>
      </c>
      <c r="B5306" s="1" t="s">
        <v>8242</v>
      </c>
      <c r="F5306">
        <v>1</v>
      </c>
      <c r="G5306" t="str">
        <f>HYPERLINK("http://babel.hathitrust.org/cgi/pt?id=nyp.33433081988499")</f>
        <v>http://babel.hathitrust.org/cgi/pt?id=nyp.33433081988499</v>
      </c>
      <c r="H5306" t="str">
        <f>HYPERLINK("http://catalog.hathitrust.org/Record/008578833")</f>
        <v>http://catalog.hathitrust.org/Record/008578833</v>
      </c>
      <c r="J5306" s="1">
        <v>1903</v>
      </c>
      <c r="K5306" t="s">
        <v>8243</v>
      </c>
      <c r="L5306" t="s">
        <v>8244</v>
      </c>
    </row>
    <row r="5307" spans="1:12">
      <c r="A5307" t="s">
        <v>8245</v>
      </c>
      <c r="B5307" s="1" t="s">
        <v>8242</v>
      </c>
      <c r="F5307">
        <v>1</v>
      </c>
      <c r="G5307" t="str">
        <f>HYPERLINK("http://babel.hathitrust.org/cgi/pt?id=uc1.$b616917")</f>
        <v>http://babel.hathitrust.org/cgi/pt?id=uc1.$b616917</v>
      </c>
      <c r="H5307" t="str">
        <f>HYPERLINK("http://catalog.hathitrust.org/Record/008578833")</f>
        <v>http://catalog.hathitrust.org/Record/008578833</v>
      </c>
      <c r="J5307" s="1">
        <v>1903</v>
      </c>
      <c r="K5307" t="s">
        <v>8243</v>
      </c>
      <c r="L5307" t="s">
        <v>8244</v>
      </c>
    </row>
    <row r="5308" spans="1:12">
      <c r="A5308" t="s">
        <v>8246</v>
      </c>
      <c r="B5308" s="1" t="s">
        <v>8242</v>
      </c>
      <c r="F5308">
        <v>1</v>
      </c>
      <c r="G5308" t="str">
        <f>HYPERLINK("http://babel.hathitrust.org/cgi/pt?id=uc2.ark:/13960/t36111v6q")</f>
        <v>http://babel.hathitrust.org/cgi/pt?id=uc2.ark:/13960/t36111v6q</v>
      </c>
      <c r="H5308" t="str">
        <f>HYPERLINK("http://catalog.hathitrust.org/Record/008578833")</f>
        <v>http://catalog.hathitrust.org/Record/008578833</v>
      </c>
      <c r="J5308" s="1">
        <v>1903</v>
      </c>
      <c r="K5308" t="s">
        <v>8243</v>
      </c>
      <c r="L5308" t="s">
        <v>8244</v>
      </c>
    </row>
    <row r="5309" spans="1:12">
      <c r="A5309" t="s">
        <v>8247</v>
      </c>
      <c r="B5309" s="1" t="s">
        <v>8248</v>
      </c>
      <c r="F5309">
        <v>1</v>
      </c>
      <c r="G5309" t="str">
        <f>HYPERLINK("http://babel.hathitrust.org/cgi/pt?id=uc1.$b605986")</f>
        <v>http://babel.hathitrust.org/cgi/pt?id=uc1.$b605986</v>
      </c>
      <c r="H5309" t="str">
        <f>HYPERLINK("http://catalog.hathitrust.org/Record/008579132")</f>
        <v>http://catalog.hathitrust.org/Record/008579132</v>
      </c>
      <c r="J5309" s="1">
        <v>1903</v>
      </c>
      <c r="K5309" t="s">
        <v>9862</v>
      </c>
      <c r="L5309" t="s">
        <v>19455</v>
      </c>
    </row>
    <row r="5310" spans="1:12">
      <c r="A5310" t="s">
        <v>8249</v>
      </c>
      <c r="B5310" s="1" t="s">
        <v>8250</v>
      </c>
      <c r="F5310">
        <v>1</v>
      </c>
      <c r="G5310" t="str">
        <f>HYPERLINK("http://babel.hathitrust.org/cgi/pt?id=uc1.$b606147")</f>
        <v>http://babel.hathitrust.org/cgi/pt?id=uc1.$b606147</v>
      </c>
      <c r="H5310" t="str">
        <f>HYPERLINK("http://catalog.hathitrust.org/Record/008579235")</f>
        <v>http://catalog.hathitrust.org/Record/008579235</v>
      </c>
      <c r="J5310" s="1">
        <v>1918</v>
      </c>
      <c r="K5310" t="s">
        <v>8251</v>
      </c>
      <c r="L5310" t="s">
        <v>8252</v>
      </c>
    </row>
    <row r="5311" spans="1:12">
      <c r="A5311" t="s">
        <v>8253</v>
      </c>
      <c r="B5311" s="1" t="s">
        <v>8250</v>
      </c>
      <c r="F5311">
        <v>1</v>
      </c>
      <c r="G5311" t="str">
        <f>HYPERLINK("http://babel.hathitrust.org/cgi/pt?id=uc2.ark:/13960/t39024m0w")</f>
        <v>http://babel.hathitrust.org/cgi/pt?id=uc2.ark:/13960/t39024m0w</v>
      </c>
      <c r="H5311" t="str">
        <f>HYPERLINK("http://catalog.hathitrust.org/Record/008579235")</f>
        <v>http://catalog.hathitrust.org/Record/008579235</v>
      </c>
      <c r="J5311" s="1">
        <v>1918</v>
      </c>
      <c r="K5311" t="s">
        <v>8251</v>
      </c>
      <c r="L5311" t="s">
        <v>8252</v>
      </c>
    </row>
    <row r="5312" spans="1:12">
      <c r="A5312" t="s">
        <v>8254</v>
      </c>
      <c r="B5312" s="1" t="s">
        <v>8255</v>
      </c>
      <c r="F5312">
        <v>1</v>
      </c>
      <c r="G5312" t="str">
        <f>HYPERLINK("http://babel.hathitrust.org/cgi/pt?id=nyp.33433082518642")</f>
        <v>http://babel.hathitrust.org/cgi/pt?id=nyp.33433082518642</v>
      </c>
      <c r="H5312" t="str">
        <f>HYPERLINK("http://catalog.hathitrust.org/Record/008584910")</f>
        <v>http://catalog.hathitrust.org/Record/008584910</v>
      </c>
      <c r="J5312" s="1">
        <v>1917</v>
      </c>
      <c r="K5312" t="s">
        <v>8256</v>
      </c>
      <c r="L5312" t="s">
        <v>8257</v>
      </c>
    </row>
    <row r="5313" spans="1:12">
      <c r="A5313" t="s">
        <v>8258</v>
      </c>
      <c r="B5313" s="1" t="s">
        <v>8259</v>
      </c>
      <c r="F5313">
        <v>1</v>
      </c>
      <c r="G5313" t="str">
        <f>HYPERLINK("http://babel.hathitrust.org/cgi/pt?id=nyp.33433001055684")</f>
        <v>http://babel.hathitrust.org/cgi/pt?id=nyp.33433001055684</v>
      </c>
      <c r="H5313" t="str">
        <f>HYPERLINK("http://catalog.hathitrust.org/Record/008587881")</f>
        <v>http://catalog.hathitrust.org/Record/008587881</v>
      </c>
      <c r="J5313" s="1">
        <v>1917</v>
      </c>
      <c r="K5313" t="s">
        <v>8260</v>
      </c>
      <c r="L5313" t="s">
        <v>21025</v>
      </c>
    </row>
    <row r="5314" spans="1:12">
      <c r="A5314" t="s">
        <v>8261</v>
      </c>
      <c r="B5314" s="1" t="s">
        <v>8262</v>
      </c>
      <c r="F5314">
        <v>1</v>
      </c>
      <c r="G5314" t="str">
        <f>HYPERLINK("http://babel.hathitrust.org/cgi/pt?id=nyp.33433000468516")</f>
        <v>http://babel.hathitrust.org/cgi/pt?id=nyp.33433000468516</v>
      </c>
      <c r="H5314" t="str">
        <f>HYPERLINK("http://catalog.hathitrust.org/Record/008588342")</f>
        <v>http://catalog.hathitrust.org/Record/008588342</v>
      </c>
      <c r="J5314" s="1">
        <v>1906</v>
      </c>
      <c r="K5314" t="s">
        <v>9832</v>
      </c>
      <c r="L5314" t="s">
        <v>15598</v>
      </c>
    </row>
    <row r="5315" spans="1:12">
      <c r="A5315" t="s">
        <v>8263</v>
      </c>
      <c r="B5315" s="1" t="s">
        <v>8262</v>
      </c>
      <c r="F5315">
        <v>1</v>
      </c>
      <c r="G5315" t="str">
        <f>HYPERLINK("http://babel.hathitrust.org/cgi/pt?id=yale.39002032470974")</f>
        <v>http://babel.hathitrust.org/cgi/pt?id=yale.39002032470974</v>
      </c>
      <c r="H5315" t="str">
        <f>HYPERLINK("http://catalog.hathitrust.org/Record/008588342")</f>
        <v>http://catalog.hathitrust.org/Record/008588342</v>
      </c>
      <c r="J5315" s="1">
        <v>1906</v>
      </c>
      <c r="K5315" t="s">
        <v>9832</v>
      </c>
      <c r="L5315" t="s">
        <v>15598</v>
      </c>
    </row>
    <row r="5316" spans="1:12">
      <c r="A5316" t="s">
        <v>8264</v>
      </c>
      <c r="B5316" s="1" t="s">
        <v>8265</v>
      </c>
      <c r="E5316">
        <v>1</v>
      </c>
      <c r="G5316" t="str">
        <f>HYPERLINK("http://babel.hathitrust.org/cgi/pt?id=nyp.33433082497623")</f>
        <v>http://babel.hathitrust.org/cgi/pt?id=nyp.33433082497623</v>
      </c>
      <c r="H5316" t="str">
        <f>HYPERLINK("http://catalog.hathitrust.org/Record/008589200")</f>
        <v>http://catalog.hathitrust.org/Record/008589200</v>
      </c>
      <c r="I5316" s="1" t="s">
        <v>20796</v>
      </c>
      <c r="J5316" s="1">
        <v>1839</v>
      </c>
      <c r="K5316" t="s">
        <v>8266</v>
      </c>
      <c r="L5316" t="s">
        <v>15050</v>
      </c>
    </row>
    <row r="5317" spans="1:12">
      <c r="A5317" t="s">
        <v>8267</v>
      </c>
      <c r="B5317" s="1" t="s">
        <v>8265</v>
      </c>
      <c r="E5317">
        <v>1</v>
      </c>
      <c r="G5317" t="str">
        <f>HYPERLINK("http://babel.hathitrust.org/cgi/pt?id=nyp.33433082497631")</f>
        <v>http://babel.hathitrust.org/cgi/pt?id=nyp.33433082497631</v>
      </c>
      <c r="H5317" t="str">
        <f>HYPERLINK("http://catalog.hathitrust.org/Record/008589200")</f>
        <v>http://catalog.hathitrust.org/Record/008589200</v>
      </c>
      <c r="I5317" s="1" t="s">
        <v>20799</v>
      </c>
      <c r="J5317" s="1">
        <v>1839</v>
      </c>
      <c r="K5317" t="s">
        <v>8266</v>
      </c>
      <c r="L5317" t="s">
        <v>15050</v>
      </c>
    </row>
    <row r="5318" spans="1:12">
      <c r="A5318" t="s">
        <v>8268</v>
      </c>
      <c r="B5318" s="1" t="s">
        <v>8265</v>
      </c>
      <c r="E5318">
        <v>1</v>
      </c>
      <c r="G5318" t="str">
        <f>HYPERLINK("http://babel.hathitrust.org/cgi/pt?id=nyp.33433082497664")</f>
        <v>http://babel.hathitrust.org/cgi/pt?id=nyp.33433082497664</v>
      </c>
      <c r="H5318" t="str">
        <f>HYPERLINK("http://catalog.hathitrust.org/Record/008589200")</f>
        <v>http://catalog.hathitrust.org/Record/008589200</v>
      </c>
      <c r="I5318" s="1" t="s">
        <v>20801</v>
      </c>
      <c r="J5318" s="1">
        <v>1839</v>
      </c>
      <c r="K5318" t="s">
        <v>8266</v>
      </c>
      <c r="L5318" t="s">
        <v>15050</v>
      </c>
    </row>
    <row r="5319" spans="1:12">
      <c r="A5319" t="s">
        <v>8269</v>
      </c>
      <c r="B5319" s="1" t="s">
        <v>8265</v>
      </c>
      <c r="E5319">
        <v>1</v>
      </c>
      <c r="G5319" t="str">
        <f>HYPERLINK("http://babel.hathitrust.org/cgi/pt?id=nyp.33433082497672")</f>
        <v>http://babel.hathitrust.org/cgi/pt?id=nyp.33433082497672</v>
      </c>
      <c r="H5319" t="str">
        <f>HYPERLINK("http://catalog.hathitrust.org/Record/008589200")</f>
        <v>http://catalog.hathitrust.org/Record/008589200</v>
      </c>
      <c r="I5319" s="1" t="s">
        <v>20803</v>
      </c>
      <c r="J5319" s="1">
        <v>1839</v>
      </c>
      <c r="K5319" t="s">
        <v>8266</v>
      </c>
      <c r="L5319" t="s">
        <v>15050</v>
      </c>
    </row>
    <row r="5320" spans="1:12">
      <c r="A5320" t="s">
        <v>8270</v>
      </c>
      <c r="B5320" s="1" t="s">
        <v>8271</v>
      </c>
      <c r="E5320">
        <v>1</v>
      </c>
      <c r="G5320" t="str">
        <f>HYPERLINK("http://babel.hathitrust.org/cgi/pt?id=nyp.33433082502463")</f>
        <v>http://babel.hathitrust.org/cgi/pt?id=nyp.33433082502463</v>
      </c>
      <c r="H5320" t="str">
        <f>HYPERLINK("http://catalog.hathitrust.org/Record/008589312")</f>
        <v>http://catalog.hathitrust.org/Record/008589312</v>
      </c>
      <c r="J5320" s="1">
        <v>1809</v>
      </c>
      <c r="K5320" t="s">
        <v>8171</v>
      </c>
      <c r="L5320" t="s">
        <v>9521</v>
      </c>
    </row>
    <row r="5321" spans="1:12">
      <c r="A5321" t="s">
        <v>8172</v>
      </c>
      <c r="B5321" s="1" t="s">
        <v>8173</v>
      </c>
      <c r="F5321">
        <v>1</v>
      </c>
      <c r="G5321" t="str">
        <f>HYPERLINK("http://babel.hathitrust.org/cgi/pt?id=nyp.33433082510441")</f>
        <v>http://babel.hathitrust.org/cgi/pt?id=nyp.33433082510441</v>
      </c>
      <c r="H5321" t="str">
        <f>HYPERLINK("http://catalog.hathitrust.org/Record/008589381")</f>
        <v>http://catalog.hathitrust.org/Record/008589381</v>
      </c>
      <c r="J5321" s="1">
        <v>1879</v>
      </c>
      <c r="K5321" t="s">
        <v>8174</v>
      </c>
      <c r="L5321" t="s">
        <v>8175</v>
      </c>
    </row>
    <row r="5322" spans="1:12">
      <c r="A5322" t="s">
        <v>8176</v>
      </c>
      <c r="B5322" s="1" t="s">
        <v>8173</v>
      </c>
      <c r="F5322">
        <v>1</v>
      </c>
      <c r="G5322" t="str">
        <f>HYPERLINK("http://babel.hathitrust.org/cgi/pt?id=uc2.ark:/13960/fk6rx93q6t")</f>
        <v>http://babel.hathitrust.org/cgi/pt?id=uc2.ark:/13960/fk6rx93q6t</v>
      </c>
      <c r="H5322" t="str">
        <f>HYPERLINK("http://catalog.hathitrust.org/Record/008589381")</f>
        <v>http://catalog.hathitrust.org/Record/008589381</v>
      </c>
      <c r="J5322" s="1">
        <v>1879</v>
      </c>
      <c r="K5322" t="s">
        <v>8174</v>
      </c>
      <c r="L5322" t="s">
        <v>8175</v>
      </c>
    </row>
    <row r="5323" spans="1:12">
      <c r="A5323" t="s">
        <v>8177</v>
      </c>
      <c r="B5323" s="1" t="s">
        <v>8178</v>
      </c>
      <c r="F5323">
        <v>1</v>
      </c>
      <c r="G5323" t="str">
        <f>HYPERLINK("http://babel.hathitrust.org/cgi/pt?id=hvd.hx6ygd")</f>
        <v>http://babel.hathitrust.org/cgi/pt?id=hvd.hx6ygd</v>
      </c>
      <c r="H5323" t="str">
        <f>HYPERLINK("http://catalog.hathitrust.org/Record/008589386")</f>
        <v>http://catalog.hathitrust.org/Record/008589386</v>
      </c>
      <c r="I5323" s="1" t="s">
        <v>20916</v>
      </c>
      <c r="J5323" s="1">
        <v>1811</v>
      </c>
      <c r="K5323" t="s">
        <v>8179</v>
      </c>
      <c r="L5323" t="s">
        <v>8180</v>
      </c>
    </row>
    <row r="5324" spans="1:12">
      <c r="A5324" t="s">
        <v>8181</v>
      </c>
      <c r="B5324" s="1" t="s">
        <v>8178</v>
      </c>
      <c r="F5324">
        <v>1</v>
      </c>
      <c r="G5324" t="str">
        <f>HYPERLINK("http://babel.hathitrust.org/cgi/pt?id=hvd.hx6ygs")</f>
        <v>http://babel.hathitrust.org/cgi/pt?id=hvd.hx6ygs</v>
      </c>
      <c r="H5324" t="str">
        <f>HYPERLINK("http://catalog.hathitrust.org/Record/008589386")</f>
        <v>http://catalog.hathitrust.org/Record/008589386</v>
      </c>
      <c r="I5324" s="1" t="s">
        <v>20755</v>
      </c>
      <c r="J5324" s="1">
        <v>1811</v>
      </c>
      <c r="K5324" t="s">
        <v>8179</v>
      </c>
      <c r="L5324" t="s">
        <v>8180</v>
      </c>
    </row>
    <row r="5325" spans="1:12">
      <c r="A5325" t="s">
        <v>8182</v>
      </c>
      <c r="B5325" s="1" t="s">
        <v>8178</v>
      </c>
      <c r="E5325">
        <v>1</v>
      </c>
      <c r="F5325">
        <v>1</v>
      </c>
      <c r="G5325" t="str">
        <f>HYPERLINK("http://babel.hathitrust.org/cgi/pt?id=nyp.33433082511050")</f>
        <v>http://babel.hathitrust.org/cgi/pt?id=nyp.33433082511050</v>
      </c>
      <c r="H5325" t="str">
        <f>HYPERLINK("http://catalog.hathitrust.org/Record/008589386")</f>
        <v>http://catalog.hathitrust.org/Record/008589386</v>
      </c>
      <c r="I5325" s="1" t="s">
        <v>20796</v>
      </c>
      <c r="J5325" s="1">
        <v>1811</v>
      </c>
      <c r="K5325" t="s">
        <v>8179</v>
      </c>
      <c r="L5325" t="s">
        <v>8180</v>
      </c>
    </row>
    <row r="5326" spans="1:12">
      <c r="A5326" t="s">
        <v>8183</v>
      </c>
      <c r="B5326" s="1" t="s">
        <v>8178</v>
      </c>
      <c r="E5326">
        <v>1</v>
      </c>
      <c r="F5326">
        <v>1</v>
      </c>
      <c r="G5326" t="str">
        <f>HYPERLINK("http://babel.hathitrust.org/cgi/pt?id=nyp.33433082511068")</f>
        <v>http://babel.hathitrust.org/cgi/pt?id=nyp.33433082511068</v>
      </c>
      <c r="H5326" t="str">
        <f>HYPERLINK("http://catalog.hathitrust.org/Record/008589386")</f>
        <v>http://catalog.hathitrust.org/Record/008589386</v>
      </c>
      <c r="I5326" s="1" t="s">
        <v>20799</v>
      </c>
      <c r="J5326" s="1">
        <v>1811</v>
      </c>
      <c r="K5326" t="s">
        <v>8179</v>
      </c>
      <c r="L5326" t="s">
        <v>8180</v>
      </c>
    </row>
    <row r="5327" spans="1:12">
      <c r="A5327" t="s">
        <v>8184</v>
      </c>
      <c r="B5327" s="1" t="s">
        <v>8185</v>
      </c>
      <c r="F5327">
        <v>1</v>
      </c>
      <c r="G5327" t="str">
        <f>HYPERLINK("http://babel.hathitrust.org/cgi/pt?id=nyp.33433074788997")</f>
        <v>http://babel.hathitrust.org/cgi/pt?id=nyp.33433074788997</v>
      </c>
      <c r="H5327" t="str">
        <f t="shared" ref="H5327:H5332" si="57">HYPERLINK("http://catalog.hathitrust.org/Record/008589780")</f>
        <v>http://catalog.hathitrust.org/Record/008589780</v>
      </c>
      <c r="I5327" s="1" t="s">
        <v>20799</v>
      </c>
      <c r="J5327" s="1">
        <v>1814</v>
      </c>
      <c r="K5327" t="s">
        <v>8186</v>
      </c>
      <c r="L5327" t="s">
        <v>18678</v>
      </c>
    </row>
    <row r="5328" spans="1:12">
      <c r="A5328" t="s">
        <v>8187</v>
      </c>
      <c r="B5328" s="1" t="s">
        <v>8185</v>
      </c>
      <c r="F5328">
        <v>1</v>
      </c>
      <c r="G5328" t="str">
        <f>HYPERLINK("http://babel.hathitrust.org/cgi/pt?id=nyp.33433074789003")</f>
        <v>http://babel.hathitrust.org/cgi/pt?id=nyp.33433074789003</v>
      </c>
      <c r="H5328" t="str">
        <f t="shared" si="57"/>
        <v>http://catalog.hathitrust.org/Record/008589780</v>
      </c>
      <c r="I5328" s="1" t="s">
        <v>20796</v>
      </c>
      <c r="J5328" s="1">
        <v>1814</v>
      </c>
      <c r="K5328" t="s">
        <v>8186</v>
      </c>
      <c r="L5328" t="s">
        <v>18678</v>
      </c>
    </row>
    <row r="5329" spans="1:12">
      <c r="A5329" t="s">
        <v>8188</v>
      </c>
      <c r="B5329" s="1" t="s">
        <v>8185</v>
      </c>
      <c r="F5329">
        <v>1</v>
      </c>
      <c r="G5329" t="str">
        <f>HYPERLINK("http://babel.hathitrust.org/cgi/pt?id=nyp.33433074789268")</f>
        <v>http://babel.hathitrust.org/cgi/pt?id=nyp.33433074789268</v>
      </c>
      <c r="H5329" t="str">
        <f t="shared" si="57"/>
        <v>http://catalog.hathitrust.org/Record/008589780</v>
      </c>
      <c r="I5329" s="1" t="s">
        <v>20803</v>
      </c>
      <c r="J5329" s="1">
        <v>1814</v>
      </c>
      <c r="K5329" t="s">
        <v>8186</v>
      </c>
      <c r="L5329" t="s">
        <v>18678</v>
      </c>
    </row>
    <row r="5330" spans="1:12">
      <c r="A5330" t="s">
        <v>8189</v>
      </c>
      <c r="B5330" s="1" t="s">
        <v>8185</v>
      </c>
      <c r="F5330">
        <v>1</v>
      </c>
      <c r="G5330" t="str">
        <f>HYPERLINK("http://babel.hathitrust.org/cgi/pt?id=nyp.33433074789276")</f>
        <v>http://babel.hathitrust.org/cgi/pt?id=nyp.33433074789276</v>
      </c>
      <c r="H5330" t="str">
        <f t="shared" si="57"/>
        <v>http://catalog.hathitrust.org/Record/008589780</v>
      </c>
      <c r="I5330" s="1" t="s">
        <v>20801</v>
      </c>
      <c r="J5330" s="1">
        <v>1814</v>
      </c>
      <c r="K5330" t="s">
        <v>8186</v>
      </c>
      <c r="L5330" t="s">
        <v>18678</v>
      </c>
    </row>
    <row r="5331" spans="1:12">
      <c r="A5331" t="s">
        <v>8190</v>
      </c>
      <c r="B5331" s="1" t="s">
        <v>8185</v>
      </c>
      <c r="F5331">
        <v>1</v>
      </c>
      <c r="G5331" t="str">
        <f>HYPERLINK("http://babel.hathitrust.org/cgi/pt?id=nyp.33433074921549")</f>
        <v>http://babel.hathitrust.org/cgi/pt?id=nyp.33433074921549</v>
      </c>
      <c r="H5331" t="str">
        <f t="shared" si="57"/>
        <v>http://catalog.hathitrust.org/Record/008589780</v>
      </c>
      <c r="I5331" s="1" t="s">
        <v>20796</v>
      </c>
      <c r="J5331" s="1">
        <v>1814</v>
      </c>
      <c r="K5331" t="s">
        <v>8186</v>
      </c>
      <c r="L5331" t="s">
        <v>18678</v>
      </c>
    </row>
    <row r="5332" spans="1:12">
      <c r="A5332" t="s">
        <v>8191</v>
      </c>
      <c r="B5332" s="1" t="s">
        <v>8185</v>
      </c>
      <c r="F5332">
        <v>1</v>
      </c>
      <c r="G5332" t="str">
        <f>HYPERLINK("http://babel.hathitrust.org/cgi/pt?id=nyp.33433074921556")</f>
        <v>http://babel.hathitrust.org/cgi/pt?id=nyp.33433074921556</v>
      </c>
      <c r="H5332" t="str">
        <f t="shared" si="57"/>
        <v>http://catalog.hathitrust.org/Record/008589780</v>
      </c>
      <c r="I5332" s="1" t="s">
        <v>20799</v>
      </c>
      <c r="J5332" s="1">
        <v>1814</v>
      </c>
      <c r="K5332" t="s">
        <v>8186</v>
      </c>
      <c r="L5332" t="s">
        <v>18678</v>
      </c>
    </row>
    <row r="5333" spans="1:12">
      <c r="A5333" t="s">
        <v>8192</v>
      </c>
      <c r="B5333" s="1" t="s">
        <v>8193</v>
      </c>
      <c r="D5333">
        <v>1</v>
      </c>
      <c r="G5333" t="str">
        <f>HYPERLINK("http://babel.hathitrust.org/cgi/pt?id=hvd.hnza86")</f>
        <v>http://babel.hathitrust.org/cgi/pt?id=hvd.hnza86</v>
      </c>
      <c r="H5333" t="str">
        <f>HYPERLINK("http://catalog.hathitrust.org/Record/008589841")</f>
        <v>http://catalog.hathitrust.org/Record/008589841</v>
      </c>
      <c r="J5333" s="1">
        <v>1831</v>
      </c>
      <c r="K5333" t="s">
        <v>10305</v>
      </c>
      <c r="L5333" t="s">
        <v>15833</v>
      </c>
    </row>
    <row r="5334" spans="1:12">
      <c r="A5334" t="s">
        <v>8194</v>
      </c>
      <c r="B5334" s="1" t="s">
        <v>8195</v>
      </c>
      <c r="D5334">
        <v>1</v>
      </c>
      <c r="G5334" t="str">
        <f>HYPERLINK("http://babel.hathitrust.org/cgi/pt?id=nyp.33433074903695")</f>
        <v>http://babel.hathitrust.org/cgi/pt?id=nyp.33433074903695</v>
      </c>
      <c r="H5334" t="str">
        <f>HYPERLINK("http://catalog.hathitrust.org/Record/008589845")</f>
        <v>http://catalog.hathitrust.org/Record/008589845</v>
      </c>
      <c r="J5334" s="1">
        <v>1866</v>
      </c>
      <c r="K5334" t="s">
        <v>8196</v>
      </c>
      <c r="L5334" t="s">
        <v>15833</v>
      </c>
    </row>
    <row r="5335" spans="1:12">
      <c r="A5335" t="s">
        <v>8197</v>
      </c>
      <c r="B5335" s="1" t="s">
        <v>8198</v>
      </c>
      <c r="F5335">
        <v>1</v>
      </c>
      <c r="G5335" t="str">
        <f>HYPERLINK("http://babel.hathitrust.org/cgi/pt?id=nyp.33433081968459")</f>
        <v>http://babel.hathitrust.org/cgi/pt?id=nyp.33433081968459</v>
      </c>
      <c r="H5335" t="str">
        <f>HYPERLINK("http://catalog.hathitrust.org/Record/008590346")</f>
        <v>http://catalog.hathitrust.org/Record/008590346</v>
      </c>
      <c r="I5335" s="1" t="s">
        <v>8200</v>
      </c>
      <c r="J5335" s="1">
        <v>1775</v>
      </c>
      <c r="K5335" t="s">
        <v>8199</v>
      </c>
      <c r="L5335" t="s">
        <v>8201</v>
      </c>
    </row>
    <row r="5336" spans="1:12">
      <c r="A5336" t="s">
        <v>8202</v>
      </c>
      <c r="B5336" s="1" t="s">
        <v>8198</v>
      </c>
      <c r="F5336">
        <v>1</v>
      </c>
      <c r="G5336" t="str">
        <f>HYPERLINK("http://babel.hathitrust.org/cgi/pt?id=nyp.33433081968467")</f>
        <v>http://babel.hathitrust.org/cgi/pt?id=nyp.33433081968467</v>
      </c>
      <c r="H5336" t="str">
        <f>HYPERLINK("http://catalog.hathitrust.org/Record/008590346")</f>
        <v>http://catalog.hathitrust.org/Record/008590346</v>
      </c>
      <c r="I5336" s="1" t="s">
        <v>20799</v>
      </c>
      <c r="J5336" s="1">
        <v>1775</v>
      </c>
      <c r="K5336" t="s">
        <v>8199</v>
      </c>
      <c r="L5336" t="s">
        <v>8201</v>
      </c>
    </row>
    <row r="5337" spans="1:12">
      <c r="A5337" t="s">
        <v>8203</v>
      </c>
      <c r="B5337" s="1" t="s">
        <v>8204</v>
      </c>
      <c r="E5337">
        <v>1</v>
      </c>
      <c r="F5337">
        <v>1</v>
      </c>
      <c r="G5337" t="str">
        <f>HYPERLINK("http://babel.hathitrust.org/cgi/pt?id=nyp.33433082310750")</f>
        <v>http://babel.hathitrust.org/cgi/pt?id=nyp.33433082310750</v>
      </c>
      <c r="H5337" t="str">
        <f>HYPERLINK("http://catalog.hathitrust.org/Record/008590353")</f>
        <v>http://catalog.hathitrust.org/Record/008590353</v>
      </c>
      <c r="J5337" s="1">
        <v>1882</v>
      </c>
      <c r="K5337" t="s">
        <v>11849</v>
      </c>
      <c r="L5337" t="s">
        <v>15662</v>
      </c>
    </row>
    <row r="5338" spans="1:12">
      <c r="A5338" t="s">
        <v>8205</v>
      </c>
      <c r="B5338" s="1" t="s">
        <v>8206</v>
      </c>
      <c r="F5338">
        <v>1</v>
      </c>
      <c r="G5338" t="str">
        <f>HYPERLINK("http://babel.hathitrust.org/cgi/pt?id=nyp.33433069248197")</f>
        <v>http://babel.hathitrust.org/cgi/pt?id=nyp.33433069248197</v>
      </c>
      <c r="H5338" t="str">
        <f>HYPERLINK("http://catalog.hathitrust.org/Record/008590364")</f>
        <v>http://catalog.hathitrust.org/Record/008590364</v>
      </c>
      <c r="J5338" s="1">
        <v>1800</v>
      </c>
      <c r="K5338" t="s">
        <v>8207</v>
      </c>
      <c r="L5338" t="s">
        <v>18581</v>
      </c>
    </row>
    <row r="5339" spans="1:12">
      <c r="A5339" t="s">
        <v>8208</v>
      </c>
      <c r="B5339" s="1" t="s">
        <v>8209</v>
      </c>
      <c r="E5339">
        <v>1</v>
      </c>
      <c r="F5339">
        <v>1</v>
      </c>
      <c r="G5339" t="str">
        <f>HYPERLINK("http://babel.hathitrust.org/cgi/pt?id=nyp.33433069256513")</f>
        <v>http://babel.hathitrust.org/cgi/pt?id=nyp.33433069256513</v>
      </c>
      <c r="H5339" t="str">
        <f>HYPERLINK("http://catalog.hathitrust.org/Record/008590374")</f>
        <v>http://catalog.hathitrust.org/Record/008590374</v>
      </c>
      <c r="J5339" s="1">
        <v>1851</v>
      </c>
      <c r="K5339" t="s">
        <v>8210</v>
      </c>
      <c r="L5339" t="s">
        <v>8211</v>
      </c>
    </row>
    <row r="5340" spans="1:12">
      <c r="A5340" t="s">
        <v>8212</v>
      </c>
      <c r="B5340" s="1" t="s">
        <v>8213</v>
      </c>
      <c r="D5340">
        <v>1</v>
      </c>
      <c r="G5340" t="str">
        <f>HYPERLINK("http://babel.hathitrust.org/cgi/pt?id=nyp.33433001046691")</f>
        <v>http://babel.hathitrust.org/cgi/pt?id=nyp.33433001046691</v>
      </c>
      <c r="H5340" t="str">
        <f>HYPERLINK("http://catalog.hathitrust.org/Record/008591093")</f>
        <v>http://catalog.hathitrust.org/Record/008591093</v>
      </c>
      <c r="J5340" s="1">
        <v>1812</v>
      </c>
      <c r="K5340" t="s">
        <v>8214</v>
      </c>
      <c r="L5340" t="s">
        <v>20043</v>
      </c>
    </row>
    <row r="5341" spans="1:12">
      <c r="A5341" t="s">
        <v>8215</v>
      </c>
      <c r="B5341" s="1" t="s">
        <v>8216</v>
      </c>
      <c r="F5341">
        <v>1</v>
      </c>
      <c r="G5341" t="str">
        <f>HYPERLINK("http://babel.hathitrust.org/cgi/pt?id=hvd.hn32tf")</f>
        <v>http://babel.hathitrust.org/cgi/pt?id=hvd.hn32tf</v>
      </c>
      <c r="H5341" t="str">
        <f>HYPERLINK("http://catalog.hathitrust.org/Record/008591201")</f>
        <v>http://catalog.hathitrust.org/Record/008591201</v>
      </c>
      <c r="J5341" s="1">
        <v>1850</v>
      </c>
      <c r="K5341" t="s">
        <v>8217</v>
      </c>
      <c r="L5341" t="s">
        <v>8218</v>
      </c>
    </row>
    <row r="5342" spans="1:12">
      <c r="A5342" t="s">
        <v>8219</v>
      </c>
      <c r="B5342" s="1" t="s">
        <v>8216</v>
      </c>
      <c r="F5342">
        <v>1</v>
      </c>
      <c r="G5342" t="str">
        <f>HYPERLINK("http://babel.hathitrust.org/cgi/pt?id=nyp.33433017205679")</f>
        <v>http://babel.hathitrust.org/cgi/pt?id=nyp.33433017205679</v>
      </c>
      <c r="H5342" t="str">
        <f>HYPERLINK("http://catalog.hathitrust.org/Record/008591201")</f>
        <v>http://catalog.hathitrust.org/Record/008591201</v>
      </c>
      <c r="J5342" s="1">
        <v>1850</v>
      </c>
      <c r="K5342" t="s">
        <v>8217</v>
      </c>
      <c r="L5342" t="s">
        <v>8218</v>
      </c>
    </row>
    <row r="5343" spans="1:12">
      <c r="A5343" t="s">
        <v>8136</v>
      </c>
      <c r="B5343" s="1" t="s">
        <v>8216</v>
      </c>
      <c r="F5343">
        <v>1</v>
      </c>
      <c r="G5343" t="str">
        <f>HYPERLINK("http://babel.hathitrust.org/cgi/pt?id=nyp.33433034372072")</f>
        <v>http://babel.hathitrust.org/cgi/pt?id=nyp.33433034372072</v>
      </c>
      <c r="H5343" t="str">
        <f>HYPERLINK("http://catalog.hathitrust.org/Record/008591201")</f>
        <v>http://catalog.hathitrust.org/Record/008591201</v>
      </c>
      <c r="J5343" s="1">
        <v>1850</v>
      </c>
      <c r="K5343" t="s">
        <v>8217</v>
      </c>
      <c r="L5343" t="s">
        <v>8218</v>
      </c>
    </row>
    <row r="5344" spans="1:12">
      <c r="A5344" t="s">
        <v>8137</v>
      </c>
      <c r="B5344" s="1" t="s">
        <v>8138</v>
      </c>
      <c r="D5344">
        <v>1</v>
      </c>
      <c r="G5344" t="str">
        <f>HYPERLINK("http://babel.hathitrust.org/cgi/pt?id=nyp.33433000183008")</f>
        <v>http://babel.hathitrust.org/cgi/pt?id=nyp.33433000183008</v>
      </c>
      <c r="H5344" t="str">
        <f>HYPERLINK("http://catalog.hathitrust.org/Record/008594371")</f>
        <v>http://catalog.hathitrust.org/Record/008594371</v>
      </c>
      <c r="J5344" s="1">
        <v>1776</v>
      </c>
      <c r="K5344" t="s">
        <v>8139</v>
      </c>
      <c r="L5344" t="s">
        <v>20275</v>
      </c>
    </row>
    <row r="5345" spans="1:12">
      <c r="A5345" t="s">
        <v>8140</v>
      </c>
      <c r="B5345" s="1" t="s">
        <v>8141</v>
      </c>
      <c r="E5345">
        <v>1</v>
      </c>
      <c r="F5345">
        <v>1</v>
      </c>
      <c r="G5345" t="str">
        <f>HYPERLINK("http://babel.hathitrust.org/cgi/pt?id=hvd.hw2308")</f>
        <v>http://babel.hathitrust.org/cgi/pt?id=hvd.hw2308</v>
      </c>
      <c r="H5345" t="str">
        <f>HYPERLINK("http://catalog.hathitrust.org/Record/008602678")</f>
        <v>http://catalog.hathitrust.org/Record/008602678</v>
      </c>
      <c r="J5345" s="1">
        <v>1847</v>
      </c>
      <c r="K5345" t="s">
        <v>8142</v>
      </c>
      <c r="L5345" t="s">
        <v>19514</v>
      </c>
    </row>
    <row r="5346" spans="1:12">
      <c r="A5346" t="s">
        <v>8143</v>
      </c>
      <c r="B5346" s="1" t="s">
        <v>8141</v>
      </c>
      <c r="F5346">
        <v>1</v>
      </c>
      <c r="G5346" t="str">
        <f>HYPERLINK("http://babel.hathitrust.org/cgi/pt?id=nyp.33433084113376")</f>
        <v>http://babel.hathitrust.org/cgi/pt?id=nyp.33433084113376</v>
      </c>
      <c r="H5346" t="str">
        <f>HYPERLINK("http://catalog.hathitrust.org/Record/008602678")</f>
        <v>http://catalog.hathitrust.org/Record/008602678</v>
      </c>
      <c r="J5346" s="1">
        <v>1847</v>
      </c>
      <c r="K5346" t="s">
        <v>8142</v>
      </c>
      <c r="L5346" t="s">
        <v>19514</v>
      </c>
    </row>
    <row r="5347" spans="1:12">
      <c r="A5347" t="s">
        <v>8144</v>
      </c>
      <c r="B5347" s="1" t="s">
        <v>8145</v>
      </c>
      <c r="F5347">
        <v>1</v>
      </c>
      <c r="G5347" t="str">
        <f>HYPERLINK("http://babel.hathitrust.org/cgi/pt?id=nyp.33433082518519")</f>
        <v>http://babel.hathitrust.org/cgi/pt?id=nyp.33433082518519</v>
      </c>
      <c r="H5347" t="str">
        <f>HYPERLINK("http://catalog.hathitrust.org/Record/008603830")</f>
        <v>http://catalog.hathitrust.org/Record/008603830</v>
      </c>
      <c r="J5347" s="1">
        <v>1863</v>
      </c>
      <c r="K5347" t="s">
        <v>8146</v>
      </c>
      <c r="L5347" t="s">
        <v>20065</v>
      </c>
    </row>
    <row r="5348" spans="1:12">
      <c r="A5348" t="s">
        <v>8147</v>
      </c>
      <c r="B5348" s="1" t="s">
        <v>8148</v>
      </c>
      <c r="F5348">
        <v>1</v>
      </c>
      <c r="G5348" t="str">
        <f>HYPERLINK("http://babel.hathitrust.org/cgi/pt?id=nyp.33433074909031")</f>
        <v>http://babel.hathitrust.org/cgi/pt?id=nyp.33433074909031</v>
      </c>
      <c r="H5348" t="str">
        <f>HYPERLINK("http://catalog.hathitrust.org/Record/008603868")</f>
        <v>http://catalog.hathitrust.org/Record/008603868</v>
      </c>
      <c r="I5348" s="1" t="s">
        <v>20799</v>
      </c>
      <c r="J5348" s="1">
        <v>1820</v>
      </c>
      <c r="K5348" t="s">
        <v>8149</v>
      </c>
      <c r="L5348" t="s">
        <v>9647</v>
      </c>
    </row>
    <row r="5349" spans="1:12">
      <c r="A5349" t="s">
        <v>8150</v>
      </c>
      <c r="B5349" s="1" t="s">
        <v>8148</v>
      </c>
      <c r="F5349">
        <v>1</v>
      </c>
      <c r="G5349" t="str">
        <f>HYPERLINK("http://babel.hathitrust.org/cgi/pt?id=nyp.33433074909049")</f>
        <v>http://babel.hathitrust.org/cgi/pt?id=nyp.33433074909049</v>
      </c>
      <c r="H5349" t="str">
        <f>HYPERLINK("http://catalog.hathitrust.org/Record/008603868")</f>
        <v>http://catalog.hathitrust.org/Record/008603868</v>
      </c>
      <c r="I5349" s="1" t="s">
        <v>20796</v>
      </c>
      <c r="J5349" s="1">
        <v>1820</v>
      </c>
      <c r="K5349" t="s">
        <v>8149</v>
      </c>
      <c r="L5349" t="s">
        <v>9647</v>
      </c>
    </row>
    <row r="5350" spans="1:12">
      <c r="A5350" t="s">
        <v>8151</v>
      </c>
      <c r="B5350" s="1" t="s">
        <v>8152</v>
      </c>
      <c r="E5350">
        <v>1</v>
      </c>
      <c r="G5350" t="str">
        <f>HYPERLINK("http://babel.hathitrust.org/cgi/pt?id=nyp.33433020415604")</f>
        <v>http://babel.hathitrust.org/cgi/pt?id=nyp.33433020415604</v>
      </c>
      <c r="H5350" t="str">
        <f>HYPERLINK("http://catalog.hathitrust.org/Record/008605732")</f>
        <v>http://catalog.hathitrust.org/Record/008605732</v>
      </c>
      <c r="J5350" s="1">
        <v>1921</v>
      </c>
      <c r="K5350" t="s">
        <v>8153</v>
      </c>
      <c r="L5350" t="s">
        <v>15684</v>
      </c>
    </row>
    <row r="5351" spans="1:12">
      <c r="A5351" t="s">
        <v>8154</v>
      </c>
      <c r="B5351" s="1" t="s">
        <v>8155</v>
      </c>
      <c r="F5351">
        <v>1</v>
      </c>
      <c r="G5351" t="str">
        <f>HYPERLINK("http://babel.hathitrust.org/cgi/pt?id=nyp.33433020445999")</f>
        <v>http://babel.hathitrust.org/cgi/pt?id=nyp.33433020445999</v>
      </c>
      <c r="H5351" t="str">
        <f>HYPERLINK("http://catalog.hathitrust.org/Record/008605825")</f>
        <v>http://catalog.hathitrust.org/Record/008605825</v>
      </c>
      <c r="J5351" s="1">
        <v>1910</v>
      </c>
      <c r="K5351" t="s">
        <v>8156</v>
      </c>
      <c r="L5351" t="s">
        <v>8157</v>
      </c>
    </row>
    <row r="5352" spans="1:12">
      <c r="A5352" t="s">
        <v>8158</v>
      </c>
      <c r="B5352" s="1" t="s">
        <v>8159</v>
      </c>
      <c r="F5352">
        <v>1</v>
      </c>
      <c r="G5352" t="str">
        <f>HYPERLINK("http://babel.hathitrust.org/cgi/pt?id=nyp.33433006346385")</f>
        <v>http://babel.hathitrust.org/cgi/pt?id=nyp.33433006346385</v>
      </c>
      <c r="H5352" t="str">
        <f>HYPERLINK("http://catalog.hathitrust.org/Record/008609163")</f>
        <v>http://catalog.hathitrust.org/Record/008609163</v>
      </c>
      <c r="J5352" s="1">
        <v>1918</v>
      </c>
      <c r="K5352" t="s">
        <v>8160</v>
      </c>
      <c r="L5352" t="s">
        <v>8161</v>
      </c>
    </row>
    <row r="5353" spans="1:12">
      <c r="A5353" t="s">
        <v>8162</v>
      </c>
      <c r="B5353" s="1" t="s">
        <v>8163</v>
      </c>
      <c r="C5353">
        <v>1</v>
      </c>
      <c r="D5353">
        <v>1</v>
      </c>
      <c r="G5353" t="str">
        <f>HYPERLINK("http://babel.hathitrust.org/cgi/pt?id=nyp.33433033154265")</f>
        <v>http://babel.hathitrust.org/cgi/pt?id=nyp.33433033154265</v>
      </c>
      <c r="H5353" t="str">
        <f>HYPERLINK("http://catalog.hathitrust.org/Record/008610634")</f>
        <v>http://catalog.hathitrust.org/Record/008610634</v>
      </c>
      <c r="J5353" s="1">
        <v>1841</v>
      </c>
      <c r="K5353" t="s">
        <v>8164</v>
      </c>
      <c r="L5353" t="s">
        <v>14485</v>
      </c>
    </row>
    <row r="5354" spans="1:12">
      <c r="A5354" t="s">
        <v>8165</v>
      </c>
      <c r="B5354" s="1" t="s">
        <v>8166</v>
      </c>
      <c r="F5354">
        <v>1</v>
      </c>
      <c r="G5354" t="str">
        <f>HYPERLINK("http://babel.hathitrust.org/cgi/pt?id=nyp.33433017206180")</f>
        <v>http://babel.hathitrust.org/cgi/pt?id=nyp.33433017206180</v>
      </c>
      <c r="H5354" t="str">
        <f>HYPERLINK("http://catalog.hathitrust.org/Record/008610999")</f>
        <v>http://catalog.hathitrust.org/Record/008610999</v>
      </c>
      <c r="I5354" s="1" t="s">
        <v>8168</v>
      </c>
      <c r="J5354" s="1">
        <v>1851</v>
      </c>
      <c r="K5354" t="s">
        <v>8167</v>
      </c>
    </row>
    <row r="5355" spans="1:12">
      <c r="A5355" t="s">
        <v>8169</v>
      </c>
      <c r="B5355" s="1" t="s">
        <v>8170</v>
      </c>
      <c r="F5355">
        <v>1</v>
      </c>
      <c r="G5355" t="str">
        <f>HYPERLINK("http://babel.hathitrust.org/cgi/pt?id=nyp.33433043108525")</f>
        <v>http://babel.hathitrust.org/cgi/pt?id=nyp.33433043108525</v>
      </c>
      <c r="H5355" t="str">
        <f>HYPERLINK("http://catalog.hathitrust.org/Record/008611833")</f>
        <v>http://catalog.hathitrust.org/Record/008611833</v>
      </c>
      <c r="J5355" s="1">
        <v>1919</v>
      </c>
      <c r="K5355" t="s">
        <v>8105</v>
      </c>
      <c r="L5355" t="s">
        <v>14601</v>
      </c>
    </row>
    <row r="5356" spans="1:12">
      <c r="A5356" t="s">
        <v>8106</v>
      </c>
      <c r="B5356" s="1" t="s">
        <v>8107</v>
      </c>
      <c r="F5356">
        <v>1</v>
      </c>
      <c r="G5356" t="str">
        <f>HYPERLINK("http://babel.hathitrust.org/cgi/pt?id=nyp.33433043382500")</f>
        <v>http://babel.hathitrust.org/cgi/pt?id=nyp.33433043382500</v>
      </c>
      <c r="H5356" t="str">
        <f>HYPERLINK("http://catalog.hathitrust.org/Record/008612132")</f>
        <v>http://catalog.hathitrust.org/Record/008612132</v>
      </c>
      <c r="J5356" s="1">
        <v>1919</v>
      </c>
      <c r="K5356" t="s">
        <v>8108</v>
      </c>
      <c r="L5356" t="s">
        <v>8109</v>
      </c>
    </row>
    <row r="5357" spans="1:12">
      <c r="A5357" t="s">
        <v>8110</v>
      </c>
      <c r="B5357" s="1" t="s">
        <v>8111</v>
      </c>
      <c r="F5357">
        <v>1</v>
      </c>
      <c r="G5357" t="str">
        <f>HYPERLINK("http://babel.hathitrust.org/cgi/pt?id=nyp.33433043836661")</f>
        <v>http://babel.hathitrust.org/cgi/pt?id=nyp.33433043836661</v>
      </c>
      <c r="H5357" t="str">
        <f>HYPERLINK("http://catalog.hathitrust.org/Record/008612480")</f>
        <v>http://catalog.hathitrust.org/Record/008612480</v>
      </c>
      <c r="J5357" s="1">
        <v>1831</v>
      </c>
      <c r="K5357" t="s">
        <v>8112</v>
      </c>
      <c r="L5357" t="s">
        <v>18581</v>
      </c>
    </row>
    <row r="5358" spans="1:12">
      <c r="A5358" t="s">
        <v>8113</v>
      </c>
      <c r="B5358" s="1" t="s">
        <v>8114</v>
      </c>
      <c r="F5358">
        <v>1</v>
      </c>
      <c r="G5358" t="str">
        <f>HYPERLINK("http://babel.hathitrust.org/cgi/pt?id=njp.32101045239017")</f>
        <v>http://babel.hathitrust.org/cgi/pt?id=njp.32101045239017</v>
      </c>
      <c r="H5358" t="str">
        <f>HYPERLINK("http://catalog.hathitrust.org/Record/008612481")</f>
        <v>http://catalog.hathitrust.org/Record/008612481</v>
      </c>
      <c r="J5358" s="1">
        <v>1885</v>
      </c>
      <c r="K5358" t="s">
        <v>8115</v>
      </c>
      <c r="L5358" t="s">
        <v>8116</v>
      </c>
    </row>
    <row r="5359" spans="1:12">
      <c r="A5359" t="s">
        <v>8117</v>
      </c>
      <c r="B5359" s="1" t="s">
        <v>8114</v>
      </c>
      <c r="F5359">
        <v>1</v>
      </c>
      <c r="G5359" t="str">
        <f>HYPERLINK("http://babel.hathitrust.org/cgi/pt?id=nyp.33433043836794")</f>
        <v>http://babel.hathitrust.org/cgi/pt?id=nyp.33433043836794</v>
      </c>
      <c r="H5359" t="str">
        <f>HYPERLINK("http://catalog.hathitrust.org/Record/008612481")</f>
        <v>http://catalog.hathitrust.org/Record/008612481</v>
      </c>
      <c r="J5359" s="1">
        <v>1885</v>
      </c>
      <c r="K5359" t="s">
        <v>8115</v>
      </c>
      <c r="L5359" t="s">
        <v>8116</v>
      </c>
    </row>
    <row r="5360" spans="1:12">
      <c r="A5360" t="s">
        <v>8118</v>
      </c>
      <c r="B5360" s="1" t="s">
        <v>8119</v>
      </c>
      <c r="F5360">
        <v>1</v>
      </c>
      <c r="G5360" t="str">
        <f>HYPERLINK("http://babel.hathitrust.org/cgi/pt?id=nyp.33433043890163")</f>
        <v>http://babel.hathitrust.org/cgi/pt?id=nyp.33433043890163</v>
      </c>
      <c r="H5360" t="str">
        <f>HYPERLINK("http://catalog.hathitrust.org/Record/008612603")</f>
        <v>http://catalog.hathitrust.org/Record/008612603</v>
      </c>
      <c r="J5360" s="1">
        <v>1842</v>
      </c>
      <c r="K5360" t="s">
        <v>8120</v>
      </c>
      <c r="L5360" t="s">
        <v>16785</v>
      </c>
    </row>
    <row r="5361" spans="1:12">
      <c r="A5361" t="s">
        <v>8121</v>
      </c>
      <c r="B5361" s="1" t="s">
        <v>8122</v>
      </c>
      <c r="F5361">
        <v>1</v>
      </c>
      <c r="G5361" t="str">
        <f>HYPERLINK("http://babel.hathitrust.org/cgi/pt?id=nyp.33433044080525")</f>
        <v>http://babel.hathitrust.org/cgi/pt?id=nyp.33433044080525</v>
      </c>
      <c r="H5361" t="str">
        <f>HYPERLINK("http://catalog.hathitrust.org/Record/008612714")</f>
        <v>http://catalog.hathitrust.org/Record/008612714</v>
      </c>
      <c r="J5361" s="1">
        <v>1903</v>
      </c>
      <c r="K5361" t="s">
        <v>19782</v>
      </c>
      <c r="L5361" t="s">
        <v>19783</v>
      </c>
    </row>
    <row r="5362" spans="1:12">
      <c r="A5362" t="s">
        <v>8123</v>
      </c>
      <c r="B5362" s="1" t="s">
        <v>8124</v>
      </c>
      <c r="E5362">
        <v>1</v>
      </c>
      <c r="G5362" t="str">
        <f>HYPERLINK("http://babel.hathitrust.org/cgi/pt?id=nyp.33433081602561")</f>
        <v>http://babel.hathitrust.org/cgi/pt?id=nyp.33433081602561</v>
      </c>
      <c r="H5362" t="str">
        <f>HYPERLINK("http://catalog.hathitrust.org/Record/008612767")</f>
        <v>http://catalog.hathitrust.org/Record/008612767</v>
      </c>
      <c r="J5362" s="1">
        <v>1869</v>
      </c>
      <c r="K5362" t="s">
        <v>8125</v>
      </c>
      <c r="L5362" t="s">
        <v>20904</v>
      </c>
    </row>
    <row r="5363" spans="1:12">
      <c r="A5363" t="s">
        <v>8126</v>
      </c>
      <c r="B5363" s="1" t="s">
        <v>8127</v>
      </c>
      <c r="F5363">
        <v>1</v>
      </c>
      <c r="G5363" t="str">
        <f>HYPERLINK("http://babel.hathitrust.org/cgi/pt?id=nyp.33433044162810")</f>
        <v>http://babel.hathitrust.org/cgi/pt?id=nyp.33433044162810</v>
      </c>
      <c r="H5363" t="str">
        <f>HYPERLINK("http://catalog.hathitrust.org/Record/008612795")</f>
        <v>http://catalog.hathitrust.org/Record/008612795</v>
      </c>
      <c r="J5363" s="1">
        <v>1917</v>
      </c>
      <c r="K5363" t="s">
        <v>8128</v>
      </c>
      <c r="L5363" t="s">
        <v>18266</v>
      </c>
    </row>
    <row r="5364" spans="1:12">
      <c r="A5364" t="s">
        <v>8129</v>
      </c>
      <c r="B5364" s="1" t="s">
        <v>8130</v>
      </c>
      <c r="E5364">
        <v>1</v>
      </c>
      <c r="G5364" t="str">
        <f>HYPERLINK("http://babel.hathitrust.org/cgi/pt?id=nyp.33433044665077")</f>
        <v>http://babel.hathitrust.org/cgi/pt?id=nyp.33433044665077</v>
      </c>
      <c r="H5364" t="str">
        <f>HYPERLINK("http://catalog.hathitrust.org/Record/008613155")</f>
        <v>http://catalog.hathitrust.org/Record/008613155</v>
      </c>
      <c r="J5364" s="1">
        <v>1906</v>
      </c>
      <c r="K5364" t="s">
        <v>8131</v>
      </c>
      <c r="L5364" t="s">
        <v>8132</v>
      </c>
    </row>
    <row r="5365" spans="1:12">
      <c r="A5365" t="s">
        <v>8133</v>
      </c>
      <c r="B5365" s="1" t="s">
        <v>8134</v>
      </c>
      <c r="F5365">
        <v>1</v>
      </c>
      <c r="G5365" t="str">
        <f>HYPERLINK("http://babel.hathitrust.org/cgi/pt?id=nyp.33433082124763")</f>
        <v>http://babel.hathitrust.org/cgi/pt?id=nyp.33433082124763</v>
      </c>
      <c r="H5365" t="str">
        <f>HYPERLINK("http://catalog.hathitrust.org/Record/008613431")</f>
        <v>http://catalog.hathitrust.org/Record/008613431</v>
      </c>
      <c r="J5365" s="1">
        <v>1880</v>
      </c>
      <c r="K5365" t="s">
        <v>8135</v>
      </c>
      <c r="L5365" t="s">
        <v>8045</v>
      </c>
    </row>
    <row r="5366" spans="1:12">
      <c r="A5366" t="s">
        <v>8046</v>
      </c>
      <c r="B5366" s="1" t="s">
        <v>8047</v>
      </c>
      <c r="E5366">
        <v>1</v>
      </c>
      <c r="G5366" t="str">
        <f>HYPERLINK("http://babel.hathitrust.org/cgi/pt?id=nyp.33433038666669")</f>
        <v>http://babel.hathitrust.org/cgi/pt?id=nyp.33433038666669</v>
      </c>
      <c r="H5366" t="str">
        <f>HYPERLINK("http://catalog.hathitrust.org/Record/008613911")</f>
        <v>http://catalog.hathitrust.org/Record/008613911</v>
      </c>
      <c r="J5366" s="1">
        <v>1859</v>
      </c>
      <c r="K5366" t="s">
        <v>10178</v>
      </c>
      <c r="L5366" t="s">
        <v>20485</v>
      </c>
    </row>
    <row r="5367" spans="1:12">
      <c r="A5367" t="s">
        <v>8048</v>
      </c>
      <c r="B5367" s="1" t="s">
        <v>8049</v>
      </c>
      <c r="F5367">
        <v>1</v>
      </c>
      <c r="G5367" t="str">
        <f>HYPERLINK("http://babel.hathitrust.org/cgi/pt?id=nyp.33433074834791")</f>
        <v>http://babel.hathitrust.org/cgi/pt?id=nyp.33433074834791</v>
      </c>
      <c r="H5367" t="str">
        <f>HYPERLINK("http://catalog.hathitrust.org/Record/008613999")</f>
        <v>http://catalog.hathitrust.org/Record/008613999</v>
      </c>
      <c r="J5367" s="1">
        <v>1852</v>
      </c>
      <c r="K5367" t="s">
        <v>8050</v>
      </c>
      <c r="L5367" t="s">
        <v>8051</v>
      </c>
    </row>
    <row r="5368" spans="1:12">
      <c r="A5368" t="s">
        <v>8052</v>
      </c>
      <c r="B5368" s="1" t="s">
        <v>8053</v>
      </c>
      <c r="E5368">
        <v>1</v>
      </c>
      <c r="G5368" t="str">
        <f>HYPERLINK("http://babel.hathitrust.org/cgi/pt?id=nyp.33433074384102")</f>
        <v>http://babel.hathitrust.org/cgi/pt?id=nyp.33433074384102</v>
      </c>
      <c r="H5368" t="str">
        <f>HYPERLINK("http://catalog.hathitrust.org/Record/008614960")</f>
        <v>http://catalog.hathitrust.org/Record/008614960</v>
      </c>
      <c r="J5368" s="1">
        <v>1893</v>
      </c>
      <c r="K5368" t="s">
        <v>8054</v>
      </c>
      <c r="L5368" t="s">
        <v>16112</v>
      </c>
    </row>
    <row r="5369" spans="1:12">
      <c r="A5369" t="s">
        <v>8055</v>
      </c>
      <c r="B5369" s="1" t="s">
        <v>8056</v>
      </c>
      <c r="E5369">
        <v>1</v>
      </c>
      <c r="G5369" t="str">
        <f>HYPERLINK("http://babel.hathitrust.org/cgi/pt?id=nyp.33433081600128")</f>
        <v>http://babel.hathitrust.org/cgi/pt?id=nyp.33433081600128</v>
      </c>
      <c r="H5369" t="str">
        <f>HYPERLINK("http://catalog.hathitrust.org/Record/008615049")</f>
        <v>http://catalog.hathitrust.org/Record/008615049</v>
      </c>
      <c r="J5369" s="1">
        <v>1916</v>
      </c>
      <c r="K5369" t="s">
        <v>17874</v>
      </c>
      <c r="L5369" t="s">
        <v>17875</v>
      </c>
    </row>
    <row r="5370" spans="1:12">
      <c r="A5370" t="s">
        <v>8057</v>
      </c>
      <c r="B5370" s="1" t="s">
        <v>8058</v>
      </c>
      <c r="F5370">
        <v>1</v>
      </c>
      <c r="G5370" t="str">
        <f>HYPERLINK("http://babel.hathitrust.org/cgi/pt?id=nyp.33433074840186")</f>
        <v>http://babel.hathitrust.org/cgi/pt?id=nyp.33433074840186</v>
      </c>
      <c r="H5370" t="str">
        <f>HYPERLINK("http://catalog.hathitrust.org/Record/008615375")</f>
        <v>http://catalog.hathitrust.org/Record/008615375</v>
      </c>
      <c r="J5370" s="1">
        <v>1818</v>
      </c>
      <c r="K5370" t="s">
        <v>13212</v>
      </c>
      <c r="L5370" t="s">
        <v>20297</v>
      </c>
    </row>
    <row r="5371" spans="1:12">
      <c r="A5371" t="s">
        <v>8059</v>
      </c>
      <c r="B5371" s="1" t="s">
        <v>8060</v>
      </c>
      <c r="E5371">
        <v>1</v>
      </c>
      <c r="F5371">
        <v>1</v>
      </c>
      <c r="G5371" t="str">
        <f>HYPERLINK("http://babel.hathitrust.org/cgi/pt?id=nyp.33433059335103")</f>
        <v>http://babel.hathitrust.org/cgi/pt?id=nyp.33433059335103</v>
      </c>
      <c r="H5371" t="str">
        <f>HYPERLINK("http://catalog.hathitrust.org/Record/008616016")</f>
        <v>http://catalog.hathitrust.org/Record/008616016</v>
      </c>
      <c r="J5371" s="1">
        <v>1845</v>
      </c>
      <c r="K5371" t="s">
        <v>8061</v>
      </c>
      <c r="L5371" t="s">
        <v>20297</v>
      </c>
    </row>
    <row r="5372" spans="1:12">
      <c r="A5372" t="s">
        <v>8062</v>
      </c>
      <c r="B5372" s="1" t="s">
        <v>8063</v>
      </c>
      <c r="F5372">
        <v>1</v>
      </c>
      <c r="G5372" t="str">
        <f>HYPERLINK("http://babel.hathitrust.org/cgi/pt?id=nyp.33433061845875")</f>
        <v>http://babel.hathitrust.org/cgi/pt?id=nyp.33433061845875</v>
      </c>
      <c r="H5372" t="str">
        <f>HYPERLINK("http://catalog.hathitrust.org/Record/008616919")</f>
        <v>http://catalog.hathitrust.org/Record/008616919</v>
      </c>
      <c r="J5372" s="1">
        <v>1857</v>
      </c>
      <c r="K5372" t="s">
        <v>8064</v>
      </c>
    </row>
    <row r="5373" spans="1:12">
      <c r="A5373" t="s">
        <v>8065</v>
      </c>
      <c r="B5373" s="1" t="s">
        <v>8066</v>
      </c>
      <c r="D5373">
        <v>1</v>
      </c>
      <c r="G5373" t="str">
        <f>HYPERLINK("http://babel.hathitrust.org/cgi/pt?id=nyp.33433067277214")</f>
        <v>http://babel.hathitrust.org/cgi/pt?id=nyp.33433067277214</v>
      </c>
      <c r="H5373" t="str">
        <f>HYPERLINK("http://catalog.hathitrust.org/Record/008617120")</f>
        <v>http://catalog.hathitrust.org/Record/008617120</v>
      </c>
      <c r="J5373" s="1">
        <v>1795</v>
      </c>
      <c r="K5373" t="s">
        <v>8067</v>
      </c>
      <c r="L5373" t="s">
        <v>20086</v>
      </c>
    </row>
    <row r="5374" spans="1:12">
      <c r="A5374" t="s">
        <v>8068</v>
      </c>
      <c r="B5374" s="1" t="s">
        <v>8069</v>
      </c>
      <c r="F5374">
        <v>1</v>
      </c>
      <c r="G5374" t="str">
        <f>HYPERLINK("http://babel.hathitrust.org/cgi/pt?id=nyp.33433070243492")</f>
        <v>http://babel.hathitrust.org/cgi/pt?id=nyp.33433070243492</v>
      </c>
      <c r="H5374" t="str">
        <f>HYPERLINK("http://catalog.hathitrust.org/Record/008617169")</f>
        <v>http://catalog.hathitrust.org/Record/008617169</v>
      </c>
      <c r="J5374" s="1">
        <v>1836</v>
      </c>
      <c r="K5374" t="s">
        <v>8070</v>
      </c>
      <c r="L5374" t="s">
        <v>15413</v>
      </c>
    </row>
    <row r="5375" spans="1:12">
      <c r="A5375" t="s">
        <v>8071</v>
      </c>
      <c r="B5375" s="1" t="s">
        <v>8072</v>
      </c>
      <c r="F5375">
        <v>1</v>
      </c>
      <c r="G5375" t="str">
        <f>HYPERLINK("http://babel.hathitrust.org/cgi/pt?id=nyp.33433067364764")</f>
        <v>http://babel.hathitrust.org/cgi/pt?id=nyp.33433067364764</v>
      </c>
      <c r="H5375" t="str">
        <f>HYPERLINK("http://catalog.hathitrust.org/Record/008618253")</f>
        <v>http://catalog.hathitrust.org/Record/008618253</v>
      </c>
      <c r="J5375" s="1">
        <v>1764</v>
      </c>
      <c r="K5375" t="s">
        <v>8073</v>
      </c>
      <c r="L5375" t="s">
        <v>13362</v>
      </c>
    </row>
    <row r="5376" spans="1:12">
      <c r="A5376" t="s">
        <v>8074</v>
      </c>
      <c r="B5376" s="1" t="s">
        <v>8075</v>
      </c>
      <c r="E5376">
        <v>1</v>
      </c>
      <c r="G5376" t="str">
        <f>HYPERLINK("http://babel.hathitrust.org/cgi/pt?id=nyp.33433082502521")</f>
        <v>http://babel.hathitrust.org/cgi/pt?id=nyp.33433082502521</v>
      </c>
      <c r="H5376" t="str">
        <f>HYPERLINK("http://catalog.hathitrust.org/Record/008618283")</f>
        <v>http://catalog.hathitrust.org/Record/008618283</v>
      </c>
      <c r="I5376" s="1" t="s">
        <v>20796</v>
      </c>
      <c r="J5376" s="1">
        <v>1908</v>
      </c>
      <c r="K5376" t="s">
        <v>8076</v>
      </c>
      <c r="L5376" t="s">
        <v>19690</v>
      </c>
    </row>
    <row r="5377" spans="1:12">
      <c r="A5377" t="s">
        <v>8077</v>
      </c>
      <c r="B5377" s="1" t="s">
        <v>8075</v>
      </c>
      <c r="E5377">
        <v>1</v>
      </c>
      <c r="G5377" t="str">
        <f>HYPERLINK("http://babel.hathitrust.org/cgi/pt?id=nyp.33433082502539")</f>
        <v>http://babel.hathitrust.org/cgi/pt?id=nyp.33433082502539</v>
      </c>
      <c r="H5377" t="str">
        <f>HYPERLINK("http://catalog.hathitrust.org/Record/008618283")</f>
        <v>http://catalog.hathitrust.org/Record/008618283</v>
      </c>
      <c r="I5377" s="1" t="s">
        <v>20799</v>
      </c>
      <c r="J5377" s="1">
        <v>1908</v>
      </c>
      <c r="K5377" t="s">
        <v>8076</v>
      </c>
      <c r="L5377" t="s">
        <v>19690</v>
      </c>
    </row>
    <row r="5378" spans="1:12">
      <c r="A5378" t="s">
        <v>8078</v>
      </c>
      <c r="B5378" s="1" t="s">
        <v>8079</v>
      </c>
      <c r="F5378">
        <v>1</v>
      </c>
      <c r="G5378" t="str">
        <f>HYPERLINK("http://babel.hathitrust.org/cgi/pt?id=nyp.33433067298970")</f>
        <v>http://babel.hathitrust.org/cgi/pt?id=nyp.33433067298970</v>
      </c>
      <c r="H5378" t="str">
        <f t="shared" ref="H5378:H5409" si="58">HYPERLINK("http://catalog.hathitrust.org/Record/008618324")</f>
        <v>http://catalog.hathitrust.org/Record/008618324</v>
      </c>
      <c r="I5378" s="1" t="s">
        <v>20796</v>
      </c>
      <c r="J5378" s="1">
        <v>1779</v>
      </c>
      <c r="K5378" t="s">
        <v>8080</v>
      </c>
      <c r="L5378" t="s">
        <v>20086</v>
      </c>
    </row>
    <row r="5379" spans="1:12">
      <c r="A5379" t="s">
        <v>8081</v>
      </c>
      <c r="B5379" s="1" t="s">
        <v>8079</v>
      </c>
      <c r="F5379">
        <v>1</v>
      </c>
      <c r="G5379" t="str">
        <f>HYPERLINK("http://babel.hathitrust.org/cgi/pt?id=nyp.33433067298988")</f>
        <v>http://babel.hathitrust.org/cgi/pt?id=nyp.33433067298988</v>
      </c>
      <c r="H5379" t="str">
        <f t="shared" si="58"/>
        <v>http://catalog.hathitrust.org/Record/008618324</v>
      </c>
      <c r="I5379" s="1" t="s">
        <v>20799</v>
      </c>
      <c r="J5379" s="1">
        <v>1779</v>
      </c>
      <c r="K5379" t="s">
        <v>8080</v>
      </c>
      <c r="L5379" t="s">
        <v>20086</v>
      </c>
    </row>
    <row r="5380" spans="1:12">
      <c r="A5380" t="s">
        <v>8082</v>
      </c>
      <c r="B5380" s="1" t="s">
        <v>8079</v>
      </c>
      <c r="F5380">
        <v>1</v>
      </c>
      <c r="G5380" t="str">
        <f>HYPERLINK("http://babel.hathitrust.org/cgi/pt?id=nyp.33433067298996")</f>
        <v>http://babel.hathitrust.org/cgi/pt?id=nyp.33433067298996</v>
      </c>
      <c r="H5380" t="str">
        <f t="shared" si="58"/>
        <v>http://catalog.hathitrust.org/Record/008618324</v>
      </c>
      <c r="I5380" s="1" t="s">
        <v>20801</v>
      </c>
      <c r="J5380" s="1">
        <v>1779</v>
      </c>
      <c r="K5380" t="s">
        <v>8080</v>
      </c>
      <c r="L5380" t="s">
        <v>20086</v>
      </c>
    </row>
    <row r="5381" spans="1:12">
      <c r="A5381" t="s">
        <v>8083</v>
      </c>
      <c r="B5381" s="1" t="s">
        <v>8079</v>
      </c>
      <c r="F5381">
        <v>1</v>
      </c>
      <c r="G5381" t="str">
        <f>HYPERLINK("http://babel.hathitrust.org/cgi/pt?id=nyp.33433067299002")</f>
        <v>http://babel.hathitrust.org/cgi/pt?id=nyp.33433067299002</v>
      </c>
      <c r="H5381" t="str">
        <f t="shared" si="58"/>
        <v>http://catalog.hathitrust.org/Record/008618324</v>
      </c>
      <c r="I5381" s="1" t="s">
        <v>20803</v>
      </c>
      <c r="J5381" s="1">
        <v>1779</v>
      </c>
      <c r="K5381" t="s">
        <v>8080</v>
      </c>
      <c r="L5381" t="s">
        <v>20086</v>
      </c>
    </row>
    <row r="5382" spans="1:12">
      <c r="A5382" t="s">
        <v>8084</v>
      </c>
      <c r="B5382" s="1" t="s">
        <v>8079</v>
      </c>
      <c r="F5382">
        <v>1</v>
      </c>
      <c r="G5382" t="str">
        <f>HYPERLINK("http://babel.hathitrust.org/cgi/pt?id=nyp.33433067299010")</f>
        <v>http://babel.hathitrust.org/cgi/pt?id=nyp.33433067299010</v>
      </c>
      <c r="H5382" t="str">
        <f t="shared" si="58"/>
        <v>http://catalog.hathitrust.org/Record/008618324</v>
      </c>
      <c r="I5382" s="1" t="s">
        <v>19038</v>
      </c>
      <c r="J5382" s="1">
        <v>1779</v>
      </c>
      <c r="K5382" t="s">
        <v>8080</v>
      </c>
      <c r="L5382" t="s">
        <v>20086</v>
      </c>
    </row>
    <row r="5383" spans="1:12">
      <c r="A5383" t="s">
        <v>8085</v>
      </c>
      <c r="B5383" s="1" t="s">
        <v>8079</v>
      </c>
      <c r="F5383">
        <v>1</v>
      </c>
      <c r="G5383" t="str">
        <f>HYPERLINK("http://babel.hathitrust.org/cgi/pt?id=nyp.33433067299028")</f>
        <v>http://babel.hathitrust.org/cgi/pt?id=nyp.33433067299028</v>
      </c>
      <c r="H5383" t="str">
        <f t="shared" si="58"/>
        <v>http://catalog.hathitrust.org/Record/008618324</v>
      </c>
      <c r="I5383" s="1" t="s">
        <v>19040</v>
      </c>
      <c r="J5383" s="1">
        <v>1779</v>
      </c>
      <c r="K5383" t="s">
        <v>8080</v>
      </c>
      <c r="L5383" t="s">
        <v>20086</v>
      </c>
    </row>
    <row r="5384" spans="1:12">
      <c r="A5384" t="s">
        <v>8086</v>
      </c>
      <c r="B5384" s="1" t="s">
        <v>8079</v>
      </c>
      <c r="F5384">
        <v>1</v>
      </c>
      <c r="G5384" t="str">
        <f>HYPERLINK("http://babel.hathitrust.org/cgi/pt?id=nyp.33433067299036")</f>
        <v>http://babel.hathitrust.org/cgi/pt?id=nyp.33433067299036</v>
      </c>
      <c r="H5384" t="str">
        <f t="shared" si="58"/>
        <v>http://catalog.hathitrust.org/Record/008618324</v>
      </c>
      <c r="I5384" s="1" t="s">
        <v>19042</v>
      </c>
      <c r="J5384" s="1">
        <v>1779</v>
      </c>
      <c r="K5384" t="s">
        <v>8080</v>
      </c>
      <c r="L5384" t="s">
        <v>20086</v>
      </c>
    </row>
    <row r="5385" spans="1:12">
      <c r="A5385" t="s">
        <v>8087</v>
      </c>
      <c r="B5385" s="1" t="s">
        <v>8079</v>
      </c>
      <c r="F5385">
        <v>1</v>
      </c>
      <c r="G5385" t="str">
        <f>HYPERLINK("http://babel.hathitrust.org/cgi/pt?id=nyp.33433067299044")</f>
        <v>http://babel.hathitrust.org/cgi/pt?id=nyp.33433067299044</v>
      </c>
      <c r="H5385" t="str">
        <f t="shared" si="58"/>
        <v>http://catalog.hathitrust.org/Record/008618324</v>
      </c>
      <c r="I5385" s="1" t="s">
        <v>19044</v>
      </c>
      <c r="J5385" s="1">
        <v>1779</v>
      </c>
      <c r="K5385" t="s">
        <v>8080</v>
      </c>
      <c r="L5385" t="s">
        <v>20086</v>
      </c>
    </row>
    <row r="5386" spans="1:12">
      <c r="A5386" t="s">
        <v>8088</v>
      </c>
      <c r="B5386" s="1" t="s">
        <v>8079</v>
      </c>
      <c r="F5386">
        <v>1</v>
      </c>
      <c r="G5386" t="str">
        <f>HYPERLINK("http://babel.hathitrust.org/cgi/pt?id=nyp.33433067299051")</f>
        <v>http://babel.hathitrust.org/cgi/pt?id=nyp.33433067299051</v>
      </c>
      <c r="H5386" t="str">
        <f t="shared" si="58"/>
        <v>http://catalog.hathitrust.org/Record/008618324</v>
      </c>
      <c r="I5386" s="1" t="s">
        <v>19046</v>
      </c>
      <c r="J5386" s="1">
        <v>1779</v>
      </c>
      <c r="K5386" t="s">
        <v>8080</v>
      </c>
      <c r="L5386" t="s">
        <v>20086</v>
      </c>
    </row>
    <row r="5387" spans="1:12">
      <c r="A5387" t="s">
        <v>8089</v>
      </c>
      <c r="B5387" s="1" t="s">
        <v>8079</v>
      </c>
      <c r="F5387">
        <v>1</v>
      </c>
      <c r="G5387" t="str">
        <f>HYPERLINK("http://babel.hathitrust.org/cgi/pt?id=nyp.33433067299069")</f>
        <v>http://babel.hathitrust.org/cgi/pt?id=nyp.33433067299069</v>
      </c>
      <c r="H5387" t="str">
        <f t="shared" si="58"/>
        <v>http://catalog.hathitrust.org/Record/008618324</v>
      </c>
      <c r="I5387" s="1" t="s">
        <v>19048</v>
      </c>
      <c r="J5387" s="1">
        <v>1779</v>
      </c>
      <c r="K5387" t="s">
        <v>8080</v>
      </c>
      <c r="L5387" t="s">
        <v>20086</v>
      </c>
    </row>
    <row r="5388" spans="1:12">
      <c r="A5388" t="s">
        <v>8090</v>
      </c>
      <c r="B5388" s="1" t="s">
        <v>8079</v>
      </c>
      <c r="F5388">
        <v>1</v>
      </c>
      <c r="G5388" t="str">
        <f>HYPERLINK("http://babel.hathitrust.org/cgi/pt?id=nyp.33433067299077")</f>
        <v>http://babel.hathitrust.org/cgi/pt?id=nyp.33433067299077</v>
      </c>
      <c r="H5388" t="str">
        <f t="shared" si="58"/>
        <v>http://catalog.hathitrust.org/Record/008618324</v>
      </c>
      <c r="I5388" s="1" t="s">
        <v>19050</v>
      </c>
      <c r="J5388" s="1">
        <v>1779</v>
      </c>
      <c r="K5388" t="s">
        <v>8080</v>
      </c>
      <c r="L5388" t="s">
        <v>20086</v>
      </c>
    </row>
    <row r="5389" spans="1:12">
      <c r="A5389" t="s">
        <v>8091</v>
      </c>
      <c r="B5389" s="1" t="s">
        <v>8079</v>
      </c>
      <c r="F5389">
        <v>1</v>
      </c>
      <c r="G5389" t="str">
        <f>HYPERLINK("http://babel.hathitrust.org/cgi/pt?id=nyp.33433067299085")</f>
        <v>http://babel.hathitrust.org/cgi/pt?id=nyp.33433067299085</v>
      </c>
      <c r="H5389" t="str">
        <f t="shared" si="58"/>
        <v>http://catalog.hathitrust.org/Record/008618324</v>
      </c>
      <c r="I5389" s="1" t="s">
        <v>19052</v>
      </c>
      <c r="J5389" s="1">
        <v>1779</v>
      </c>
      <c r="K5389" t="s">
        <v>8080</v>
      </c>
      <c r="L5389" t="s">
        <v>20086</v>
      </c>
    </row>
    <row r="5390" spans="1:12">
      <c r="A5390" t="s">
        <v>8092</v>
      </c>
      <c r="B5390" s="1" t="s">
        <v>8079</v>
      </c>
      <c r="F5390">
        <v>1</v>
      </c>
      <c r="G5390" t="str">
        <f>HYPERLINK("http://babel.hathitrust.org/cgi/pt?id=nyp.33433067299101")</f>
        <v>http://babel.hathitrust.org/cgi/pt?id=nyp.33433067299101</v>
      </c>
      <c r="H5390" t="str">
        <f t="shared" si="58"/>
        <v>http://catalog.hathitrust.org/Record/008618324</v>
      </c>
      <c r="I5390" s="1" t="s">
        <v>19056</v>
      </c>
      <c r="J5390" s="1">
        <v>1779</v>
      </c>
      <c r="K5390" t="s">
        <v>8080</v>
      </c>
      <c r="L5390" t="s">
        <v>20086</v>
      </c>
    </row>
    <row r="5391" spans="1:12">
      <c r="A5391" t="s">
        <v>8093</v>
      </c>
      <c r="B5391" s="1" t="s">
        <v>8079</v>
      </c>
      <c r="F5391">
        <v>1</v>
      </c>
      <c r="G5391" t="str">
        <f>HYPERLINK("http://babel.hathitrust.org/cgi/pt?id=nyp.33433067299119")</f>
        <v>http://babel.hathitrust.org/cgi/pt?id=nyp.33433067299119</v>
      </c>
      <c r="H5391" t="str">
        <f t="shared" si="58"/>
        <v>http://catalog.hathitrust.org/Record/008618324</v>
      </c>
      <c r="I5391" s="1" t="s">
        <v>19058</v>
      </c>
      <c r="J5391" s="1">
        <v>1779</v>
      </c>
      <c r="K5391" t="s">
        <v>8080</v>
      </c>
      <c r="L5391" t="s">
        <v>20086</v>
      </c>
    </row>
    <row r="5392" spans="1:12">
      <c r="A5392" t="s">
        <v>8094</v>
      </c>
      <c r="B5392" s="1" t="s">
        <v>8079</v>
      </c>
      <c r="F5392">
        <v>1</v>
      </c>
      <c r="G5392" t="str">
        <f>HYPERLINK("http://babel.hathitrust.org/cgi/pt?id=nyp.33433067299127")</f>
        <v>http://babel.hathitrust.org/cgi/pt?id=nyp.33433067299127</v>
      </c>
      <c r="H5392" t="str">
        <f t="shared" si="58"/>
        <v>http://catalog.hathitrust.org/Record/008618324</v>
      </c>
      <c r="I5392" s="1" t="s">
        <v>19060</v>
      </c>
      <c r="J5392" s="1">
        <v>1779</v>
      </c>
      <c r="K5392" t="s">
        <v>8080</v>
      </c>
      <c r="L5392" t="s">
        <v>20086</v>
      </c>
    </row>
    <row r="5393" spans="1:12">
      <c r="A5393" t="s">
        <v>8095</v>
      </c>
      <c r="B5393" s="1" t="s">
        <v>8079</v>
      </c>
      <c r="F5393">
        <v>1</v>
      </c>
      <c r="G5393" t="str">
        <f>HYPERLINK("http://babel.hathitrust.org/cgi/pt?id=nyp.33433067299135")</f>
        <v>http://babel.hathitrust.org/cgi/pt?id=nyp.33433067299135</v>
      </c>
      <c r="H5393" t="str">
        <f t="shared" si="58"/>
        <v>http://catalog.hathitrust.org/Record/008618324</v>
      </c>
      <c r="I5393" s="1" t="s">
        <v>8096</v>
      </c>
      <c r="J5393" s="1">
        <v>1779</v>
      </c>
      <c r="K5393" t="s">
        <v>8080</v>
      </c>
      <c r="L5393" t="s">
        <v>20086</v>
      </c>
    </row>
    <row r="5394" spans="1:12">
      <c r="A5394" t="s">
        <v>8097</v>
      </c>
      <c r="B5394" s="1" t="s">
        <v>8079</v>
      </c>
      <c r="F5394">
        <v>1</v>
      </c>
      <c r="G5394" t="str">
        <f>HYPERLINK("http://babel.hathitrust.org/cgi/pt?id=nyp.33433067299143")</f>
        <v>http://babel.hathitrust.org/cgi/pt?id=nyp.33433067299143</v>
      </c>
      <c r="H5394" t="str">
        <f t="shared" si="58"/>
        <v>http://catalog.hathitrust.org/Record/008618324</v>
      </c>
      <c r="I5394" s="1" t="s">
        <v>8098</v>
      </c>
      <c r="J5394" s="1">
        <v>1779</v>
      </c>
      <c r="K5394" t="s">
        <v>8080</v>
      </c>
      <c r="L5394" t="s">
        <v>20086</v>
      </c>
    </row>
    <row r="5395" spans="1:12">
      <c r="A5395" t="s">
        <v>8099</v>
      </c>
      <c r="B5395" s="1" t="s">
        <v>8079</v>
      </c>
      <c r="F5395">
        <v>1</v>
      </c>
      <c r="G5395" t="str">
        <f>HYPERLINK("http://babel.hathitrust.org/cgi/pt?id=nyp.33433067299150")</f>
        <v>http://babel.hathitrust.org/cgi/pt?id=nyp.33433067299150</v>
      </c>
      <c r="H5395" t="str">
        <f t="shared" si="58"/>
        <v>http://catalog.hathitrust.org/Record/008618324</v>
      </c>
      <c r="I5395" s="1" t="s">
        <v>8100</v>
      </c>
      <c r="J5395" s="1">
        <v>1779</v>
      </c>
      <c r="K5395" t="s">
        <v>8080</v>
      </c>
      <c r="L5395" t="s">
        <v>20086</v>
      </c>
    </row>
    <row r="5396" spans="1:12">
      <c r="A5396" t="s">
        <v>8101</v>
      </c>
      <c r="B5396" s="1" t="s">
        <v>8079</v>
      </c>
      <c r="F5396">
        <v>1</v>
      </c>
      <c r="G5396" t="str">
        <f>HYPERLINK("http://babel.hathitrust.org/cgi/pt?id=nyp.33433067299168")</f>
        <v>http://babel.hathitrust.org/cgi/pt?id=nyp.33433067299168</v>
      </c>
      <c r="H5396" t="str">
        <f t="shared" si="58"/>
        <v>http://catalog.hathitrust.org/Record/008618324</v>
      </c>
      <c r="I5396" s="1" t="s">
        <v>8102</v>
      </c>
      <c r="J5396" s="1">
        <v>1779</v>
      </c>
      <c r="K5396" t="s">
        <v>8080</v>
      </c>
      <c r="L5396" t="s">
        <v>20086</v>
      </c>
    </row>
    <row r="5397" spans="1:12">
      <c r="A5397" t="s">
        <v>8103</v>
      </c>
      <c r="B5397" s="1" t="s">
        <v>8079</v>
      </c>
      <c r="F5397">
        <v>1</v>
      </c>
      <c r="G5397" t="str">
        <f>HYPERLINK("http://babel.hathitrust.org/cgi/pt?id=nyp.33433067299176")</f>
        <v>http://babel.hathitrust.org/cgi/pt?id=nyp.33433067299176</v>
      </c>
      <c r="H5397" t="str">
        <f t="shared" si="58"/>
        <v>http://catalog.hathitrust.org/Record/008618324</v>
      </c>
      <c r="I5397" s="1" t="s">
        <v>8104</v>
      </c>
      <c r="J5397" s="1">
        <v>1779</v>
      </c>
      <c r="K5397" t="s">
        <v>8080</v>
      </c>
      <c r="L5397" t="s">
        <v>20086</v>
      </c>
    </row>
    <row r="5398" spans="1:12">
      <c r="A5398" t="s">
        <v>7942</v>
      </c>
      <c r="B5398" s="1" t="s">
        <v>8079</v>
      </c>
      <c r="F5398">
        <v>1</v>
      </c>
      <c r="G5398" t="str">
        <f>HYPERLINK("http://babel.hathitrust.org/cgi/pt?id=nyp.33433067299184")</f>
        <v>http://babel.hathitrust.org/cgi/pt?id=nyp.33433067299184</v>
      </c>
      <c r="H5398" t="str">
        <f t="shared" si="58"/>
        <v>http://catalog.hathitrust.org/Record/008618324</v>
      </c>
      <c r="I5398" s="1" t="s">
        <v>7943</v>
      </c>
      <c r="J5398" s="1">
        <v>1779</v>
      </c>
      <c r="K5398" t="s">
        <v>8080</v>
      </c>
      <c r="L5398" t="s">
        <v>20086</v>
      </c>
    </row>
    <row r="5399" spans="1:12">
      <c r="A5399" t="s">
        <v>7944</v>
      </c>
      <c r="B5399" s="1" t="s">
        <v>8079</v>
      </c>
      <c r="F5399">
        <v>1</v>
      </c>
      <c r="G5399" t="str">
        <f>HYPERLINK("http://babel.hathitrust.org/cgi/pt?id=nyp.33433067299192")</f>
        <v>http://babel.hathitrust.org/cgi/pt?id=nyp.33433067299192</v>
      </c>
      <c r="H5399" t="str">
        <f t="shared" si="58"/>
        <v>http://catalog.hathitrust.org/Record/008618324</v>
      </c>
      <c r="I5399" s="1" t="s">
        <v>7945</v>
      </c>
      <c r="J5399" s="1">
        <v>1779</v>
      </c>
      <c r="K5399" t="s">
        <v>8080</v>
      </c>
      <c r="L5399" t="s">
        <v>20086</v>
      </c>
    </row>
    <row r="5400" spans="1:12">
      <c r="A5400" t="s">
        <v>7946</v>
      </c>
      <c r="B5400" s="1" t="s">
        <v>8079</v>
      </c>
      <c r="F5400">
        <v>1</v>
      </c>
      <c r="G5400" t="str">
        <f>HYPERLINK("http://babel.hathitrust.org/cgi/pt?id=nyp.33433067299200")</f>
        <v>http://babel.hathitrust.org/cgi/pt?id=nyp.33433067299200</v>
      </c>
      <c r="H5400" t="str">
        <f t="shared" si="58"/>
        <v>http://catalog.hathitrust.org/Record/008618324</v>
      </c>
      <c r="I5400" s="1" t="s">
        <v>7947</v>
      </c>
      <c r="J5400" s="1">
        <v>1779</v>
      </c>
      <c r="K5400" t="s">
        <v>8080</v>
      </c>
      <c r="L5400" t="s">
        <v>20086</v>
      </c>
    </row>
    <row r="5401" spans="1:12">
      <c r="A5401" t="s">
        <v>7948</v>
      </c>
      <c r="B5401" s="1" t="s">
        <v>8079</v>
      </c>
      <c r="F5401">
        <v>1</v>
      </c>
      <c r="G5401" t="str">
        <f>HYPERLINK("http://babel.hathitrust.org/cgi/pt?id=nyp.33433067299218")</f>
        <v>http://babel.hathitrust.org/cgi/pt?id=nyp.33433067299218</v>
      </c>
      <c r="H5401" t="str">
        <f t="shared" si="58"/>
        <v>http://catalog.hathitrust.org/Record/008618324</v>
      </c>
      <c r="I5401" s="1" t="s">
        <v>7949</v>
      </c>
      <c r="J5401" s="1">
        <v>1779</v>
      </c>
      <c r="K5401" t="s">
        <v>8080</v>
      </c>
      <c r="L5401" t="s">
        <v>20086</v>
      </c>
    </row>
    <row r="5402" spans="1:12">
      <c r="A5402" t="s">
        <v>7950</v>
      </c>
      <c r="B5402" s="1" t="s">
        <v>8079</v>
      </c>
      <c r="F5402">
        <v>1</v>
      </c>
      <c r="G5402" t="str">
        <f>HYPERLINK("http://babel.hathitrust.org/cgi/pt?id=nyp.33433067299226")</f>
        <v>http://babel.hathitrust.org/cgi/pt?id=nyp.33433067299226</v>
      </c>
      <c r="H5402" t="str">
        <f t="shared" si="58"/>
        <v>http://catalog.hathitrust.org/Record/008618324</v>
      </c>
      <c r="I5402" s="1" t="s">
        <v>7951</v>
      </c>
      <c r="J5402" s="1">
        <v>1779</v>
      </c>
      <c r="K5402" t="s">
        <v>8080</v>
      </c>
      <c r="L5402" t="s">
        <v>20086</v>
      </c>
    </row>
    <row r="5403" spans="1:12">
      <c r="A5403" t="s">
        <v>7952</v>
      </c>
      <c r="B5403" s="1" t="s">
        <v>8079</v>
      </c>
      <c r="F5403">
        <v>1</v>
      </c>
      <c r="G5403" t="str">
        <f>HYPERLINK("http://babel.hathitrust.org/cgi/pt?id=nyp.33433067299234")</f>
        <v>http://babel.hathitrust.org/cgi/pt?id=nyp.33433067299234</v>
      </c>
      <c r="H5403" t="str">
        <f t="shared" si="58"/>
        <v>http://catalog.hathitrust.org/Record/008618324</v>
      </c>
      <c r="I5403" s="1" t="s">
        <v>7953</v>
      </c>
      <c r="J5403" s="1">
        <v>1779</v>
      </c>
      <c r="K5403" t="s">
        <v>8080</v>
      </c>
      <c r="L5403" t="s">
        <v>20086</v>
      </c>
    </row>
    <row r="5404" spans="1:12">
      <c r="A5404" t="s">
        <v>7954</v>
      </c>
      <c r="B5404" s="1" t="s">
        <v>8079</v>
      </c>
      <c r="F5404">
        <v>1</v>
      </c>
      <c r="G5404" t="str">
        <f>HYPERLINK("http://babel.hathitrust.org/cgi/pt?id=nyp.33433067299242")</f>
        <v>http://babel.hathitrust.org/cgi/pt?id=nyp.33433067299242</v>
      </c>
      <c r="H5404" t="str">
        <f t="shared" si="58"/>
        <v>http://catalog.hathitrust.org/Record/008618324</v>
      </c>
      <c r="I5404" s="1" t="s">
        <v>7955</v>
      </c>
      <c r="J5404" s="1">
        <v>1779</v>
      </c>
      <c r="K5404" t="s">
        <v>8080</v>
      </c>
      <c r="L5404" t="s">
        <v>20086</v>
      </c>
    </row>
    <row r="5405" spans="1:12">
      <c r="A5405" t="s">
        <v>7956</v>
      </c>
      <c r="B5405" s="1" t="s">
        <v>8079</v>
      </c>
      <c r="F5405">
        <v>1</v>
      </c>
      <c r="G5405" t="str">
        <f>HYPERLINK("http://babel.hathitrust.org/cgi/pt?id=nyp.33433067299259")</f>
        <v>http://babel.hathitrust.org/cgi/pt?id=nyp.33433067299259</v>
      </c>
      <c r="H5405" t="str">
        <f t="shared" si="58"/>
        <v>http://catalog.hathitrust.org/Record/008618324</v>
      </c>
      <c r="I5405" s="1" t="s">
        <v>7957</v>
      </c>
      <c r="J5405" s="1">
        <v>1779</v>
      </c>
      <c r="K5405" t="s">
        <v>8080</v>
      </c>
      <c r="L5405" t="s">
        <v>20086</v>
      </c>
    </row>
    <row r="5406" spans="1:12">
      <c r="A5406" t="s">
        <v>7958</v>
      </c>
      <c r="B5406" s="1" t="s">
        <v>8079</v>
      </c>
      <c r="F5406">
        <v>1</v>
      </c>
      <c r="G5406" t="str">
        <f>HYPERLINK("http://babel.hathitrust.org/cgi/pt?id=nyp.33433067299267")</f>
        <v>http://babel.hathitrust.org/cgi/pt?id=nyp.33433067299267</v>
      </c>
      <c r="H5406" t="str">
        <f t="shared" si="58"/>
        <v>http://catalog.hathitrust.org/Record/008618324</v>
      </c>
      <c r="I5406" s="1" t="s">
        <v>7959</v>
      </c>
      <c r="J5406" s="1">
        <v>1779</v>
      </c>
      <c r="K5406" t="s">
        <v>8080</v>
      </c>
      <c r="L5406" t="s">
        <v>20086</v>
      </c>
    </row>
    <row r="5407" spans="1:12">
      <c r="A5407" t="s">
        <v>7960</v>
      </c>
      <c r="B5407" s="1" t="s">
        <v>8079</v>
      </c>
      <c r="F5407">
        <v>1</v>
      </c>
      <c r="G5407" t="str">
        <f>HYPERLINK("http://babel.hathitrust.org/cgi/pt?id=nyp.33433067299275")</f>
        <v>http://babel.hathitrust.org/cgi/pt?id=nyp.33433067299275</v>
      </c>
      <c r="H5407" t="str">
        <f t="shared" si="58"/>
        <v>http://catalog.hathitrust.org/Record/008618324</v>
      </c>
      <c r="I5407" s="1" t="s">
        <v>7961</v>
      </c>
      <c r="J5407" s="1">
        <v>1779</v>
      </c>
      <c r="K5407" t="s">
        <v>8080</v>
      </c>
      <c r="L5407" t="s">
        <v>20086</v>
      </c>
    </row>
    <row r="5408" spans="1:12">
      <c r="A5408" t="s">
        <v>7962</v>
      </c>
      <c r="B5408" s="1" t="s">
        <v>8079</v>
      </c>
      <c r="F5408">
        <v>1</v>
      </c>
      <c r="G5408" t="str">
        <f>HYPERLINK("http://babel.hathitrust.org/cgi/pt?id=nyp.33433067299283")</f>
        <v>http://babel.hathitrust.org/cgi/pt?id=nyp.33433067299283</v>
      </c>
      <c r="H5408" t="str">
        <f t="shared" si="58"/>
        <v>http://catalog.hathitrust.org/Record/008618324</v>
      </c>
      <c r="I5408" s="1" t="s">
        <v>7963</v>
      </c>
      <c r="J5408" s="1">
        <v>1779</v>
      </c>
      <c r="K5408" t="s">
        <v>8080</v>
      </c>
      <c r="L5408" t="s">
        <v>20086</v>
      </c>
    </row>
    <row r="5409" spans="1:12">
      <c r="A5409" t="s">
        <v>7964</v>
      </c>
      <c r="B5409" s="1" t="s">
        <v>8079</v>
      </c>
      <c r="F5409">
        <v>1</v>
      </c>
      <c r="G5409" t="str">
        <f>HYPERLINK("http://babel.hathitrust.org/cgi/pt?id=nyp.33433067299291")</f>
        <v>http://babel.hathitrust.org/cgi/pt?id=nyp.33433067299291</v>
      </c>
      <c r="H5409" t="str">
        <f t="shared" si="58"/>
        <v>http://catalog.hathitrust.org/Record/008618324</v>
      </c>
      <c r="I5409" s="1" t="s">
        <v>7965</v>
      </c>
      <c r="J5409" s="1">
        <v>1779</v>
      </c>
      <c r="K5409" t="s">
        <v>8080</v>
      </c>
      <c r="L5409" t="s">
        <v>20086</v>
      </c>
    </row>
    <row r="5410" spans="1:12">
      <c r="A5410" t="s">
        <v>7966</v>
      </c>
      <c r="B5410" s="1" t="s">
        <v>8079</v>
      </c>
      <c r="F5410">
        <v>1</v>
      </c>
      <c r="G5410" t="str">
        <f>HYPERLINK("http://babel.hathitrust.org/cgi/pt?id=nyp.33433067299309")</f>
        <v>http://babel.hathitrust.org/cgi/pt?id=nyp.33433067299309</v>
      </c>
      <c r="H5410" t="str">
        <f t="shared" ref="H5410:H5441" si="59">HYPERLINK("http://catalog.hathitrust.org/Record/008618324")</f>
        <v>http://catalog.hathitrust.org/Record/008618324</v>
      </c>
      <c r="I5410" s="1" t="s">
        <v>7967</v>
      </c>
      <c r="J5410" s="1">
        <v>1779</v>
      </c>
      <c r="K5410" t="s">
        <v>8080</v>
      </c>
      <c r="L5410" t="s">
        <v>20086</v>
      </c>
    </row>
    <row r="5411" spans="1:12">
      <c r="A5411" t="s">
        <v>7968</v>
      </c>
      <c r="B5411" s="1" t="s">
        <v>8079</v>
      </c>
      <c r="F5411">
        <v>1</v>
      </c>
      <c r="G5411" t="str">
        <f>HYPERLINK("http://babel.hathitrust.org/cgi/pt?id=nyp.33433067299317")</f>
        <v>http://babel.hathitrust.org/cgi/pt?id=nyp.33433067299317</v>
      </c>
      <c r="H5411" t="str">
        <f t="shared" si="59"/>
        <v>http://catalog.hathitrust.org/Record/008618324</v>
      </c>
      <c r="I5411" s="1" t="s">
        <v>7969</v>
      </c>
      <c r="J5411" s="1">
        <v>1779</v>
      </c>
      <c r="K5411" t="s">
        <v>8080</v>
      </c>
      <c r="L5411" t="s">
        <v>20086</v>
      </c>
    </row>
    <row r="5412" spans="1:12">
      <c r="A5412" t="s">
        <v>7970</v>
      </c>
      <c r="B5412" s="1" t="s">
        <v>8079</v>
      </c>
      <c r="F5412">
        <v>1</v>
      </c>
      <c r="G5412" t="str">
        <f>HYPERLINK("http://babel.hathitrust.org/cgi/pt?id=nyp.33433067299325")</f>
        <v>http://babel.hathitrust.org/cgi/pt?id=nyp.33433067299325</v>
      </c>
      <c r="H5412" t="str">
        <f t="shared" si="59"/>
        <v>http://catalog.hathitrust.org/Record/008618324</v>
      </c>
      <c r="I5412" s="1" t="s">
        <v>7971</v>
      </c>
      <c r="J5412" s="1">
        <v>1779</v>
      </c>
      <c r="K5412" t="s">
        <v>8080</v>
      </c>
      <c r="L5412" t="s">
        <v>20086</v>
      </c>
    </row>
    <row r="5413" spans="1:12">
      <c r="A5413" t="s">
        <v>7972</v>
      </c>
      <c r="B5413" s="1" t="s">
        <v>8079</v>
      </c>
      <c r="F5413">
        <v>1</v>
      </c>
      <c r="G5413" t="str">
        <f>HYPERLINK("http://babel.hathitrust.org/cgi/pt?id=nyp.33433067299333")</f>
        <v>http://babel.hathitrust.org/cgi/pt?id=nyp.33433067299333</v>
      </c>
      <c r="H5413" t="str">
        <f t="shared" si="59"/>
        <v>http://catalog.hathitrust.org/Record/008618324</v>
      </c>
      <c r="I5413" s="1" t="s">
        <v>7973</v>
      </c>
      <c r="J5413" s="1">
        <v>1779</v>
      </c>
      <c r="K5413" t="s">
        <v>8080</v>
      </c>
      <c r="L5413" t="s">
        <v>20086</v>
      </c>
    </row>
    <row r="5414" spans="1:12">
      <c r="A5414" t="s">
        <v>7974</v>
      </c>
      <c r="B5414" s="1" t="s">
        <v>8079</v>
      </c>
      <c r="F5414">
        <v>1</v>
      </c>
      <c r="G5414" t="str">
        <f>HYPERLINK("http://babel.hathitrust.org/cgi/pt?id=nyp.33433067299341")</f>
        <v>http://babel.hathitrust.org/cgi/pt?id=nyp.33433067299341</v>
      </c>
      <c r="H5414" t="str">
        <f t="shared" si="59"/>
        <v>http://catalog.hathitrust.org/Record/008618324</v>
      </c>
      <c r="I5414" s="1" t="s">
        <v>7975</v>
      </c>
      <c r="J5414" s="1">
        <v>1779</v>
      </c>
      <c r="K5414" t="s">
        <v>8080</v>
      </c>
      <c r="L5414" t="s">
        <v>20086</v>
      </c>
    </row>
    <row r="5415" spans="1:12">
      <c r="A5415" t="s">
        <v>7976</v>
      </c>
      <c r="B5415" s="1" t="s">
        <v>8079</v>
      </c>
      <c r="F5415">
        <v>1</v>
      </c>
      <c r="G5415" t="str">
        <f>HYPERLINK("http://babel.hathitrust.org/cgi/pt?id=nyp.33433067299358")</f>
        <v>http://babel.hathitrust.org/cgi/pt?id=nyp.33433067299358</v>
      </c>
      <c r="H5415" t="str">
        <f t="shared" si="59"/>
        <v>http://catalog.hathitrust.org/Record/008618324</v>
      </c>
      <c r="I5415" s="1" t="s">
        <v>7977</v>
      </c>
      <c r="J5415" s="1">
        <v>1779</v>
      </c>
      <c r="K5415" t="s">
        <v>8080</v>
      </c>
      <c r="L5415" t="s">
        <v>20086</v>
      </c>
    </row>
    <row r="5416" spans="1:12">
      <c r="A5416" t="s">
        <v>7978</v>
      </c>
      <c r="B5416" s="1" t="s">
        <v>8079</v>
      </c>
      <c r="F5416">
        <v>1</v>
      </c>
      <c r="G5416" t="str">
        <f>HYPERLINK("http://babel.hathitrust.org/cgi/pt?id=nyp.33433067299366")</f>
        <v>http://babel.hathitrust.org/cgi/pt?id=nyp.33433067299366</v>
      </c>
      <c r="H5416" t="str">
        <f t="shared" si="59"/>
        <v>http://catalog.hathitrust.org/Record/008618324</v>
      </c>
      <c r="I5416" s="1" t="s">
        <v>7979</v>
      </c>
      <c r="J5416" s="1">
        <v>1779</v>
      </c>
      <c r="K5416" t="s">
        <v>8080</v>
      </c>
      <c r="L5416" t="s">
        <v>20086</v>
      </c>
    </row>
    <row r="5417" spans="1:12">
      <c r="A5417" t="s">
        <v>7980</v>
      </c>
      <c r="B5417" s="1" t="s">
        <v>8079</v>
      </c>
      <c r="F5417">
        <v>1</v>
      </c>
      <c r="G5417" t="str">
        <f>HYPERLINK("http://babel.hathitrust.org/cgi/pt?id=nyp.33433067299374")</f>
        <v>http://babel.hathitrust.org/cgi/pt?id=nyp.33433067299374</v>
      </c>
      <c r="H5417" t="str">
        <f t="shared" si="59"/>
        <v>http://catalog.hathitrust.org/Record/008618324</v>
      </c>
      <c r="I5417" s="1" t="s">
        <v>7981</v>
      </c>
      <c r="J5417" s="1">
        <v>1779</v>
      </c>
      <c r="K5417" t="s">
        <v>8080</v>
      </c>
      <c r="L5417" t="s">
        <v>20086</v>
      </c>
    </row>
    <row r="5418" spans="1:12">
      <c r="A5418" t="s">
        <v>7982</v>
      </c>
      <c r="B5418" s="1" t="s">
        <v>8079</v>
      </c>
      <c r="F5418">
        <v>1</v>
      </c>
      <c r="G5418" t="str">
        <f>HYPERLINK("http://babel.hathitrust.org/cgi/pt?id=nyp.33433067299382")</f>
        <v>http://babel.hathitrust.org/cgi/pt?id=nyp.33433067299382</v>
      </c>
      <c r="H5418" t="str">
        <f t="shared" si="59"/>
        <v>http://catalog.hathitrust.org/Record/008618324</v>
      </c>
      <c r="I5418" s="1" t="s">
        <v>7983</v>
      </c>
      <c r="J5418" s="1">
        <v>1779</v>
      </c>
      <c r="K5418" t="s">
        <v>8080</v>
      </c>
      <c r="L5418" t="s">
        <v>20086</v>
      </c>
    </row>
    <row r="5419" spans="1:12">
      <c r="A5419" t="s">
        <v>7984</v>
      </c>
      <c r="B5419" s="1" t="s">
        <v>8079</v>
      </c>
      <c r="F5419">
        <v>1</v>
      </c>
      <c r="G5419" t="str">
        <f>HYPERLINK("http://babel.hathitrust.org/cgi/pt?id=nyp.33433067299390")</f>
        <v>http://babel.hathitrust.org/cgi/pt?id=nyp.33433067299390</v>
      </c>
      <c r="H5419" t="str">
        <f t="shared" si="59"/>
        <v>http://catalog.hathitrust.org/Record/008618324</v>
      </c>
      <c r="I5419" s="1" t="s">
        <v>7985</v>
      </c>
      <c r="J5419" s="1">
        <v>1779</v>
      </c>
      <c r="K5419" t="s">
        <v>8080</v>
      </c>
      <c r="L5419" t="s">
        <v>20086</v>
      </c>
    </row>
    <row r="5420" spans="1:12">
      <c r="A5420" t="s">
        <v>7986</v>
      </c>
      <c r="B5420" s="1" t="s">
        <v>8079</v>
      </c>
      <c r="F5420">
        <v>1</v>
      </c>
      <c r="G5420" t="str">
        <f>HYPERLINK("http://babel.hathitrust.org/cgi/pt?id=nyp.33433067299408")</f>
        <v>http://babel.hathitrust.org/cgi/pt?id=nyp.33433067299408</v>
      </c>
      <c r="H5420" t="str">
        <f t="shared" si="59"/>
        <v>http://catalog.hathitrust.org/Record/008618324</v>
      </c>
      <c r="I5420" s="1" t="s">
        <v>7987</v>
      </c>
      <c r="J5420" s="1">
        <v>1779</v>
      </c>
      <c r="K5420" t="s">
        <v>8080</v>
      </c>
      <c r="L5420" t="s">
        <v>20086</v>
      </c>
    </row>
    <row r="5421" spans="1:12">
      <c r="A5421" t="s">
        <v>7988</v>
      </c>
      <c r="B5421" s="1" t="s">
        <v>8079</v>
      </c>
      <c r="F5421">
        <v>1</v>
      </c>
      <c r="G5421" t="str">
        <f>HYPERLINK("http://babel.hathitrust.org/cgi/pt?id=nyp.33433067299416")</f>
        <v>http://babel.hathitrust.org/cgi/pt?id=nyp.33433067299416</v>
      </c>
      <c r="H5421" t="str">
        <f t="shared" si="59"/>
        <v>http://catalog.hathitrust.org/Record/008618324</v>
      </c>
      <c r="I5421" s="1" t="s">
        <v>7989</v>
      </c>
      <c r="J5421" s="1">
        <v>1779</v>
      </c>
      <c r="K5421" t="s">
        <v>8080</v>
      </c>
      <c r="L5421" t="s">
        <v>20086</v>
      </c>
    </row>
    <row r="5422" spans="1:12">
      <c r="A5422" t="s">
        <v>7990</v>
      </c>
      <c r="B5422" s="1" t="s">
        <v>8079</v>
      </c>
      <c r="F5422">
        <v>1</v>
      </c>
      <c r="G5422" t="str">
        <f>HYPERLINK("http://babel.hathitrust.org/cgi/pt?id=nyp.33433067299424")</f>
        <v>http://babel.hathitrust.org/cgi/pt?id=nyp.33433067299424</v>
      </c>
      <c r="H5422" t="str">
        <f t="shared" si="59"/>
        <v>http://catalog.hathitrust.org/Record/008618324</v>
      </c>
      <c r="I5422" s="1" t="s">
        <v>7991</v>
      </c>
      <c r="J5422" s="1">
        <v>1779</v>
      </c>
      <c r="K5422" t="s">
        <v>8080</v>
      </c>
      <c r="L5422" t="s">
        <v>20086</v>
      </c>
    </row>
    <row r="5423" spans="1:12">
      <c r="A5423" t="s">
        <v>7992</v>
      </c>
      <c r="B5423" s="1" t="s">
        <v>8079</v>
      </c>
      <c r="F5423">
        <v>1</v>
      </c>
      <c r="G5423" t="str">
        <f>HYPERLINK("http://babel.hathitrust.org/cgi/pt?id=nyp.33433067299432")</f>
        <v>http://babel.hathitrust.org/cgi/pt?id=nyp.33433067299432</v>
      </c>
      <c r="H5423" t="str">
        <f t="shared" si="59"/>
        <v>http://catalog.hathitrust.org/Record/008618324</v>
      </c>
      <c r="I5423" s="1" t="s">
        <v>7993</v>
      </c>
      <c r="J5423" s="1">
        <v>1779</v>
      </c>
      <c r="K5423" t="s">
        <v>8080</v>
      </c>
      <c r="L5423" t="s">
        <v>20086</v>
      </c>
    </row>
    <row r="5424" spans="1:12">
      <c r="A5424" t="s">
        <v>7994</v>
      </c>
      <c r="B5424" s="1" t="s">
        <v>8079</v>
      </c>
      <c r="F5424">
        <v>1</v>
      </c>
      <c r="G5424" t="str">
        <f>HYPERLINK("http://babel.hathitrust.org/cgi/pt?id=nyp.33433067299440")</f>
        <v>http://babel.hathitrust.org/cgi/pt?id=nyp.33433067299440</v>
      </c>
      <c r="H5424" t="str">
        <f t="shared" si="59"/>
        <v>http://catalog.hathitrust.org/Record/008618324</v>
      </c>
      <c r="I5424" s="1" t="s">
        <v>7995</v>
      </c>
      <c r="J5424" s="1">
        <v>1779</v>
      </c>
      <c r="K5424" t="s">
        <v>8080</v>
      </c>
      <c r="L5424" t="s">
        <v>20086</v>
      </c>
    </row>
    <row r="5425" spans="1:12">
      <c r="A5425" t="s">
        <v>7996</v>
      </c>
      <c r="B5425" s="1" t="s">
        <v>8079</v>
      </c>
      <c r="F5425">
        <v>1</v>
      </c>
      <c r="G5425" t="str">
        <f>HYPERLINK("http://babel.hathitrust.org/cgi/pt?id=nyp.33433067299457")</f>
        <v>http://babel.hathitrust.org/cgi/pt?id=nyp.33433067299457</v>
      </c>
      <c r="H5425" t="str">
        <f t="shared" si="59"/>
        <v>http://catalog.hathitrust.org/Record/008618324</v>
      </c>
      <c r="I5425" s="1" t="s">
        <v>7997</v>
      </c>
      <c r="J5425" s="1">
        <v>1779</v>
      </c>
      <c r="K5425" t="s">
        <v>8080</v>
      </c>
      <c r="L5425" t="s">
        <v>20086</v>
      </c>
    </row>
    <row r="5426" spans="1:12">
      <c r="A5426" t="s">
        <v>7998</v>
      </c>
      <c r="B5426" s="1" t="s">
        <v>8079</v>
      </c>
      <c r="F5426">
        <v>1</v>
      </c>
      <c r="G5426" t="str">
        <f>HYPERLINK("http://babel.hathitrust.org/cgi/pt?id=nyp.33433067299465")</f>
        <v>http://babel.hathitrust.org/cgi/pt?id=nyp.33433067299465</v>
      </c>
      <c r="H5426" t="str">
        <f t="shared" si="59"/>
        <v>http://catalog.hathitrust.org/Record/008618324</v>
      </c>
      <c r="I5426" s="1" t="s">
        <v>7999</v>
      </c>
      <c r="J5426" s="1">
        <v>1779</v>
      </c>
      <c r="K5426" t="s">
        <v>8080</v>
      </c>
      <c r="L5426" t="s">
        <v>20086</v>
      </c>
    </row>
    <row r="5427" spans="1:12">
      <c r="A5427" t="s">
        <v>8000</v>
      </c>
      <c r="B5427" s="1" t="s">
        <v>8079</v>
      </c>
      <c r="F5427">
        <v>1</v>
      </c>
      <c r="G5427" t="str">
        <f>HYPERLINK("http://babel.hathitrust.org/cgi/pt?id=nyp.33433067299473")</f>
        <v>http://babel.hathitrust.org/cgi/pt?id=nyp.33433067299473</v>
      </c>
      <c r="H5427" t="str">
        <f t="shared" si="59"/>
        <v>http://catalog.hathitrust.org/Record/008618324</v>
      </c>
      <c r="I5427" s="1" t="s">
        <v>8001</v>
      </c>
      <c r="J5427" s="1">
        <v>1779</v>
      </c>
      <c r="K5427" t="s">
        <v>8080</v>
      </c>
      <c r="L5427" t="s">
        <v>20086</v>
      </c>
    </row>
    <row r="5428" spans="1:12">
      <c r="A5428" t="s">
        <v>8002</v>
      </c>
      <c r="B5428" s="1" t="s">
        <v>8079</v>
      </c>
      <c r="F5428">
        <v>1</v>
      </c>
      <c r="G5428" t="str">
        <f>HYPERLINK("http://babel.hathitrust.org/cgi/pt?id=nyp.33433067299481")</f>
        <v>http://babel.hathitrust.org/cgi/pt?id=nyp.33433067299481</v>
      </c>
      <c r="H5428" t="str">
        <f t="shared" si="59"/>
        <v>http://catalog.hathitrust.org/Record/008618324</v>
      </c>
      <c r="I5428" s="1" t="s">
        <v>8003</v>
      </c>
      <c r="J5428" s="1">
        <v>1779</v>
      </c>
      <c r="K5428" t="s">
        <v>8080</v>
      </c>
      <c r="L5428" t="s">
        <v>20086</v>
      </c>
    </row>
    <row r="5429" spans="1:12">
      <c r="A5429" t="s">
        <v>8004</v>
      </c>
      <c r="B5429" s="1" t="s">
        <v>8079</v>
      </c>
      <c r="F5429">
        <v>1</v>
      </c>
      <c r="G5429" t="str">
        <f>HYPERLINK("http://babel.hathitrust.org/cgi/pt?id=nyp.33433067299499")</f>
        <v>http://babel.hathitrust.org/cgi/pt?id=nyp.33433067299499</v>
      </c>
      <c r="H5429" t="str">
        <f t="shared" si="59"/>
        <v>http://catalog.hathitrust.org/Record/008618324</v>
      </c>
      <c r="I5429" s="1" t="s">
        <v>8005</v>
      </c>
      <c r="J5429" s="1">
        <v>1779</v>
      </c>
      <c r="K5429" t="s">
        <v>8080</v>
      </c>
      <c r="L5429" t="s">
        <v>20086</v>
      </c>
    </row>
    <row r="5430" spans="1:12">
      <c r="A5430" t="s">
        <v>8006</v>
      </c>
      <c r="B5430" s="1" t="s">
        <v>8079</v>
      </c>
      <c r="F5430">
        <v>1</v>
      </c>
      <c r="G5430" t="str">
        <f>HYPERLINK("http://babel.hathitrust.org/cgi/pt?id=nyp.33433067299507")</f>
        <v>http://babel.hathitrust.org/cgi/pt?id=nyp.33433067299507</v>
      </c>
      <c r="H5430" t="str">
        <f t="shared" si="59"/>
        <v>http://catalog.hathitrust.org/Record/008618324</v>
      </c>
      <c r="I5430" s="1" t="s">
        <v>8007</v>
      </c>
      <c r="J5430" s="1">
        <v>1779</v>
      </c>
      <c r="K5430" t="s">
        <v>8080</v>
      </c>
      <c r="L5430" t="s">
        <v>20086</v>
      </c>
    </row>
    <row r="5431" spans="1:12">
      <c r="A5431" t="s">
        <v>8008</v>
      </c>
      <c r="B5431" s="1" t="s">
        <v>8079</v>
      </c>
      <c r="F5431">
        <v>1</v>
      </c>
      <c r="G5431" t="str">
        <f>HYPERLINK("http://babel.hathitrust.org/cgi/pt?id=nyp.33433067299515")</f>
        <v>http://babel.hathitrust.org/cgi/pt?id=nyp.33433067299515</v>
      </c>
      <c r="H5431" t="str">
        <f t="shared" si="59"/>
        <v>http://catalog.hathitrust.org/Record/008618324</v>
      </c>
      <c r="I5431" s="1" t="s">
        <v>8009</v>
      </c>
      <c r="J5431" s="1">
        <v>1779</v>
      </c>
      <c r="K5431" t="s">
        <v>8080</v>
      </c>
      <c r="L5431" t="s">
        <v>20086</v>
      </c>
    </row>
    <row r="5432" spans="1:12">
      <c r="A5432" t="s">
        <v>8010</v>
      </c>
      <c r="B5432" s="1" t="s">
        <v>8079</v>
      </c>
      <c r="F5432">
        <v>1</v>
      </c>
      <c r="G5432" t="str">
        <f>HYPERLINK("http://babel.hathitrust.org/cgi/pt?id=nyp.33433067299523")</f>
        <v>http://babel.hathitrust.org/cgi/pt?id=nyp.33433067299523</v>
      </c>
      <c r="H5432" t="str">
        <f t="shared" si="59"/>
        <v>http://catalog.hathitrust.org/Record/008618324</v>
      </c>
      <c r="I5432" s="1" t="s">
        <v>8011</v>
      </c>
      <c r="J5432" s="1">
        <v>1779</v>
      </c>
      <c r="K5432" t="s">
        <v>8080</v>
      </c>
      <c r="L5432" t="s">
        <v>20086</v>
      </c>
    </row>
    <row r="5433" spans="1:12">
      <c r="A5433" t="s">
        <v>8012</v>
      </c>
      <c r="B5433" s="1" t="s">
        <v>8079</v>
      </c>
      <c r="F5433">
        <v>1</v>
      </c>
      <c r="G5433" t="str">
        <f>HYPERLINK("http://babel.hathitrust.org/cgi/pt?id=nyp.33433067299531")</f>
        <v>http://babel.hathitrust.org/cgi/pt?id=nyp.33433067299531</v>
      </c>
      <c r="H5433" t="str">
        <f t="shared" si="59"/>
        <v>http://catalog.hathitrust.org/Record/008618324</v>
      </c>
      <c r="I5433" s="1" t="s">
        <v>8013</v>
      </c>
      <c r="J5433" s="1">
        <v>1779</v>
      </c>
      <c r="K5433" t="s">
        <v>8080</v>
      </c>
      <c r="L5433" t="s">
        <v>20086</v>
      </c>
    </row>
    <row r="5434" spans="1:12">
      <c r="A5434" t="s">
        <v>8014</v>
      </c>
      <c r="B5434" s="1" t="s">
        <v>8079</v>
      </c>
      <c r="F5434">
        <v>1</v>
      </c>
      <c r="G5434" t="str">
        <f>HYPERLINK("http://babel.hathitrust.org/cgi/pt?id=nyp.33433067299549")</f>
        <v>http://babel.hathitrust.org/cgi/pt?id=nyp.33433067299549</v>
      </c>
      <c r="H5434" t="str">
        <f t="shared" si="59"/>
        <v>http://catalog.hathitrust.org/Record/008618324</v>
      </c>
      <c r="I5434" s="1" t="s">
        <v>8015</v>
      </c>
      <c r="J5434" s="1">
        <v>1779</v>
      </c>
      <c r="K5434" t="s">
        <v>8080</v>
      </c>
      <c r="L5434" t="s">
        <v>20086</v>
      </c>
    </row>
    <row r="5435" spans="1:12">
      <c r="A5435" t="s">
        <v>8016</v>
      </c>
      <c r="B5435" s="1" t="s">
        <v>8079</v>
      </c>
      <c r="F5435">
        <v>1</v>
      </c>
      <c r="G5435" t="str">
        <f>HYPERLINK("http://babel.hathitrust.org/cgi/pt?id=nyp.33433067299556")</f>
        <v>http://babel.hathitrust.org/cgi/pt?id=nyp.33433067299556</v>
      </c>
      <c r="H5435" t="str">
        <f t="shared" si="59"/>
        <v>http://catalog.hathitrust.org/Record/008618324</v>
      </c>
      <c r="I5435" s="1" t="s">
        <v>8017</v>
      </c>
      <c r="J5435" s="1">
        <v>1779</v>
      </c>
      <c r="K5435" t="s">
        <v>8080</v>
      </c>
      <c r="L5435" t="s">
        <v>20086</v>
      </c>
    </row>
    <row r="5436" spans="1:12">
      <c r="A5436" t="s">
        <v>8018</v>
      </c>
      <c r="B5436" s="1" t="s">
        <v>8079</v>
      </c>
      <c r="F5436">
        <v>1</v>
      </c>
      <c r="G5436" t="str">
        <f>HYPERLINK("http://babel.hathitrust.org/cgi/pt?id=nyp.33433067299564")</f>
        <v>http://babel.hathitrust.org/cgi/pt?id=nyp.33433067299564</v>
      </c>
      <c r="H5436" t="str">
        <f t="shared" si="59"/>
        <v>http://catalog.hathitrust.org/Record/008618324</v>
      </c>
      <c r="I5436" s="1" t="s">
        <v>8019</v>
      </c>
      <c r="J5436" s="1">
        <v>1779</v>
      </c>
      <c r="K5436" t="s">
        <v>8080</v>
      </c>
      <c r="L5436" t="s">
        <v>20086</v>
      </c>
    </row>
    <row r="5437" spans="1:12">
      <c r="A5437" t="s">
        <v>8020</v>
      </c>
      <c r="B5437" s="1" t="s">
        <v>8079</v>
      </c>
      <c r="F5437">
        <v>1</v>
      </c>
      <c r="G5437" t="str">
        <f>HYPERLINK("http://babel.hathitrust.org/cgi/pt?id=nyp.33433067299580")</f>
        <v>http://babel.hathitrust.org/cgi/pt?id=nyp.33433067299580</v>
      </c>
      <c r="H5437" t="str">
        <f t="shared" si="59"/>
        <v>http://catalog.hathitrust.org/Record/008618324</v>
      </c>
      <c r="I5437" s="1" t="s">
        <v>8021</v>
      </c>
      <c r="J5437" s="1">
        <v>1779</v>
      </c>
      <c r="K5437" t="s">
        <v>8080</v>
      </c>
      <c r="L5437" t="s">
        <v>20086</v>
      </c>
    </row>
    <row r="5438" spans="1:12">
      <c r="A5438" t="s">
        <v>8022</v>
      </c>
      <c r="B5438" s="1" t="s">
        <v>8079</v>
      </c>
      <c r="F5438">
        <v>1</v>
      </c>
      <c r="G5438" t="str">
        <f>HYPERLINK("http://babel.hathitrust.org/cgi/pt?id=nyp.33433067299598")</f>
        <v>http://babel.hathitrust.org/cgi/pt?id=nyp.33433067299598</v>
      </c>
      <c r="H5438" t="str">
        <f t="shared" si="59"/>
        <v>http://catalog.hathitrust.org/Record/008618324</v>
      </c>
      <c r="I5438" s="1" t="s">
        <v>8023</v>
      </c>
      <c r="J5438" s="1">
        <v>1779</v>
      </c>
      <c r="K5438" t="s">
        <v>8080</v>
      </c>
      <c r="L5438" t="s">
        <v>20086</v>
      </c>
    </row>
    <row r="5439" spans="1:12">
      <c r="A5439" t="s">
        <v>8024</v>
      </c>
      <c r="B5439" s="1" t="s">
        <v>8079</v>
      </c>
      <c r="F5439">
        <v>1</v>
      </c>
      <c r="G5439" t="str">
        <f>HYPERLINK("http://babel.hathitrust.org/cgi/pt?id=nyp.33433067299606")</f>
        <v>http://babel.hathitrust.org/cgi/pt?id=nyp.33433067299606</v>
      </c>
      <c r="H5439" t="str">
        <f t="shared" si="59"/>
        <v>http://catalog.hathitrust.org/Record/008618324</v>
      </c>
      <c r="I5439" s="1" t="s">
        <v>8025</v>
      </c>
      <c r="J5439" s="1">
        <v>1779</v>
      </c>
      <c r="K5439" t="s">
        <v>8080</v>
      </c>
      <c r="L5439" t="s">
        <v>20086</v>
      </c>
    </row>
    <row r="5440" spans="1:12">
      <c r="A5440" t="s">
        <v>8026</v>
      </c>
      <c r="B5440" s="1" t="s">
        <v>8079</v>
      </c>
      <c r="F5440">
        <v>1</v>
      </c>
      <c r="G5440" t="str">
        <f>HYPERLINK("http://babel.hathitrust.org/cgi/pt?id=nyp.33433067299614")</f>
        <v>http://babel.hathitrust.org/cgi/pt?id=nyp.33433067299614</v>
      </c>
      <c r="H5440" t="str">
        <f t="shared" si="59"/>
        <v>http://catalog.hathitrust.org/Record/008618324</v>
      </c>
      <c r="I5440" s="1" t="s">
        <v>8027</v>
      </c>
      <c r="J5440" s="1">
        <v>1779</v>
      </c>
      <c r="K5440" t="s">
        <v>8080</v>
      </c>
      <c r="L5440" t="s">
        <v>20086</v>
      </c>
    </row>
    <row r="5441" spans="1:12">
      <c r="A5441" t="s">
        <v>8028</v>
      </c>
      <c r="B5441" s="1" t="s">
        <v>8079</v>
      </c>
      <c r="F5441">
        <v>1</v>
      </c>
      <c r="G5441" t="str">
        <f>HYPERLINK("http://babel.hathitrust.org/cgi/pt?id=nyp.33433067299622")</f>
        <v>http://babel.hathitrust.org/cgi/pt?id=nyp.33433067299622</v>
      </c>
      <c r="H5441" t="str">
        <f t="shared" si="59"/>
        <v>http://catalog.hathitrust.org/Record/008618324</v>
      </c>
      <c r="I5441" s="1" t="s">
        <v>8029</v>
      </c>
      <c r="J5441" s="1">
        <v>1779</v>
      </c>
      <c r="K5441" t="s">
        <v>8080</v>
      </c>
      <c r="L5441" t="s">
        <v>20086</v>
      </c>
    </row>
    <row r="5442" spans="1:12">
      <c r="A5442" t="s">
        <v>8030</v>
      </c>
      <c r="B5442" s="1" t="s">
        <v>8079</v>
      </c>
      <c r="F5442">
        <v>1</v>
      </c>
      <c r="G5442" t="str">
        <f>HYPERLINK("http://babel.hathitrust.org/cgi/pt?id=nyp.33433074845011")</f>
        <v>http://babel.hathitrust.org/cgi/pt?id=nyp.33433074845011</v>
      </c>
      <c r="H5442" t="str">
        <f t="shared" ref="H5442:H5473" si="60">HYPERLINK("http://catalog.hathitrust.org/Record/008618324")</f>
        <v>http://catalog.hathitrust.org/Record/008618324</v>
      </c>
      <c r="I5442" s="1" t="s">
        <v>8031</v>
      </c>
      <c r="J5442" s="1">
        <v>1779</v>
      </c>
      <c r="K5442" t="s">
        <v>8080</v>
      </c>
      <c r="L5442" t="s">
        <v>20086</v>
      </c>
    </row>
    <row r="5443" spans="1:12">
      <c r="A5443" t="s">
        <v>8032</v>
      </c>
      <c r="B5443" s="1" t="s">
        <v>8079</v>
      </c>
      <c r="F5443">
        <v>1</v>
      </c>
      <c r="G5443" t="str">
        <f>HYPERLINK("http://babel.hathitrust.org/cgi/pt?id=nyp.33433074845029")</f>
        <v>http://babel.hathitrust.org/cgi/pt?id=nyp.33433074845029</v>
      </c>
      <c r="H5443" t="str">
        <f t="shared" si="60"/>
        <v>http://catalog.hathitrust.org/Record/008618324</v>
      </c>
      <c r="I5443" s="1" t="s">
        <v>8033</v>
      </c>
      <c r="J5443" s="1">
        <v>1779</v>
      </c>
      <c r="K5443" t="s">
        <v>8080</v>
      </c>
      <c r="L5443" t="s">
        <v>20086</v>
      </c>
    </row>
    <row r="5444" spans="1:12">
      <c r="A5444" t="s">
        <v>8034</v>
      </c>
      <c r="B5444" s="1" t="s">
        <v>8079</v>
      </c>
      <c r="F5444">
        <v>1</v>
      </c>
      <c r="G5444" t="str">
        <f>HYPERLINK("http://babel.hathitrust.org/cgi/pt?id=nyp.33433074845037")</f>
        <v>http://babel.hathitrust.org/cgi/pt?id=nyp.33433074845037</v>
      </c>
      <c r="H5444" t="str">
        <f t="shared" si="60"/>
        <v>http://catalog.hathitrust.org/Record/008618324</v>
      </c>
      <c r="I5444" s="1" t="s">
        <v>8035</v>
      </c>
      <c r="J5444" s="1">
        <v>1779</v>
      </c>
      <c r="K5444" t="s">
        <v>8080</v>
      </c>
      <c r="L5444" t="s">
        <v>20086</v>
      </c>
    </row>
    <row r="5445" spans="1:12">
      <c r="A5445" t="s">
        <v>8036</v>
      </c>
      <c r="B5445" s="1" t="s">
        <v>8079</v>
      </c>
      <c r="F5445">
        <v>1</v>
      </c>
      <c r="G5445" t="str">
        <f>HYPERLINK("http://babel.hathitrust.org/cgi/pt?id=nyp.33433074845045")</f>
        <v>http://babel.hathitrust.org/cgi/pt?id=nyp.33433074845045</v>
      </c>
      <c r="H5445" t="str">
        <f t="shared" si="60"/>
        <v>http://catalog.hathitrust.org/Record/008618324</v>
      </c>
      <c r="I5445" s="1" t="s">
        <v>8037</v>
      </c>
      <c r="J5445" s="1">
        <v>1779</v>
      </c>
      <c r="K5445" t="s">
        <v>8080</v>
      </c>
      <c r="L5445" t="s">
        <v>20086</v>
      </c>
    </row>
    <row r="5446" spans="1:12">
      <c r="A5446" t="s">
        <v>8038</v>
      </c>
      <c r="B5446" s="1" t="s">
        <v>8079</v>
      </c>
      <c r="F5446">
        <v>1</v>
      </c>
      <c r="G5446" t="str">
        <f>HYPERLINK("http://babel.hathitrust.org/cgi/pt?id=nyp.33433074845052")</f>
        <v>http://babel.hathitrust.org/cgi/pt?id=nyp.33433074845052</v>
      </c>
      <c r="H5446" t="str">
        <f t="shared" si="60"/>
        <v>http://catalog.hathitrust.org/Record/008618324</v>
      </c>
      <c r="I5446" s="1" t="s">
        <v>8039</v>
      </c>
      <c r="J5446" s="1">
        <v>1779</v>
      </c>
      <c r="K5446" t="s">
        <v>8080</v>
      </c>
      <c r="L5446" t="s">
        <v>20086</v>
      </c>
    </row>
    <row r="5447" spans="1:12">
      <c r="A5447" t="s">
        <v>8040</v>
      </c>
      <c r="B5447" s="1" t="s">
        <v>8079</v>
      </c>
      <c r="F5447">
        <v>1</v>
      </c>
      <c r="G5447" t="str">
        <f>HYPERLINK("http://babel.hathitrust.org/cgi/pt?id=nyp.33433074845060")</f>
        <v>http://babel.hathitrust.org/cgi/pt?id=nyp.33433074845060</v>
      </c>
      <c r="H5447" t="str">
        <f t="shared" si="60"/>
        <v>http://catalog.hathitrust.org/Record/008618324</v>
      </c>
      <c r="I5447" s="1" t="s">
        <v>8041</v>
      </c>
      <c r="J5447" s="1">
        <v>1779</v>
      </c>
      <c r="K5447" t="s">
        <v>8080</v>
      </c>
      <c r="L5447" t="s">
        <v>20086</v>
      </c>
    </row>
    <row r="5448" spans="1:12">
      <c r="A5448" t="s">
        <v>8042</v>
      </c>
      <c r="B5448" s="1" t="s">
        <v>8079</v>
      </c>
      <c r="F5448">
        <v>1</v>
      </c>
      <c r="G5448" t="str">
        <f>HYPERLINK("http://babel.hathitrust.org/cgi/pt?id=nyp.33433074845078")</f>
        <v>http://babel.hathitrust.org/cgi/pt?id=nyp.33433074845078</v>
      </c>
      <c r="H5448" t="str">
        <f t="shared" si="60"/>
        <v>http://catalog.hathitrust.org/Record/008618324</v>
      </c>
      <c r="I5448" s="1" t="s">
        <v>8043</v>
      </c>
      <c r="J5448" s="1">
        <v>1779</v>
      </c>
      <c r="K5448" t="s">
        <v>8080</v>
      </c>
      <c r="L5448" t="s">
        <v>20086</v>
      </c>
    </row>
    <row r="5449" spans="1:12">
      <c r="A5449" t="s">
        <v>8044</v>
      </c>
      <c r="B5449" s="1" t="s">
        <v>8079</v>
      </c>
      <c r="F5449">
        <v>1</v>
      </c>
      <c r="G5449" t="str">
        <f>HYPERLINK("http://babel.hathitrust.org/cgi/pt?id=nyp.33433074845086")</f>
        <v>http://babel.hathitrust.org/cgi/pt?id=nyp.33433074845086</v>
      </c>
      <c r="H5449" t="str">
        <f t="shared" si="60"/>
        <v>http://catalog.hathitrust.org/Record/008618324</v>
      </c>
      <c r="I5449" s="1" t="s">
        <v>7867</v>
      </c>
      <c r="J5449" s="1">
        <v>1779</v>
      </c>
      <c r="K5449" t="s">
        <v>8080</v>
      </c>
      <c r="L5449" t="s">
        <v>20086</v>
      </c>
    </row>
    <row r="5450" spans="1:12">
      <c r="A5450" t="s">
        <v>7868</v>
      </c>
      <c r="B5450" s="1" t="s">
        <v>8079</v>
      </c>
      <c r="F5450">
        <v>1</v>
      </c>
      <c r="G5450" t="str">
        <f>HYPERLINK("http://babel.hathitrust.org/cgi/pt?id=nyp.33433074845094")</f>
        <v>http://babel.hathitrust.org/cgi/pt?id=nyp.33433074845094</v>
      </c>
      <c r="H5450" t="str">
        <f t="shared" si="60"/>
        <v>http://catalog.hathitrust.org/Record/008618324</v>
      </c>
      <c r="I5450" s="1" t="s">
        <v>7869</v>
      </c>
      <c r="J5450" s="1">
        <v>1779</v>
      </c>
      <c r="K5450" t="s">
        <v>8080</v>
      </c>
      <c r="L5450" t="s">
        <v>20086</v>
      </c>
    </row>
    <row r="5451" spans="1:12">
      <c r="A5451" t="s">
        <v>7870</v>
      </c>
      <c r="B5451" s="1" t="s">
        <v>8079</v>
      </c>
      <c r="F5451">
        <v>1</v>
      </c>
      <c r="G5451" t="str">
        <f>HYPERLINK("http://babel.hathitrust.org/cgi/pt?id=nyp.33433074845102")</f>
        <v>http://babel.hathitrust.org/cgi/pt?id=nyp.33433074845102</v>
      </c>
      <c r="H5451" t="str">
        <f t="shared" si="60"/>
        <v>http://catalog.hathitrust.org/Record/008618324</v>
      </c>
      <c r="I5451" s="1" t="s">
        <v>7871</v>
      </c>
      <c r="J5451" s="1">
        <v>1779</v>
      </c>
      <c r="K5451" t="s">
        <v>8080</v>
      </c>
      <c r="L5451" t="s">
        <v>20086</v>
      </c>
    </row>
    <row r="5452" spans="1:12">
      <c r="A5452" t="s">
        <v>7872</v>
      </c>
      <c r="B5452" s="1" t="s">
        <v>8079</v>
      </c>
      <c r="F5452">
        <v>1</v>
      </c>
      <c r="G5452" t="str">
        <f>HYPERLINK("http://babel.hathitrust.org/cgi/pt?id=nyp.33433074845110")</f>
        <v>http://babel.hathitrust.org/cgi/pt?id=nyp.33433074845110</v>
      </c>
      <c r="H5452" t="str">
        <f t="shared" si="60"/>
        <v>http://catalog.hathitrust.org/Record/008618324</v>
      </c>
      <c r="I5452" s="1" t="s">
        <v>7873</v>
      </c>
      <c r="J5452" s="1">
        <v>1779</v>
      </c>
      <c r="K5452" t="s">
        <v>8080</v>
      </c>
      <c r="L5452" t="s">
        <v>20086</v>
      </c>
    </row>
    <row r="5453" spans="1:12">
      <c r="A5453" t="s">
        <v>7874</v>
      </c>
      <c r="B5453" s="1" t="s">
        <v>8079</v>
      </c>
      <c r="F5453">
        <v>1</v>
      </c>
      <c r="G5453" t="str">
        <f>HYPERLINK("http://babel.hathitrust.org/cgi/pt?id=nyp.33433074845128")</f>
        <v>http://babel.hathitrust.org/cgi/pt?id=nyp.33433074845128</v>
      </c>
      <c r="H5453" t="str">
        <f t="shared" si="60"/>
        <v>http://catalog.hathitrust.org/Record/008618324</v>
      </c>
      <c r="I5453" s="1" t="s">
        <v>7875</v>
      </c>
      <c r="J5453" s="1">
        <v>1779</v>
      </c>
      <c r="K5453" t="s">
        <v>8080</v>
      </c>
      <c r="L5453" t="s">
        <v>20086</v>
      </c>
    </row>
    <row r="5454" spans="1:12">
      <c r="A5454" t="s">
        <v>7876</v>
      </c>
      <c r="B5454" s="1" t="s">
        <v>8079</v>
      </c>
      <c r="F5454">
        <v>1</v>
      </c>
      <c r="G5454" t="str">
        <f>HYPERLINK("http://babel.hathitrust.org/cgi/pt?id=nyp.33433074845136")</f>
        <v>http://babel.hathitrust.org/cgi/pt?id=nyp.33433074845136</v>
      </c>
      <c r="H5454" t="str">
        <f t="shared" si="60"/>
        <v>http://catalog.hathitrust.org/Record/008618324</v>
      </c>
      <c r="I5454" s="1" t="s">
        <v>7877</v>
      </c>
      <c r="J5454" s="1">
        <v>1779</v>
      </c>
      <c r="K5454" t="s">
        <v>8080</v>
      </c>
      <c r="L5454" t="s">
        <v>20086</v>
      </c>
    </row>
    <row r="5455" spans="1:12">
      <c r="A5455" t="s">
        <v>7878</v>
      </c>
      <c r="B5455" s="1" t="s">
        <v>8079</v>
      </c>
      <c r="F5455">
        <v>1</v>
      </c>
      <c r="G5455" t="str">
        <f>HYPERLINK("http://babel.hathitrust.org/cgi/pt?id=nyp.33433074845144")</f>
        <v>http://babel.hathitrust.org/cgi/pt?id=nyp.33433074845144</v>
      </c>
      <c r="H5455" t="str">
        <f t="shared" si="60"/>
        <v>http://catalog.hathitrust.org/Record/008618324</v>
      </c>
      <c r="I5455" s="1" t="s">
        <v>7879</v>
      </c>
      <c r="J5455" s="1">
        <v>1779</v>
      </c>
      <c r="K5455" t="s">
        <v>8080</v>
      </c>
      <c r="L5455" t="s">
        <v>20086</v>
      </c>
    </row>
    <row r="5456" spans="1:12">
      <c r="A5456" t="s">
        <v>7880</v>
      </c>
      <c r="B5456" s="1" t="s">
        <v>8079</v>
      </c>
      <c r="F5456">
        <v>1</v>
      </c>
      <c r="G5456" t="str">
        <f>HYPERLINK("http://babel.hathitrust.org/cgi/pt?id=nyp.33433074845151")</f>
        <v>http://babel.hathitrust.org/cgi/pt?id=nyp.33433074845151</v>
      </c>
      <c r="H5456" t="str">
        <f t="shared" si="60"/>
        <v>http://catalog.hathitrust.org/Record/008618324</v>
      </c>
      <c r="I5456" s="1" t="s">
        <v>7881</v>
      </c>
      <c r="J5456" s="1">
        <v>1779</v>
      </c>
      <c r="K5456" t="s">
        <v>8080</v>
      </c>
      <c r="L5456" t="s">
        <v>20086</v>
      </c>
    </row>
    <row r="5457" spans="1:12">
      <c r="A5457" t="s">
        <v>7882</v>
      </c>
      <c r="B5457" s="1" t="s">
        <v>8079</v>
      </c>
      <c r="F5457">
        <v>1</v>
      </c>
      <c r="G5457" t="str">
        <f>HYPERLINK("http://babel.hathitrust.org/cgi/pt?id=nyp.33433074845169")</f>
        <v>http://babel.hathitrust.org/cgi/pt?id=nyp.33433074845169</v>
      </c>
      <c r="H5457" t="str">
        <f t="shared" si="60"/>
        <v>http://catalog.hathitrust.org/Record/008618324</v>
      </c>
      <c r="I5457" s="1" t="s">
        <v>7883</v>
      </c>
      <c r="J5457" s="1">
        <v>1779</v>
      </c>
      <c r="K5457" t="s">
        <v>8080</v>
      </c>
      <c r="L5457" t="s">
        <v>20086</v>
      </c>
    </row>
    <row r="5458" spans="1:12">
      <c r="A5458" t="s">
        <v>7884</v>
      </c>
      <c r="B5458" s="1" t="s">
        <v>8079</v>
      </c>
      <c r="F5458">
        <v>1</v>
      </c>
      <c r="G5458" t="str">
        <f>HYPERLINK("http://babel.hathitrust.org/cgi/pt?id=nyp.33433074845177")</f>
        <v>http://babel.hathitrust.org/cgi/pt?id=nyp.33433074845177</v>
      </c>
      <c r="H5458" t="str">
        <f t="shared" si="60"/>
        <v>http://catalog.hathitrust.org/Record/008618324</v>
      </c>
      <c r="I5458" s="1" t="s">
        <v>7885</v>
      </c>
      <c r="J5458" s="1">
        <v>1779</v>
      </c>
      <c r="K5458" t="s">
        <v>8080</v>
      </c>
      <c r="L5458" t="s">
        <v>20086</v>
      </c>
    </row>
    <row r="5459" spans="1:12">
      <c r="A5459" t="s">
        <v>7886</v>
      </c>
      <c r="B5459" s="1" t="s">
        <v>8079</v>
      </c>
      <c r="F5459">
        <v>1</v>
      </c>
      <c r="G5459" t="str">
        <f>HYPERLINK("http://babel.hathitrust.org/cgi/pt?id=nyp.33433074845185")</f>
        <v>http://babel.hathitrust.org/cgi/pt?id=nyp.33433074845185</v>
      </c>
      <c r="H5459" t="str">
        <f t="shared" si="60"/>
        <v>http://catalog.hathitrust.org/Record/008618324</v>
      </c>
      <c r="I5459" s="1" t="s">
        <v>7887</v>
      </c>
      <c r="J5459" s="1">
        <v>1779</v>
      </c>
      <c r="K5459" t="s">
        <v>8080</v>
      </c>
      <c r="L5459" t="s">
        <v>20086</v>
      </c>
    </row>
    <row r="5460" spans="1:12">
      <c r="A5460" t="s">
        <v>7888</v>
      </c>
      <c r="B5460" s="1" t="s">
        <v>8079</v>
      </c>
      <c r="F5460">
        <v>1</v>
      </c>
      <c r="G5460" t="str">
        <f>HYPERLINK("http://babel.hathitrust.org/cgi/pt?id=nyp.33433074845193")</f>
        <v>http://babel.hathitrust.org/cgi/pt?id=nyp.33433074845193</v>
      </c>
      <c r="H5460" t="str">
        <f t="shared" si="60"/>
        <v>http://catalog.hathitrust.org/Record/008618324</v>
      </c>
      <c r="I5460" s="1" t="s">
        <v>7889</v>
      </c>
      <c r="J5460" s="1">
        <v>1779</v>
      </c>
      <c r="K5460" t="s">
        <v>8080</v>
      </c>
      <c r="L5460" t="s">
        <v>20086</v>
      </c>
    </row>
    <row r="5461" spans="1:12">
      <c r="A5461" t="s">
        <v>7890</v>
      </c>
      <c r="B5461" s="1" t="s">
        <v>8079</v>
      </c>
      <c r="F5461">
        <v>1</v>
      </c>
      <c r="G5461" t="str">
        <f>HYPERLINK("http://babel.hathitrust.org/cgi/pt?id=nyp.33433074845201")</f>
        <v>http://babel.hathitrust.org/cgi/pt?id=nyp.33433074845201</v>
      </c>
      <c r="H5461" t="str">
        <f t="shared" si="60"/>
        <v>http://catalog.hathitrust.org/Record/008618324</v>
      </c>
      <c r="I5461" s="1" t="s">
        <v>7891</v>
      </c>
      <c r="J5461" s="1">
        <v>1779</v>
      </c>
      <c r="K5461" t="s">
        <v>8080</v>
      </c>
      <c r="L5461" t="s">
        <v>20086</v>
      </c>
    </row>
    <row r="5462" spans="1:12">
      <c r="A5462" t="s">
        <v>7892</v>
      </c>
      <c r="B5462" s="1" t="s">
        <v>8079</v>
      </c>
      <c r="F5462">
        <v>1</v>
      </c>
      <c r="G5462" t="str">
        <f>HYPERLINK("http://babel.hathitrust.org/cgi/pt?id=nyp.33433074845219")</f>
        <v>http://babel.hathitrust.org/cgi/pt?id=nyp.33433074845219</v>
      </c>
      <c r="H5462" t="str">
        <f t="shared" si="60"/>
        <v>http://catalog.hathitrust.org/Record/008618324</v>
      </c>
      <c r="I5462" s="1" t="s">
        <v>7893</v>
      </c>
      <c r="J5462" s="1">
        <v>1779</v>
      </c>
      <c r="K5462" t="s">
        <v>8080</v>
      </c>
      <c r="L5462" t="s">
        <v>20086</v>
      </c>
    </row>
    <row r="5463" spans="1:12">
      <c r="A5463" t="s">
        <v>7894</v>
      </c>
      <c r="B5463" s="1" t="s">
        <v>8079</v>
      </c>
      <c r="F5463">
        <v>1</v>
      </c>
      <c r="G5463" t="str">
        <f>HYPERLINK("http://babel.hathitrust.org/cgi/pt?id=nyp.33433074845227")</f>
        <v>http://babel.hathitrust.org/cgi/pt?id=nyp.33433074845227</v>
      </c>
      <c r="H5463" t="str">
        <f t="shared" si="60"/>
        <v>http://catalog.hathitrust.org/Record/008618324</v>
      </c>
      <c r="I5463" s="1" t="s">
        <v>7895</v>
      </c>
      <c r="J5463" s="1">
        <v>1779</v>
      </c>
      <c r="K5463" t="s">
        <v>8080</v>
      </c>
      <c r="L5463" t="s">
        <v>20086</v>
      </c>
    </row>
    <row r="5464" spans="1:12">
      <c r="A5464" t="s">
        <v>7896</v>
      </c>
      <c r="B5464" s="1" t="s">
        <v>8079</v>
      </c>
      <c r="F5464">
        <v>1</v>
      </c>
      <c r="G5464" t="str">
        <f>HYPERLINK("http://babel.hathitrust.org/cgi/pt?id=nyp.33433074845235")</f>
        <v>http://babel.hathitrust.org/cgi/pt?id=nyp.33433074845235</v>
      </c>
      <c r="H5464" t="str">
        <f t="shared" si="60"/>
        <v>http://catalog.hathitrust.org/Record/008618324</v>
      </c>
      <c r="I5464" s="1" t="s">
        <v>7897</v>
      </c>
      <c r="J5464" s="1">
        <v>1779</v>
      </c>
      <c r="K5464" t="s">
        <v>8080</v>
      </c>
      <c r="L5464" t="s">
        <v>20086</v>
      </c>
    </row>
    <row r="5465" spans="1:12">
      <c r="A5465" t="s">
        <v>7898</v>
      </c>
      <c r="B5465" s="1" t="s">
        <v>8079</v>
      </c>
      <c r="F5465">
        <v>1</v>
      </c>
      <c r="G5465" t="str">
        <f>HYPERLINK("http://babel.hathitrust.org/cgi/pt?id=nyp.33433074845243")</f>
        <v>http://babel.hathitrust.org/cgi/pt?id=nyp.33433074845243</v>
      </c>
      <c r="H5465" t="str">
        <f t="shared" si="60"/>
        <v>http://catalog.hathitrust.org/Record/008618324</v>
      </c>
      <c r="I5465" s="1" t="s">
        <v>7899</v>
      </c>
      <c r="J5465" s="1">
        <v>1779</v>
      </c>
      <c r="K5465" t="s">
        <v>8080</v>
      </c>
      <c r="L5465" t="s">
        <v>20086</v>
      </c>
    </row>
    <row r="5466" spans="1:12">
      <c r="A5466" t="s">
        <v>7900</v>
      </c>
      <c r="B5466" s="1" t="s">
        <v>8079</v>
      </c>
      <c r="F5466">
        <v>1</v>
      </c>
      <c r="G5466" t="str">
        <f>HYPERLINK("http://babel.hathitrust.org/cgi/pt?id=nyp.33433074845250")</f>
        <v>http://babel.hathitrust.org/cgi/pt?id=nyp.33433074845250</v>
      </c>
      <c r="H5466" t="str">
        <f t="shared" si="60"/>
        <v>http://catalog.hathitrust.org/Record/008618324</v>
      </c>
      <c r="I5466" s="1" t="s">
        <v>7901</v>
      </c>
      <c r="J5466" s="1">
        <v>1779</v>
      </c>
      <c r="K5466" t="s">
        <v>8080</v>
      </c>
      <c r="L5466" t="s">
        <v>20086</v>
      </c>
    </row>
    <row r="5467" spans="1:12">
      <c r="A5467" t="s">
        <v>7902</v>
      </c>
      <c r="B5467" s="1" t="s">
        <v>8079</v>
      </c>
      <c r="F5467">
        <v>1</v>
      </c>
      <c r="G5467" t="str">
        <f>HYPERLINK("http://babel.hathitrust.org/cgi/pt?id=nyp.33433074845458")</f>
        <v>http://babel.hathitrust.org/cgi/pt?id=nyp.33433074845458</v>
      </c>
      <c r="H5467" t="str">
        <f t="shared" si="60"/>
        <v>http://catalog.hathitrust.org/Record/008618324</v>
      </c>
      <c r="I5467" s="1" t="s">
        <v>7903</v>
      </c>
      <c r="J5467" s="1">
        <v>1779</v>
      </c>
      <c r="K5467" t="s">
        <v>8080</v>
      </c>
      <c r="L5467" t="s">
        <v>20086</v>
      </c>
    </row>
    <row r="5468" spans="1:12">
      <c r="A5468" t="s">
        <v>7904</v>
      </c>
      <c r="B5468" s="1" t="s">
        <v>8079</v>
      </c>
      <c r="F5468">
        <v>1</v>
      </c>
      <c r="G5468" t="str">
        <f>HYPERLINK("http://babel.hathitrust.org/cgi/pt?id=nyp.33433074845466")</f>
        <v>http://babel.hathitrust.org/cgi/pt?id=nyp.33433074845466</v>
      </c>
      <c r="H5468" t="str">
        <f t="shared" si="60"/>
        <v>http://catalog.hathitrust.org/Record/008618324</v>
      </c>
      <c r="I5468" s="1" t="s">
        <v>7905</v>
      </c>
      <c r="J5468" s="1">
        <v>1779</v>
      </c>
      <c r="K5468" t="s">
        <v>8080</v>
      </c>
      <c r="L5468" t="s">
        <v>20086</v>
      </c>
    </row>
    <row r="5469" spans="1:12">
      <c r="A5469" t="s">
        <v>7906</v>
      </c>
      <c r="B5469" s="1" t="s">
        <v>8079</v>
      </c>
      <c r="F5469">
        <v>1</v>
      </c>
      <c r="G5469" t="str">
        <f>HYPERLINK("http://babel.hathitrust.org/cgi/pt?id=nyp.33433074845474")</f>
        <v>http://babel.hathitrust.org/cgi/pt?id=nyp.33433074845474</v>
      </c>
      <c r="H5469" t="str">
        <f t="shared" si="60"/>
        <v>http://catalog.hathitrust.org/Record/008618324</v>
      </c>
      <c r="I5469" s="1" t="s">
        <v>7907</v>
      </c>
      <c r="J5469" s="1">
        <v>1779</v>
      </c>
      <c r="K5469" t="s">
        <v>8080</v>
      </c>
      <c r="L5469" t="s">
        <v>20086</v>
      </c>
    </row>
    <row r="5470" spans="1:12">
      <c r="A5470" t="s">
        <v>7908</v>
      </c>
      <c r="B5470" s="1" t="s">
        <v>8079</v>
      </c>
      <c r="F5470">
        <v>1</v>
      </c>
      <c r="G5470" t="str">
        <f>HYPERLINK("http://babel.hathitrust.org/cgi/pt?id=nyp.33433074845482")</f>
        <v>http://babel.hathitrust.org/cgi/pt?id=nyp.33433074845482</v>
      </c>
      <c r="H5470" t="str">
        <f t="shared" si="60"/>
        <v>http://catalog.hathitrust.org/Record/008618324</v>
      </c>
      <c r="I5470" s="1" t="s">
        <v>7909</v>
      </c>
      <c r="J5470" s="1">
        <v>1779</v>
      </c>
      <c r="K5470" t="s">
        <v>8080</v>
      </c>
      <c r="L5470" t="s">
        <v>20086</v>
      </c>
    </row>
    <row r="5471" spans="1:12">
      <c r="A5471" t="s">
        <v>7910</v>
      </c>
      <c r="B5471" s="1" t="s">
        <v>8079</v>
      </c>
      <c r="F5471">
        <v>1</v>
      </c>
      <c r="G5471" t="str">
        <f>HYPERLINK("http://babel.hathitrust.org/cgi/pt?id=nyp.33433074845490")</f>
        <v>http://babel.hathitrust.org/cgi/pt?id=nyp.33433074845490</v>
      </c>
      <c r="H5471" t="str">
        <f t="shared" si="60"/>
        <v>http://catalog.hathitrust.org/Record/008618324</v>
      </c>
      <c r="I5471" s="1" t="s">
        <v>7911</v>
      </c>
      <c r="J5471" s="1">
        <v>1779</v>
      </c>
      <c r="K5471" t="s">
        <v>8080</v>
      </c>
      <c r="L5471" t="s">
        <v>20086</v>
      </c>
    </row>
    <row r="5472" spans="1:12">
      <c r="A5472" t="s">
        <v>7912</v>
      </c>
      <c r="B5472" s="1" t="s">
        <v>8079</v>
      </c>
      <c r="F5472">
        <v>1</v>
      </c>
      <c r="G5472" t="str">
        <f>HYPERLINK("http://babel.hathitrust.org/cgi/pt?id=nyp.33433074845508")</f>
        <v>http://babel.hathitrust.org/cgi/pt?id=nyp.33433074845508</v>
      </c>
      <c r="H5472" t="str">
        <f t="shared" si="60"/>
        <v>http://catalog.hathitrust.org/Record/008618324</v>
      </c>
      <c r="I5472" s="1" t="s">
        <v>7913</v>
      </c>
      <c r="J5472" s="1">
        <v>1779</v>
      </c>
      <c r="K5472" t="s">
        <v>8080</v>
      </c>
      <c r="L5472" t="s">
        <v>20086</v>
      </c>
    </row>
    <row r="5473" spans="1:12">
      <c r="A5473" t="s">
        <v>7914</v>
      </c>
      <c r="B5473" s="1" t="s">
        <v>8079</v>
      </c>
      <c r="F5473">
        <v>1</v>
      </c>
      <c r="G5473" t="str">
        <f>HYPERLINK("http://babel.hathitrust.org/cgi/pt?id=nyp.33433074845516")</f>
        <v>http://babel.hathitrust.org/cgi/pt?id=nyp.33433074845516</v>
      </c>
      <c r="H5473" t="str">
        <f t="shared" si="60"/>
        <v>http://catalog.hathitrust.org/Record/008618324</v>
      </c>
      <c r="I5473" s="1" t="s">
        <v>7915</v>
      </c>
      <c r="J5473" s="1">
        <v>1779</v>
      </c>
      <c r="K5473" t="s">
        <v>8080</v>
      </c>
      <c r="L5473" t="s">
        <v>20086</v>
      </c>
    </row>
    <row r="5474" spans="1:12">
      <c r="A5474" t="s">
        <v>7916</v>
      </c>
      <c r="B5474" s="1" t="s">
        <v>8079</v>
      </c>
      <c r="F5474">
        <v>1</v>
      </c>
      <c r="G5474" t="str">
        <f>HYPERLINK("http://babel.hathitrust.org/cgi/pt?id=nyp.33433074845524")</f>
        <v>http://babel.hathitrust.org/cgi/pt?id=nyp.33433074845524</v>
      </c>
      <c r="H5474" t="str">
        <f t="shared" ref="H5474:H5496" si="61">HYPERLINK("http://catalog.hathitrust.org/Record/008618324")</f>
        <v>http://catalog.hathitrust.org/Record/008618324</v>
      </c>
      <c r="I5474" s="1" t="s">
        <v>7917</v>
      </c>
      <c r="J5474" s="1">
        <v>1779</v>
      </c>
      <c r="K5474" t="s">
        <v>8080</v>
      </c>
      <c r="L5474" t="s">
        <v>20086</v>
      </c>
    </row>
    <row r="5475" spans="1:12">
      <c r="A5475" t="s">
        <v>7918</v>
      </c>
      <c r="B5475" s="1" t="s">
        <v>8079</v>
      </c>
      <c r="F5475">
        <v>1</v>
      </c>
      <c r="G5475" t="str">
        <f>HYPERLINK("http://babel.hathitrust.org/cgi/pt?id=nyp.33433074845532")</f>
        <v>http://babel.hathitrust.org/cgi/pt?id=nyp.33433074845532</v>
      </c>
      <c r="H5475" t="str">
        <f t="shared" si="61"/>
        <v>http://catalog.hathitrust.org/Record/008618324</v>
      </c>
      <c r="I5475" s="1" t="s">
        <v>7919</v>
      </c>
      <c r="J5475" s="1">
        <v>1779</v>
      </c>
      <c r="K5475" t="s">
        <v>8080</v>
      </c>
      <c r="L5475" t="s">
        <v>20086</v>
      </c>
    </row>
    <row r="5476" spans="1:12">
      <c r="A5476" t="s">
        <v>7920</v>
      </c>
      <c r="B5476" s="1" t="s">
        <v>8079</v>
      </c>
      <c r="F5476">
        <v>1</v>
      </c>
      <c r="G5476" t="str">
        <f>HYPERLINK("http://babel.hathitrust.org/cgi/pt?id=nyp.33433074845540")</f>
        <v>http://babel.hathitrust.org/cgi/pt?id=nyp.33433074845540</v>
      </c>
      <c r="H5476" t="str">
        <f t="shared" si="61"/>
        <v>http://catalog.hathitrust.org/Record/008618324</v>
      </c>
      <c r="I5476" s="1" t="s">
        <v>7921</v>
      </c>
      <c r="J5476" s="1">
        <v>1779</v>
      </c>
      <c r="K5476" t="s">
        <v>8080</v>
      </c>
      <c r="L5476" t="s">
        <v>20086</v>
      </c>
    </row>
    <row r="5477" spans="1:12">
      <c r="A5477" t="s">
        <v>7922</v>
      </c>
      <c r="B5477" s="1" t="s">
        <v>8079</v>
      </c>
      <c r="F5477">
        <v>1</v>
      </c>
      <c r="G5477" t="str">
        <f>HYPERLINK("http://babel.hathitrust.org/cgi/pt?id=nyp.33433074845557")</f>
        <v>http://babel.hathitrust.org/cgi/pt?id=nyp.33433074845557</v>
      </c>
      <c r="H5477" t="str">
        <f t="shared" si="61"/>
        <v>http://catalog.hathitrust.org/Record/008618324</v>
      </c>
      <c r="I5477" s="1" t="s">
        <v>7923</v>
      </c>
      <c r="J5477" s="1">
        <v>1779</v>
      </c>
      <c r="K5477" t="s">
        <v>8080</v>
      </c>
      <c r="L5477" t="s">
        <v>20086</v>
      </c>
    </row>
    <row r="5478" spans="1:12">
      <c r="A5478" t="s">
        <v>7924</v>
      </c>
      <c r="B5478" s="1" t="s">
        <v>8079</v>
      </c>
      <c r="F5478">
        <v>1</v>
      </c>
      <c r="G5478" t="str">
        <f>HYPERLINK("http://babel.hathitrust.org/cgi/pt?id=nyp.33433074845565")</f>
        <v>http://babel.hathitrust.org/cgi/pt?id=nyp.33433074845565</v>
      </c>
      <c r="H5478" t="str">
        <f t="shared" si="61"/>
        <v>http://catalog.hathitrust.org/Record/008618324</v>
      </c>
      <c r="I5478" s="1" t="s">
        <v>7925</v>
      </c>
      <c r="J5478" s="1">
        <v>1779</v>
      </c>
      <c r="K5478" t="s">
        <v>8080</v>
      </c>
      <c r="L5478" t="s">
        <v>20086</v>
      </c>
    </row>
    <row r="5479" spans="1:12">
      <c r="A5479" t="s">
        <v>7926</v>
      </c>
      <c r="B5479" s="1" t="s">
        <v>8079</v>
      </c>
      <c r="F5479">
        <v>1</v>
      </c>
      <c r="G5479" t="str">
        <f>HYPERLINK("http://babel.hathitrust.org/cgi/pt?id=nyp.33433074845573")</f>
        <v>http://babel.hathitrust.org/cgi/pt?id=nyp.33433074845573</v>
      </c>
      <c r="H5479" t="str">
        <f t="shared" si="61"/>
        <v>http://catalog.hathitrust.org/Record/008618324</v>
      </c>
      <c r="I5479" s="1" t="s">
        <v>7927</v>
      </c>
      <c r="J5479" s="1">
        <v>1779</v>
      </c>
      <c r="K5479" t="s">
        <v>8080</v>
      </c>
      <c r="L5479" t="s">
        <v>20086</v>
      </c>
    </row>
    <row r="5480" spans="1:12">
      <c r="A5480" t="s">
        <v>7928</v>
      </c>
      <c r="B5480" s="1" t="s">
        <v>8079</v>
      </c>
      <c r="F5480">
        <v>1</v>
      </c>
      <c r="G5480" t="str">
        <f>HYPERLINK("http://babel.hathitrust.org/cgi/pt?id=nyp.33433074845581")</f>
        <v>http://babel.hathitrust.org/cgi/pt?id=nyp.33433074845581</v>
      </c>
      <c r="H5480" t="str">
        <f t="shared" si="61"/>
        <v>http://catalog.hathitrust.org/Record/008618324</v>
      </c>
      <c r="I5480" s="1" t="s">
        <v>7929</v>
      </c>
      <c r="J5480" s="1">
        <v>1779</v>
      </c>
      <c r="K5480" t="s">
        <v>8080</v>
      </c>
      <c r="L5480" t="s">
        <v>20086</v>
      </c>
    </row>
    <row r="5481" spans="1:12">
      <c r="A5481" t="s">
        <v>7930</v>
      </c>
      <c r="B5481" s="1" t="s">
        <v>8079</v>
      </c>
      <c r="F5481">
        <v>1</v>
      </c>
      <c r="G5481" t="str">
        <f>HYPERLINK("http://babel.hathitrust.org/cgi/pt?id=nyp.33433074845599")</f>
        <v>http://babel.hathitrust.org/cgi/pt?id=nyp.33433074845599</v>
      </c>
      <c r="H5481" t="str">
        <f t="shared" si="61"/>
        <v>http://catalog.hathitrust.org/Record/008618324</v>
      </c>
      <c r="I5481" s="1" t="s">
        <v>7931</v>
      </c>
      <c r="J5481" s="1">
        <v>1779</v>
      </c>
      <c r="K5481" t="s">
        <v>8080</v>
      </c>
      <c r="L5481" t="s">
        <v>20086</v>
      </c>
    </row>
    <row r="5482" spans="1:12">
      <c r="A5482" t="s">
        <v>7932</v>
      </c>
      <c r="B5482" s="1" t="s">
        <v>8079</v>
      </c>
      <c r="F5482">
        <v>1</v>
      </c>
      <c r="G5482" t="str">
        <f>HYPERLINK("http://babel.hathitrust.org/cgi/pt?id=nyp.33433074845607")</f>
        <v>http://babel.hathitrust.org/cgi/pt?id=nyp.33433074845607</v>
      </c>
      <c r="H5482" t="str">
        <f t="shared" si="61"/>
        <v>http://catalog.hathitrust.org/Record/008618324</v>
      </c>
      <c r="I5482" s="1" t="s">
        <v>7933</v>
      </c>
      <c r="J5482" s="1">
        <v>1779</v>
      </c>
      <c r="K5482" t="s">
        <v>8080</v>
      </c>
      <c r="L5482" t="s">
        <v>20086</v>
      </c>
    </row>
    <row r="5483" spans="1:12">
      <c r="A5483" t="s">
        <v>7934</v>
      </c>
      <c r="B5483" s="1" t="s">
        <v>8079</v>
      </c>
      <c r="F5483">
        <v>1</v>
      </c>
      <c r="G5483" t="str">
        <f>HYPERLINK("http://babel.hathitrust.org/cgi/pt?id=nyp.33433074845615")</f>
        <v>http://babel.hathitrust.org/cgi/pt?id=nyp.33433074845615</v>
      </c>
      <c r="H5483" t="str">
        <f t="shared" si="61"/>
        <v>http://catalog.hathitrust.org/Record/008618324</v>
      </c>
      <c r="I5483" s="1" t="s">
        <v>7935</v>
      </c>
      <c r="J5483" s="1">
        <v>1779</v>
      </c>
      <c r="K5483" t="s">
        <v>8080</v>
      </c>
      <c r="L5483" t="s">
        <v>20086</v>
      </c>
    </row>
    <row r="5484" spans="1:12">
      <c r="A5484" t="s">
        <v>7936</v>
      </c>
      <c r="B5484" s="1" t="s">
        <v>8079</v>
      </c>
      <c r="F5484">
        <v>1</v>
      </c>
      <c r="G5484" t="str">
        <f>HYPERLINK("http://babel.hathitrust.org/cgi/pt?id=nyp.33433074845623")</f>
        <v>http://babel.hathitrust.org/cgi/pt?id=nyp.33433074845623</v>
      </c>
      <c r="H5484" t="str">
        <f t="shared" si="61"/>
        <v>http://catalog.hathitrust.org/Record/008618324</v>
      </c>
      <c r="I5484" s="1" t="s">
        <v>7937</v>
      </c>
      <c r="J5484" s="1">
        <v>1779</v>
      </c>
      <c r="K5484" t="s">
        <v>8080</v>
      </c>
      <c r="L5484" t="s">
        <v>20086</v>
      </c>
    </row>
    <row r="5485" spans="1:12">
      <c r="A5485" t="s">
        <v>7938</v>
      </c>
      <c r="B5485" s="1" t="s">
        <v>8079</v>
      </c>
      <c r="F5485">
        <v>1</v>
      </c>
      <c r="G5485" t="str">
        <f>HYPERLINK("http://babel.hathitrust.org/cgi/pt?id=nyp.33433074845631")</f>
        <v>http://babel.hathitrust.org/cgi/pt?id=nyp.33433074845631</v>
      </c>
      <c r="H5485" t="str">
        <f t="shared" si="61"/>
        <v>http://catalog.hathitrust.org/Record/008618324</v>
      </c>
      <c r="I5485" s="1" t="s">
        <v>7939</v>
      </c>
      <c r="J5485" s="1">
        <v>1779</v>
      </c>
      <c r="K5485" t="s">
        <v>8080</v>
      </c>
      <c r="L5485" t="s">
        <v>20086</v>
      </c>
    </row>
    <row r="5486" spans="1:12">
      <c r="A5486" t="s">
        <v>7940</v>
      </c>
      <c r="B5486" s="1" t="s">
        <v>8079</v>
      </c>
      <c r="F5486">
        <v>1</v>
      </c>
      <c r="G5486" t="str">
        <f>HYPERLINK("http://babel.hathitrust.org/cgi/pt?id=nyp.33433074845649")</f>
        <v>http://babel.hathitrust.org/cgi/pt?id=nyp.33433074845649</v>
      </c>
      <c r="H5486" t="str">
        <f t="shared" si="61"/>
        <v>http://catalog.hathitrust.org/Record/008618324</v>
      </c>
      <c r="I5486" s="1" t="s">
        <v>7941</v>
      </c>
      <c r="J5486" s="1">
        <v>1779</v>
      </c>
      <c r="K5486" t="s">
        <v>8080</v>
      </c>
      <c r="L5486" t="s">
        <v>20086</v>
      </c>
    </row>
    <row r="5487" spans="1:12">
      <c r="A5487" t="s">
        <v>7806</v>
      </c>
      <c r="B5487" s="1" t="s">
        <v>8079</v>
      </c>
      <c r="F5487">
        <v>1</v>
      </c>
      <c r="G5487" t="str">
        <f>HYPERLINK("http://babel.hathitrust.org/cgi/pt?id=nyp.33433074845656")</f>
        <v>http://babel.hathitrust.org/cgi/pt?id=nyp.33433074845656</v>
      </c>
      <c r="H5487" t="str">
        <f t="shared" si="61"/>
        <v>http://catalog.hathitrust.org/Record/008618324</v>
      </c>
      <c r="I5487" s="1" t="s">
        <v>7807</v>
      </c>
      <c r="J5487" s="1">
        <v>1779</v>
      </c>
      <c r="K5487" t="s">
        <v>8080</v>
      </c>
      <c r="L5487" t="s">
        <v>20086</v>
      </c>
    </row>
    <row r="5488" spans="1:12">
      <c r="A5488" t="s">
        <v>7808</v>
      </c>
      <c r="B5488" s="1" t="s">
        <v>8079</v>
      </c>
      <c r="F5488">
        <v>1</v>
      </c>
      <c r="G5488" t="str">
        <f>HYPERLINK("http://babel.hathitrust.org/cgi/pt?id=nyp.33433074845664")</f>
        <v>http://babel.hathitrust.org/cgi/pt?id=nyp.33433074845664</v>
      </c>
      <c r="H5488" t="str">
        <f t="shared" si="61"/>
        <v>http://catalog.hathitrust.org/Record/008618324</v>
      </c>
      <c r="I5488" s="1" t="s">
        <v>7809</v>
      </c>
      <c r="J5488" s="1">
        <v>1779</v>
      </c>
      <c r="K5488" t="s">
        <v>8080</v>
      </c>
      <c r="L5488" t="s">
        <v>20086</v>
      </c>
    </row>
    <row r="5489" spans="1:12">
      <c r="A5489" t="s">
        <v>7810</v>
      </c>
      <c r="B5489" s="1" t="s">
        <v>8079</v>
      </c>
      <c r="F5489">
        <v>1</v>
      </c>
      <c r="G5489" t="str">
        <f>HYPERLINK("http://babel.hathitrust.org/cgi/pt?id=nyp.33433074845672")</f>
        <v>http://babel.hathitrust.org/cgi/pt?id=nyp.33433074845672</v>
      </c>
      <c r="H5489" t="str">
        <f t="shared" si="61"/>
        <v>http://catalog.hathitrust.org/Record/008618324</v>
      </c>
      <c r="I5489" s="1" t="s">
        <v>7811</v>
      </c>
      <c r="J5489" s="1">
        <v>1779</v>
      </c>
      <c r="K5489" t="s">
        <v>8080</v>
      </c>
      <c r="L5489" t="s">
        <v>20086</v>
      </c>
    </row>
    <row r="5490" spans="1:12">
      <c r="A5490" t="s">
        <v>7812</v>
      </c>
      <c r="B5490" s="1" t="s">
        <v>8079</v>
      </c>
      <c r="F5490">
        <v>1</v>
      </c>
      <c r="G5490" t="str">
        <f>HYPERLINK("http://babel.hathitrust.org/cgi/pt?id=nyp.33433074845680")</f>
        <v>http://babel.hathitrust.org/cgi/pt?id=nyp.33433074845680</v>
      </c>
      <c r="H5490" t="str">
        <f t="shared" si="61"/>
        <v>http://catalog.hathitrust.org/Record/008618324</v>
      </c>
      <c r="I5490" s="1" t="s">
        <v>7813</v>
      </c>
      <c r="J5490" s="1">
        <v>1779</v>
      </c>
      <c r="K5490" t="s">
        <v>8080</v>
      </c>
      <c r="L5490" t="s">
        <v>20086</v>
      </c>
    </row>
    <row r="5491" spans="1:12">
      <c r="A5491" t="s">
        <v>7814</v>
      </c>
      <c r="B5491" s="1" t="s">
        <v>8079</v>
      </c>
      <c r="F5491">
        <v>1</v>
      </c>
      <c r="G5491" t="str">
        <f>HYPERLINK("http://babel.hathitrust.org/cgi/pt?id=nyp.33433074845698")</f>
        <v>http://babel.hathitrust.org/cgi/pt?id=nyp.33433074845698</v>
      </c>
      <c r="H5491" t="str">
        <f t="shared" si="61"/>
        <v>http://catalog.hathitrust.org/Record/008618324</v>
      </c>
      <c r="I5491" s="1" t="s">
        <v>7815</v>
      </c>
      <c r="J5491" s="1">
        <v>1779</v>
      </c>
      <c r="K5491" t="s">
        <v>8080</v>
      </c>
      <c r="L5491" t="s">
        <v>20086</v>
      </c>
    </row>
    <row r="5492" spans="1:12">
      <c r="A5492" t="s">
        <v>7816</v>
      </c>
      <c r="B5492" s="1" t="s">
        <v>8079</v>
      </c>
      <c r="F5492">
        <v>1</v>
      </c>
      <c r="G5492" t="str">
        <f>HYPERLINK("http://babel.hathitrust.org/cgi/pt?id=nyp.33433074845706")</f>
        <v>http://babel.hathitrust.org/cgi/pt?id=nyp.33433074845706</v>
      </c>
      <c r="H5492" t="str">
        <f t="shared" si="61"/>
        <v>http://catalog.hathitrust.org/Record/008618324</v>
      </c>
      <c r="I5492" s="1" t="s">
        <v>7817</v>
      </c>
      <c r="J5492" s="1">
        <v>1779</v>
      </c>
      <c r="K5492" t="s">
        <v>8080</v>
      </c>
      <c r="L5492" t="s">
        <v>20086</v>
      </c>
    </row>
    <row r="5493" spans="1:12">
      <c r="A5493" t="s">
        <v>7818</v>
      </c>
      <c r="B5493" s="1" t="s">
        <v>8079</v>
      </c>
      <c r="F5493">
        <v>1</v>
      </c>
      <c r="G5493" t="str">
        <f>HYPERLINK("http://babel.hathitrust.org/cgi/pt?id=nyp.33433074845714")</f>
        <v>http://babel.hathitrust.org/cgi/pt?id=nyp.33433074845714</v>
      </c>
      <c r="H5493" t="str">
        <f t="shared" si="61"/>
        <v>http://catalog.hathitrust.org/Record/008618324</v>
      </c>
      <c r="I5493" s="1" t="s">
        <v>7819</v>
      </c>
      <c r="J5493" s="1">
        <v>1779</v>
      </c>
      <c r="K5493" t="s">
        <v>8080</v>
      </c>
      <c r="L5493" t="s">
        <v>20086</v>
      </c>
    </row>
    <row r="5494" spans="1:12">
      <c r="A5494" t="s">
        <v>7820</v>
      </c>
      <c r="B5494" s="1" t="s">
        <v>8079</v>
      </c>
      <c r="F5494">
        <v>1</v>
      </c>
      <c r="G5494" t="str">
        <f>HYPERLINK("http://babel.hathitrust.org/cgi/pt?id=nyp.33433074845722")</f>
        <v>http://babel.hathitrust.org/cgi/pt?id=nyp.33433074845722</v>
      </c>
      <c r="H5494" t="str">
        <f t="shared" si="61"/>
        <v>http://catalog.hathitrust.org/Record/008618324</v>
      </c>
      <c r="I5494" s="1" t="s">
        <v>7821</v>
      </c>
      <c r="J5494" s="1">
        <v>1779</v>
      </c>
      <c r="K5494" t="s">
        <v>8080</v>
      </c>
      <c r="L5494" t="s">
        <v>20086</v>
      </c>
    </row>
    <row r="5495" spans="1:12">
      <c r="A5495" t="s">
        <v>7822</v>
      </c>
      <c r="B5495" s="1" t="s">
        <v>8079</v>
      </c>
      <c r="F5495">
        <v>1</v>
      </c>
      <c r="G5495" t="str">
        <f>HYPERLINK("http://babel.hathitrust.org/cgi/pt?id=nyp.33433074845730")</f>
        <v>http://babel.hathitrust.org/cgi/pt?id=nyp.33433074845730</v>
      </c>
      <c r="H5495" t="str">
        <f t="shared" si="61"/>
        <v>http://catalog.hathitrust.org/Record/008618324</v>
      </c>
      <c r="I5495" s="1" t="s">
        <v>7823</v>
      </c>
      <c r="J5495" s="1">
        <v>1779</v>
      </c>
      <c r="K5495" t="s">
        <v>8080</v>
      </c>
      <c r="L5495" t="s">
        <v>20086</v>
      </c>
    </row>
    <row r="5496" spans="1:12">
      <c r="A5496" t="s">
        <v>7824</v>
      </c>
      <c r="B5496" s="1" t="s">
        <v>8079</v>
      </c>
      <c r="F5496">
        <v>1</v>
      </c>
      <c r="G5496" t="str">
        <f>HYPERLINK("http://babel.hathitrust.org/cgi/pt?id=nyp.33433074845748")</f>
        <v>http://babel.hathitrust.org/cgi/pt?id=nyp.33433074845748</v>
      </c>
      <c r="H5496" t="str">
        <f t="shared" si="61"/>
        <v>http://catalog.hathitrust.org/Record/008618324</v>
      </c>
      <c r="I5496" s="1" t="s">
        <v>7825</v>
      </c>
      <c r="J5496" s="1">
        <v>1779</v>
      </c>
      <c r="K5496" t="s">
        <v>8080</v>
      </c>
      <c r="L5496" t="s">
        <v>20086</v>
      </c>
    </row>
    <row r="5497" spans="1:12">
      <c r="A5497" t="s">
        <v>7826</v>
      </c>
      <c r="B5497" s="1" t="s">
        <v>7827</v>
      </c>
      <c r="F5497">
        <v>1</v>
      </c>
      <c r="G5497" t="str">
        <f>HYPERLINK("http://babel.hathitrust.org/cgi/pt?id=hvd.hwpab9")</f>
        <v>http://babel.hathitrust.org/cgi/pt?id=hvd.hwpab9</v>
      </c>
      <c r="H5497" t="str">
        <f t="shared" ref="H5497:H5503" si="62">HYPERLINK("http://catalog.hathitrust.org/Record/008618361")</f>
        <v>http://catalog.hathitrust.org/Record/008618361</v>
      </c>
      <c r="I5497" s="1">
        <v>2</v>
      </c>
      <c r="J5497" s="1">
        <v>1823</v>
      </c>
      <c r="K5497" t="s">
        <v>17515</v>
      </c>
      <c r="L5497" t="s">
        <v>17516</v>
      </c>
    </row>
    <row r="5498" spans="1:12">
      <c r="A5498" t="s">
        <v>7828</v>
      </c>
      <c r="B5498" s="1" t="s">
        <v>7827</v>
      </c>
      <c r="F5498">
        <v>1</v>
      </c>
      <c r="G5498" t="str">
        <f>HYPERLINK("http://babel.hathitrust.org/cgi/pt?id=hvd.hwpac3")</f>
        <v>http://babel.hathitrust.org/cgi/pt?id=hvd.hwpac3</v>
      </c>
      <c r="H5498" t="str">
        <f t="shared" si="62"/>
        <v>http://catalog.hathitrust.org/Record/008618361</v>
      </c>
      <c r="I5498" s="1">
        <v>1</v>
      </c>
      <c r="J5498" s="1">
        <v>1823</v>
      </c>
      <c r="K5498" t="s">
        <v>17515</v>
      </c>
      <c r="L5498" t="s">
        <v>17516</v>
      </c>
    </row>
    <row r="5499" spans="1:12">
      <c r="A5499" t="s">
        <v>7829</v>
      </c>
      <c r="B5499" s="1" t="s">
        <v>7827</v>
      </c>
      <c r="F5499">
        <v>1</v>
      </c>
      <c r="G5499" t="str">
        <f>HYPERLINK("http://babel.hathitrust.org/cgi/pt?id=hvd.hwpac4")</f>
        <v>http://babel.hathitrust.org/cgi/pt?id=hvd.hwpac4</v>
      </c>
      <c r="H5499" t="str">
        <f t="shared" si="62"/>
        <v>http://catalog.hathitrust.org/Record/008618361</v>
      </c>
      <c r="I5499" s="1">
        <v>2</v>
      </c>
      <c r="J5499" s="1">
        <v>1823</v>
      </c>
      <c r="K5499" t="s">
        <v>17515</v>
      </c>
      <c r="L5499" t="s">
        <v>17516</v>
      </c>
    </row>
    <row r="5500" spans="1:12">
      <c r="A5500" t="s">
        <v>7830</v>
      </c>
      <c r="B5500" s="1" t="s">
        <v>7827</v>
      </c>
      <c r="F5500">
        <v>1</v>
      </c>
      <c r="G5500" t="str">
        <f>HYPERLINK("http://babel.hathitrust.org/cgi/pt?id=hvd.hwpac5")</f>
        <v>http://babel.hathitrust.org/cgi/pt?id=hvd.hwpac5</v>
      </c>
      <c r="H5500" t="str">
        <f t="shared" si="62"/>
        <v>http://catalog.hathitrust.org/Record/008618361</v>
      </c>
      <c r="I5500" s="1">
        <v>3</v>
      </c>
      <c r="J5500" s="1">
        <v>1823</v>
      </c>
      <c r="K5500" t="s">
        <v>17515</v>
      </c>
      <c r="L5500" t="s">
        <v>17516</v>
      </c>
    </row>
    <row r="5501" spans="1:12">
      <c r="A5501" t="s">
        <v>7831</v>
      </c>
      <c r="B5501" s="1" t="s">
        <v>7827</v>
      </c>
      <c r="F5501">
        <v>1</v>
      </c>
      <c r="G5501" t="str">
        <f>HYPERLINK("http://babel.hathitrust.org/cgi/pt?id=nyp.33433067366736")</f>
        <v>http://babel.hathitrust.org/cgi/pt?id=nyp.33433067366736</v>
      </c>
      <c r="H5501" t="str">
        <f t="shared" si="62"/>
        <v>http://catalog.hathitrust.org/Record/008618361</v>
      </c>
      <c r="I5501" s="1" t="s">
        <v>20801</v>
      </c>
      <c r="J5501" s="1">
        <v>1823</v>
      </c>
      <c r="K5501" t="s">
        <v>17515</v>
      </c>
      <c r="L5501" t="s">
        <v>17516</v>
      </c>
    </row>
    <row r="5502" spans="1:12">
      <c r="A5502" t="s">
        <v>7832</v>
      </c>
      <c r="B5502" s="1" t="s">
        <v>7827</v>
      </c>
      <c r="F5502">
        <v>1</v>
      </c>
      <c r="G5502" t="str">
        <f>HYPERLINK("http://babel.hathitrust.org/cgi/pt?id=nyp.33433067366744")</f>
        <v>http://babel.hathitrust.org/cgi/pt?id=nyp.33433067366744</v>
      </c>
      <c r="H5502" t="str">
        <f t="shared" si="62"/>
        <v>http://catalog.hathitrust.org/Record/008618361</v>
      </c>
      <c r="I5502" s="1" t="s">
        <v>20799</v>
      </c>
      <c r="J5502" s="1">
        <v>1823</v>
      </c>
      <c r="K5502" t="s">
        <v>17515</v>
      </c>
      <c r="L5502" t="s">
        <v>17516</v>
      </c>
    </row>
    <row r="5503" spans="1:12">
      <c r="A5503" t="s">
        <v>7833</v>
      </c>
      <c r="B5503" s="1" t="s">
        <v>7827</v>
      </c>
      <c r="F5503">
        <v>1</v>
      </c>
      <c r="G5503" t="str">
        <f>HYPERLINK("http://babel.hathitrust.org/cgi/pt?id=nyp.33433067366751")</f>
        <v>http://babel.hathitrust.org/cgi/pt?id=nyp.33433067366751</v>
      </c>
      <c r="H5503" t="str">
        <f t="shared" si="62"/>
        <v>http://catalog.hathitrust.org/Record/008618361</v>
      </c>
      <c r="I5503" s="1" t="s">
        <v>20796</v>
      </c>
      <c r="J5503" s="1">
        <v>1823</v>
      </c>
      <c r="K5503" t="s">
        <v>17515</v>
      </c>
      <c r="L5503" t="s">
        <v>17516</v>
      </c>
    </row>
    <row r="5504" spans="1:12">
      <c r="A5504" t="s">
        <v>7834</v>
      </c>
      <c r="B5504" s="1" t="s">
        <v>7835</v>
      </c>
      <c r="F5504">
        <v>1</v>
      </c>
      <c r="G5504" t="str">
        <f>HYPERLINK("http://babel.hathitrust.org/cgi/pt?id=nyp.33433074389465")</f>
        <v>http://babel.hathitrust.org/cgi/pt?id=nyp.33433074389465</v>
      </c>
      <c r="H5504" t="str">
        <f>HYPERLINK("http://catalog.hathitrust.org/Record/008618826")</f>
        <v>http://catalog.hathitrust.org/Record/008618826</v>
      </c>
      <c r="I5504" s="1" t="s">
        <v>20799</v>
      </c>
      <c r="J5504" s="1">
        <v>1822</v>
      </c>
      <c r="K5504" t="s">
        <v>7836</v>
      </c>
      <c r="L5504" t="s">
        <v>11936</v>
      </c>
    </row>
    <row r="5505" spans="1:12">
      <c r="A5505" t="s">
        <v>7837</v>
      </c>
      <c r="B5505" s="1" t="s">
        <v>7835</v>
      </c>
      <c r="F5505">
        <v>1</v>
      </c>
      <c r="G5505" t="str">
        <f>HYPERLINK("http://babel.hathitrust.org/cgi/pt?id=nyp.33433074389473")</f>
        <v>http://babel.hathitrust.org/cgi/pt?id=nyp.33433074389473</v>
      </c>
      <c r="H5505" t="str">
        <f>HYPERLINK("http://catalog.hathitrust.org/Record/008618826")</f>
        <v>http://catalog.hathitrust.org/Record/008618826</v>
      </c>
      <c r="I5505" s="1" t="s">
        <v>20796</v>
      </c>
      <c r="J5505" s="1">
        <v>1822</v>
      </c>
      <c r="K5505" t="s">
        <v>7836</v>
      </c>
      <c r="L5505" t="s">
        <v>11936</v>
      </c>
    </row>
    <row r="5506" spans="1:12">
      <c r="A5506" t="s">
        <v>7838</v>
      </c>
      <c r="B5506" s="1" t="s">
        <v>7839</v>
      </c>
      <c r="F5506">
        <v>1</v>
      </c>
      <c r="G5506" t="str">
        <f>HYPERLINK("http://babel.hathitrust.org/cgi/pt?id=nyp.33433074380837")</f>
        <v>http://babel.hathitrust.org/cgi/pt?id=nyp.33433074380837</v>
      </c>
      <c r="H5506" t="str">
        <f>HYPERLINK("http://catalog.hathitrust.org/Record/008618924")</f>
        <v>http://catalog.hathitrust.org/Record/008618924</v>
      </c>
      <c r="J5506" s="1">
        <v>1886</v>
      </c>
      <c r="K5506" t="s">
        <v>7840</v>
      </c>
      <c r="L5506" t="s">
        <v>7841</v>
      </c>
    </row>
    <row r="5507" spans="1:12">
      <c r="A5507" t="s">
        <v>7842</v>
      </c>
      <c r="B5507" s="1" t="s">
        <v>7843</v>
      </c>
      <c r="F5507">
        <v>1</v>
      </c>
      <c r="G5507" t="str">
        <f>HYPERLINK("http://babel.hathitrust.org/cgi/pt?id=nyp.33433074393871")</f>
        <v>http://babel.hathitrust.org/cgi/pt?id=nyp.33433074393871</v>
      </c>
      <c r="H5507" t="str">
        <f>HYPERLINK("http://catalog.hathitrust.org/Record/008619103")</f>
        <v>http://catalog.hathitrust.org/Record/008619103</v>
      </c>
      <c r="J5507" s="1">
        <v>1859</v>
      </c>
      <c r="K5507" t="s">
        <v>7844</v>
      </c>
      <c r="L5507" t="s">
        <v>13478</v>
      </c>
    </row>
    <row r="5508" spans="1:12">
      <c r="A5508" t="s">
        <v>7845</v>
      </c>
      <c r="B5508" s="1" t="s">
        <v>7846</v>
      </c>
      <c r="F5508">
        <v>1</v>
      </c>
      <c r="G5508" t="str">
        <f>HYPERLINK("http://babel.hathitrust.org/cgi/pt?id=hvd.32044009787730")</f>
        <v>http://babel.hathitrust.org/cgi/pt?id=hvd.32044009787730</v>
      </c>
      <c r="H5508" t="str">
        <f>HYPERLINK("http://catalog.hathitrust.org/Record/008619121")</f>
        <v>http://catalog.hathitrust.org/Record/008619121</v>
      </c>
      <c r="J5508" s="1">
        <v>1857</v>
      </c>
      <c r="K5508" t="s">
        <v>7847</v>
      </c>
      <c r="L5508" t="s">
        <v>12650</v>
      </c>
    </row>
    <row r="5509" spans="1:12">
      <c r="A5509" t="s">
        <v>7848</v>
      </c>
      <c r="B5509" s="1" t="s">
        <v>7846</v>
      </c>
      <c r="F5509">
        <v>1</v>
      </c>
      <c r="G5509" t="str">
        <f>HYPERLINK("http://babel.hathitrust.org/cgi/pt?id=hvd.32044038398632")</f>
        <v>http://babel.hathitrust.org/cgi/pt?id=hvd.32044038398632</v>
      </c>
      <c r="H5509" t="str">
        <f>HYPERLINK("http://catalog.hathitrust.org/Record/008619121")</f>
        <v>http://catalog.hathitrust.org/Record/008619121</v>
      </c>
      <c r="J5509" s="1">
        <v>1857</v>
      </c>
      <c r="K5509" t="s">
        <v>7847</v>
      </c>
      <c r="L5509" t="s">
        <v>12650</v>
      </c>
    </row>
    <row r="5510" spans="1:12">
      <c r="A5510" t="s">
        <v>7849</v>
      </c>
      <c r="B5510" s="1" t="s">
        <v>7846</v>
      </c>
      <c r="F5510">
        <v>1</v>
      </c>
      <c r="G5510" t="str">
        <f>HYPERLINK("http://babel.hathitrust.org/cgi/pt?id=hvd.32044105427801")</f>
        <v>http://babel.hathitrust.org/cgi/pt?id=hvd.32044105427801</v>
      </c>
      <c r="H5510" t="str">
        <f>HYPERLINK("http://catalog.hathitrust.org/Record/008619121")</f>
        <v>http://catalog.hathitrust.org/Record/008619121</v>
      </c>
      <c r="J5510" s="1">
        <v>1857</v>
      </c>
      <c r="K5510" t="s">
        <v>7847</v>
      </c>
      <c r="L5510" t="s">
        <v>12650</v>
      </c>
    </row>
    <row r="5511" spans="1:12">
      <c r="A5511" t="s">
        <v>7850</v>
      </c>
      <c r="B5511" s="1" t="s">
        <v>7846</v>
      </c>
      <c r="F5511">
        <v>1</v>
      </c>
      <c r="G5511" t="str">
        <f>HYPERLINK("http://babel.hathitrust.org/cgi/pt?id=nyp.33433074373634")</f>
        <v>http://babel.hathitrust.org/cgi/pt?id=nyp.33433074373634</v>
      </c>
      <c r="H5511" t="str">
        <f>HYPERLINK("http://catalog.hathitrust.org/Record/008619121")</f>
        <v>http://catalog.hathitrust.org/Record/008619121</v>
      </c>
      <c r="J5511" s="1">
        <v>1857</v>
      </c>
      <c r="K5511" t="s">
        <v>7847</v>
      </c>
      <c r="L5511" t="s">
        <v>12650</v>
      </c>
    </row>
    <row r="5512" spans="1:12">
      <c r="A5512" t="s">
        <v>7851</v>
      </c>
      <c r="B5512" s="1" t="s">
        <v>7852</v>
      </c>
      <c r="F5512">
        <v>1</v>
      </c>
      <c r="G5512" t="str">
        <f>HYPERLINK("http://babel.hathitrust.org/cgi/pt?id=nyp.33433074388798")</f>
        <v>http://babel.hathitrust.org/cgi/pt?id=nyp.33433074388798</v>
      </c>
      <c r="H5512" t="str">
        <f>HYPERLINK("http://catalog.hathitrust.org/Record/008619128")</f>
        <v>http://catalog.hathitrust.org/Record/008619128</v>
      </c>
      <c r="J5512" s="1">
        <v>1893</v>
      </c>
      <c r="K5512" t="s">
        <v>7853</v>
      </c>
      <c r="L5512" t="s">
        <v>20057</v>
      </c>
    </row>
    <row r="5513" spans="1:12">
      <c r="A5513" t="s">
        <v>7854</v>
      </c>
      <c r="B5513" s="1" t="s">
        <v>7855</v>
      </c>
      <c r="E5513">
        <v>1</v>
      </c>
      <c r="G5513" t="str">
        <f>HYPERLINK("http://babel.hathitrust.org/cgi/pt?id=hvd.hn1s5z")</f>
        <v>http://babel.hathitrust.org/cgi/pt?id=hvd.hn1s5z</v>
      </c>
      <c r="H5513" t="str">
        <f>HYPERLINK("http://catalog.hathitrust.org/Record/008619132")</f>
        <v>http://catalog.hathitrust.org/Record/008619132</v>
      </c>
      <c r="J5513" s="1">
        <v>1845</v>
      </c>
      <c r="K5513" t="s">
        <v>7856</v>
      </c>
      <c r="L5513" t="s">
        <v>8546</v>
      </c>
    </row>
    <row r="5514" spans="1:12">
      <c r="A5514" t="s">
        <v>7857</v>
      </c>
      <c r="B5514" s="1" t="s">
        <v>7858</v>
      </c>
      <c r="F5514">
        <v>1</v>
      </c>
      <c r="G5514" t="str">
        <f>HYPERLINK("http://babel.hathitrust.org/cgi/pt?id=nyp.33433075921969")</f>
        <v>http://babel.hathitrust.org/cgi/pt?id=nyp.33433075921969</v>
      </c>
      <c r="H5514" t="str">
        <f>HYPERLINK("http://catalog.hathitrust.org/Record/008619133")</f>
        <v>http://catalog.hathitrust.org/Record/008619133</v>
      </c>
      <c r="J5514" s="1">
        <v>1808</v>
      </c>
      <c r="K5514" t="s">
        <v>7859</v>
      </c>
      <c r="L5514" t="s">
        <v>7860</v>
      </c>
    </row>
    <row r="5515" spans="1:12">
      <c r="A5515" t="s">
        <v>7861</v>
      </c>
      <c r="B5515" s="1" t="s">
        <v>7862</v>
      </c>
      <c r="F5515">
        <v>1</v>
      </c>
      <c r="G5515" t="str">
        <f>HYPERLINK("http://babel.hathitrust.org/cgi/pt?id=nyp.33433075920839")</f>
        <v>http://babel.hathitrust.org/cgi/pt?id=nyp.33433075920839</v>
      </c>
      <c r="H5515" t="str">
        <f>HYPERLINK("http://catalog.hathitrust.org/Record/008619189")</f>
        <v>http://catalog.hathitrust.org/Record/008619189</v>
      </c>
      <c r="J5515" s="1">
        <v>1792</v>
      </c>
      <c r="K5515" t="s">
        <v>7863</v>
      </c>
      <c r="L5515" t="s">
        <v>7864</v>
      </c>
    </row>
    <row r="5516" spans="1:12">
      <c r="A5516" t="s">
        <v>7865</v>
      </c>
      <c r="B5516" s="1" t="s">
        <v>7866</v>
      </c>
      <c r="F5516">
        <v>1</v>
      </c>
      <c r="G5516" t="str">
        <f>HYPERLINK("http://babel.hathitrust.org/cgi/pt?id=nyp.33433070241702")</f>
        <v>http://babel.hathitrust.org/cgi/pt?id=nyp.33433070241702</v>
      </c>
      <c r="H5516" t="str">
        <f>HYPERLINK("http://catalog.hathitrust.org/Record/008619222")</f>
        <v>http://catalog.hathitrust.org/Record/008619222</v>
      </c>
      <c r="J5516" s="1">
        <v>1908</v>
      </c>
      <c r="K5516" t="s">
        <v>7761</v>
      </c>
      <c r="L5516" t="s">
        <v>7762</v>
      </c>
    </row>
    <row r="5517" spans="1:12">
      <c r="A5517" t="s">
        <v>7763</v>
      </c>
      <c r="B5517" s="1" t="s">
        <v>7764</v>
      </c>
      <c r="F5517">
        <v>1</v>
      </c>
      <c r="G5517" t="str">
        <f>HYPERLINK("http://babel.hathitrust.org/cgi/pt?id=nyp.33433061705152")</f>
        <v>http://babel.hathitrust.org/cgi/pt?id=nyp.33433061705152</v>
      </c>
      <c r="H5517" t="str">
        <f>HYPERLINK("http://catalog.hathitrust.org/Record/008619227")</f>
        <v>http://catalog.hathitrust.org/Record/008619227</v>
      </c>
      <c r="J5517" s="1">
        <v>1824</v>
      </c>
      <c r="K5517" t="s">
        <v>7765</v>
      </c>
      <c r="L5517" t="s">
        <v>7766</v>
      </c>
    </row>
    <row r="5518" spans="1:12">
      <c r="A5518" t="s">
        <v>7767</v>
      </c>
      <c r="B5518" s="1" t="s">
        <v>7768</v>
      </c>
      <c r="F5518">
        <v>1</v>
      </c>
      <c r="G5518" t="str">
        <f>HYPERLINK("http://babel.hathitrust.org/cgi/pt?id=nyp.33433075910061")</f>
        <v>http://babel.hathitrust.org/cgi/pt?id=nyp.33433075910061</v>
      </c>
      <c r="H5518" t="str">
        <f>HYPERLINK("http://catalog.hathitrust.org/Record/008619345")</f>
        <v>http://catalog.hathitrust.org/Record/008619345</v>
      </c>
      <c r="J5518" s="1">
        <v>1901</v>
      </c>
      <c r="K5518" t="s">
        <v>7769</v>
      </c>
      <c r="L5518" t="s">
        <v>7770</v>
      </c>
    </row>
    <row r="5519" spans="1:12">
      <c r="A5519" t="s">
        <v>7771</v>
      </c>
      <c r="B5519" s="1" t="s">
        <v>7772</v>
      </c>
      <c r="F5519">
        <v>1</v>
      </c>
      <c r="G5519" t="str">
        <f>HYPERLINK("http://babel.hathitrust.org/cgi/pt?id=nyp.33433075910335")</f>
        <v>http://babel.hathitrust.org/cgi/pt?id=nyp.33433075910335</v>
      </c>
      <c r="H5519" t="str">
        <f>HYPERLINK("http://catalog.hathitrust.org/Record/008619351")</f>
        <v>http://catalog.hathitrust.org/Record/008619351</v>
      </c>
      <c r="J5519" s="1">
        <v>1845</v>
      </c>
      <c r="K5519" t="s">
        <v>7773</v>
      </c>
      <c r="L5519" t="s">
        <v>7774</v>
      </c>
    </row>
    <row r="5520" spans="1:12">
      <c r="A5520" t="s">
        <v>7775</v>
      </c>
      <c r="B5520" s="1" t="s">
        <v>7776</v>
      </c>
      <c r="F5520">
        <v>1</v>
      </c>
      <c r="G5520" t="str">
        <f>HYPERLINK("http://babel.hathitrust.org/cgi/pt?id=nyp.33433070241934")</f>
        <v>http://babel.hathitrust.org/cgi/pt?id=nyp.33433070241934</v>
      </c>
      <c r="H5520" t="str">
        <f>HYPERLINK("http://catalog.hathitrust.org/Record/008619374")</f>
        <v>http://catalog.hathitrust.org/Record/008619374</v>
      </c>
      <c r="J5520" s="1">
        <v>1920</v>
      </c>
      <c r="K5520" t="s">
        <v>7777</v>
      </c>
      <c r="L5520" t="s">
        <v>7778</v>
      </c>
    </row>
    <row r="5521" spans="1:12">
      <c r="A5521" t="s">
        <v>7779</v>
      </c>
      <c r="B5521" s="1" t="s">
        <v>7780</v>
      </c>
      <c r="F5521">
        <v>1</v>
      </c>
      <c r="G5521" t="str">
        <f>HYPERLINK("http://babel.hathitrust.org/cgi/pt?id=nyp.33433070241975")</f>
        <v>http://babel.hathitrust.org/cgi/pt?id=nyp.33433070241975</v>
      </c>
      <c r="H5521" t="str">
        <f>HYPERLINK("http://catalog.hathitrust.org/Record/008619375")</f>
        <v>http://catalog.hathitrust.org/Record/008619375</v>
      </c>
      <c r="J5521" s="1">
        <v>1829</v>
      </c>
      <c r="K5521" t="s">
        <v>7781</v>
      </c>
      <c r="L5521" t="s">
        <v>7782</v>
      </c>
    </row>
    <row r="5522" spans="1:12">
      <c r="A5522" t="s">
        <v>7783</v>
      </c>
      <c r="B5522" s="1" t="s">
        <v>7784</v>
      </c>
      <c r="F5522">
        <v>1</v>
      </c>
      <c r="G5522" t="str">
        <f>HYPERLINK("http://babel.hathitrust.org/cgi/pt?id=hvd.32044014553341")</f>
        <v>http://babel.hathitrust.org/cgi/pt?id=hvd.32044014553341</v>
      </c>
      <c r="H5522" t="str">
        <f>HYPERLINK("http://catalog.hathitrust.org/Record/008619403")</f>
        <v>http://catalog.hathitrust.org/Record/008619403</v>
      </c>
      <c r="J5522" s="1">
        <v>1844</v>
      </c>
      <c r="K5522" t="s">
        <v>7785</v>
      </c>
      <c r="L5522" t="s">
        <v>7786</v>
      </c>
    </row>
    <row r="5523" spans="1:12">
      <c r="A5523" t="s">
        <v>7787</v>
      </c>
      <c r="B5523" s="1" t="s">
        <v>7784</v>
      </c>
      <c r="F5523">
        <v>1</v>
      </c>
      <c r="G5523" t="str">
        <f>HYPERLINK("http://babel.hathitrust.org/cgi/pt?id=nyp.33433075911895")</f>
        <v>http://babel.hathitrust.org/cgi/pt?id=nyp.33433075911895</v>
      </c>
      <c r="H5523" t="str">
        <f>HYPERLINK("http://catalog.hathitrust.org/Record/008619403")</f>
        <v>http://catalog.hathitrust.org/Record/008619403</v>
      </c>
      <c r="J5523" s="1">
        <v>1844</v>
      </c>
      <c r="K5523" t="s">
        <v>7785</v>
      </c>
      <c r="L5523" t="s">
        <v>7786</v>
      </c>
    </row>
    <row r="5524" spans="1:12">
      <c r="A5524" t="s">
        <v>7788</v>
      </c>
      <c r="B5524" s="1" t="s">
        <v>7789</v>
      </c>
      <c r="F5524">
        <v>1</v>
      </c>
      <c r="G5524" t="str">
        <f>HYPERLINK("http://babel.hathitrust.org/cgi/pt?id=hvd.32044102772365")</f>
        <v>http://babel.hathitrust.org/cgi/pt?id=hvd.32044102772365</v>
      </c>
      <c r="H5524" t="str">
        <f>HYPERLINK("http://catalog.hathitrust.org/Record/008619410")</f>
        <v>http://catalog.hathitrust.org/Record/008619410</v>
      </c>
      <c r="J5524" s="1">
        <v>1811</v>
      </c>
      <c r="K5524" t="s">
        <v>7790</v>
      </c>
      <c r="L5524" t="s">
        <v>7791</v>
      </c>
    </row>
    <row r="5525" spans="1:12">
      <c r="A5525" t="s">
        <v>7792</v>
      </c>
      <c r="B5525" s="1" t="s">
        <v>7789</v>
      </c>
      <c r="F5525">
        <v>1</v>
      </c>
      <c r="G5525" t="str">
        <f>HYPERLINK("http://babel.hathitrust.org/cgi/pt?id=nyp.33433074394259")</f>
        <v>http://babel.hathitrust.org/cgi/pt?id=nyp.33433074394259</v>
      </c>
      <c r="H5525" t="str">
        <f>HYPERLINK("http://catalog.hathitrust.org/Record/008619410")</f>
        <v>http://catalog.hathitrust.org/Record/008619410</v>
      </c>
      <c r="J5525" s="1">
        <v>1811</v>
      </c>
      <c r="K5525" t="s">
        <v>7790</v>
      </c>
      <c r="L5525" t="s">
        <v>7791</v>
      </c>
    </row>
    <row r="5526" spans="1:12">
      <c r="A5526" t="s">
        <v>7793</v>
      </c>
      <c r="B5526" s="1" t="s">
        <v>7794</v>
      </c>
      <c r="F5526">
        <v>1</v>
      </c>
      <c r="G5526" t="str">
        <f>HYPERLINK("http://babel.hathitrust.org/cgi/pt?id=nyp.33433069253809")</f>
        <v>http://babel.hathitrust.org/cgi/pt?id=nyp.33433069253809</v>
      </c>
      <c r="H5526" t="str">
        <f>HYPERLINK("http://catalog.hathitrust.org/Record/008619492")</f>
        <v>http://catalog.hathitrust.org/Record/008619492</v>
      </c>
      <c r="J5526" s="1">
        <v>1855</v>
      </c>
      <c r="K5526" t="s">
        <v>13310</v>
      </c>
      <c r="L5526" t="s">
        <v>20884</v>
      </c>
    </row>
    <row r="5527" spans="1:12">
      <c r="A5527" t="s">
        <v>7795</v>
      </c>
      <c r="B5527" s="1" t="s">
        <v>7796</v>
      </c>
      <c r="F5527">
        <v>1</v>
      </c>
      <c r="G5527" t="str">
        <f>HYPERLINK("http://babel.hathitrust.org/cgi/pt?id=nyp.33433069253650")</f>
        <v>http://babel.hathitrust.org/cgi/pt?id=nyp.33433069253650</v>
      </c>
      <c r="H5527" t="str">
        <f>HYPERLINK("http://catalog.hathitrust.org/Record/008619503")</f>
        <v>http://catalog.hathitrust.org/Record/008619503</v>
      </c>
      <c r="J5527" s="1">
        <v>1919</v>
      </c>
      <c r="K5527" t="s">
        <v>7797</v>
      </c>
      <c r="L5527" t="s">
        <v>11805</v>
      </c>
    </row>
    <row r="5528" spans="1:12">
      <c r="A5528" t="s">
        <v>7798</v>
      </c>
      <c r="B5528" s="1" t="s">
        <v>7799</v>
      </c>
      <c r="E5528">
        <v>1</v>
      </c>
      <c r="G5528" t="str">
        <f>HYPERLINK("http://babel.hathitrust.org/cgi/pt?id=nyp.33433069253593")</f>
        <v>http://babel.hathitrust.org/cgi/pt?id=nyp.33433069253593</v>
      </c>
      <c r="H5528" t="str">
        <f>HYPERLINK("http://catalog.hathitrust.org/Record/008619515")</f>
        <v>http://catalog.hathitrust.org/Record/008619515</v>
      </c>
      <c r="J5528" s="1">
        <v>1910</v>
      </c>
      <c r="K5528" t="s">
        <v>7800</v>
      </c>
      <c r="L5528" t="s">
        <v>18079</v>
      </c>
    </row>
    <row r="5529" spans="1:12">
      <c r="A5529" t="s">
        <v>7801</v>
      </c>
      <c r="B5529" s="1" t="s">
        <v>7802</v>
      </c>
      <c r="F5529">
        <v>1</v>
      </c>
      <c r="G5529" t="str">
        <f>HYPERLINK("http://babel.hathitrust.org/cgi/pt?id=nyp.33433069254310")</f>
        <v>http://babel.hathitrust.org/cgi/pt?id=nyp.33433069254310</v>
      </c>
      <c r="H5529" t="str">
        <f>HYPERLINK("http://catalog.hathitrust.org/Record/008619522")</f>
        <v>http://catalog.hathitrust.org/Record/008619522</v>
      </c>
      <c r="J5529" s="1">
        <v>1866</v>
      </c>
      <c r="K5529" t="s">
        <v>8326</v>
      </c>
      <c r="L5529" t="s">
        <v>13169</v>
      </c>
    </row>
    <row r="5530" spans="1:12">
      <c r="A5530" t="s">
        <v>7803</v>
      </c>
      <c r="B5530" s="1" t="s">
        <v>7804</v>
      </c>
      <c r="F5530">
        <v>1</v>
      </c>
      <c r="G5530" t="str">
        <f>HYPERLINK("http://babel.hathitrust.org/cgi/pt?id=nyp.33433069254302")</f>
        <v>http://babel.hathitrust.org/cgi/pt?id=nyp.33433069254302</v>
      </c>
      <c r="H5530" t="str">
        <f>HYPERLINK("http://catalog.hathitrust.org/Record/008619532")</f>
        <v>http://catalog.hathitrust.org/Record/008619532</v>
      </c>
      <c r="J5530" s="1">
        <v>1837</v>
      </c>
      <c r="K5530" t="s">
        <v>7805</v>
      </c>
      <c r="L5530" t="s">
        <v>7727</v>
      </c>
    </row>
    <row r="5531" spans="1:12">
      <c r="A5531" t="s">
        <v>7728</v>
      </c>
      <c r="B5531" s="1" t="s">
        <v>7729</v>
      </c>
      <c r="F5531">
        <v>1</v>
      </c>
      <c r="G5531" t="str">
        <f>HYPERLINK("http://babel.hathitrust.org/cgi/pt?id=loc.ark:/13960/t8rb7jp5x")</f>
        <v>http://babel.hathitrust.org/cgi/pt?id=loc.ark:/13960/t8rb7jp5x</v>
      </c>
      <c r="H5531" t="str">
        <f>HYPERLINK("http://catalog.hathitrust.org/Record/008619539")</f>
        <v>http://catalog.hathitrust.org/Record/008619539</v>
      </c>
      <c r="J5531" s="1">
        <v>1919</v>
      </c>
      <c r="K5531" t="s">
        <v>7730</v>
      </c>
      <c r="L5531" t="s">
        <v>7731</v>
      </c>
    </row>
    <row r="5532" spans="1:12">
      <c r="A5532" t="s">
        <v>7732</v>
      </c>
      <c r="B5532" s="1" t="s">
        <v>7729</v>
      </c>
      <c r="F5532">
        <v>1</v>
      </c>
      <c r="G5532" t="str">
        <f>HYPERLINK("http://babel.hathitrust.org/cgi/pt?id=nyp.33433069253403")</f>
        <v>http://babel.hathitrust.org/cgi/pt?id=nyp.33433069253403</v>
      </c>
      <c r="H5532" t="str">
        <f>HYPERLINK("http://catalog.hathitrust.org/Record/008619539")</f>
        <v>http://catalog.hathitrust.org/Record/008619539</v>
      </c>
      <c r="J5532" s="1">
        <v>1919</v>
      </c>
      <c r="K5532" t="s">
        <v>7730</v>
      </c>
      <c r="L5532" t="s">
        <v>7731</v>
      </c>
    </row>
    <row r="5533" spans="1:12">
      <c r="A5533" t="s">
        <v>7733</v>
      </c>
      <c r="B5533" s="1" t="s">
        <v>7734</v>
      </c>
      <c r="F5533">
        <v>1</v>
      </c>
      <c r="G5533" t="str">
        <f>HYPERLINK("http://babel.hathitrust.org/cgi/pt?id=nyp.33433069253387")</f>
        <v>http://babel.hathitrust.org/cgi/pt?id=nyp.33433069253387</v>
      </c>
      <c r="H5533" t="str">
        <f>HYPERLINK("http://catalog.hathitrust.org/Record/008619543")</f>
        <v>http://catalog.hathitrust.org/Record/008619543</v>
      </c>
      <c r="J5533" s="1">
        <v>1910</v>
      </c>
      <c r="K5533" t="s">
        <v>7735</v>
      </c>
      <c r="L5533" t="s">
        <v>12812</v>
      </c>
    </row>
    <row r="5534" spans="1:12">
      <c r="A5534" t="s">
        <v>7736</v>
      </c>
      <c r="B5534" s="1" t="s">
        <v>7737</v>
      </c>
      <c r="F5534">
        <v>1</v>
      </c>
      <c r="G5534" t="str">
        <f>HYPERLINK("http://babel.hathitrust.org/cgi/pt?id=nyp.33433069253700")</f>
        <v>http://babel.hathitrust.org/cgi/pt?id=nyp.33433069253700</v>
      </c>
      <c r="H5534" t="str">
        <f>HYPERLINK("http://catalog.hathitrust.org/Record/008619552")</f>
        <v>http://catalog.hathitrust.org/Record/008619552</v>
      </c>
      <c r="J5534" s="1">
        <v>1835</v>
      </c>
      <c r="K5534" t="s">
        <v>7738</v>
      </c>
      <c r="L5534" t="s">
        <v>16785</v>
      </c>
    </row>
    <row r="5535" spans="1:12">
      <c r="A5535" t="s">
        <v>7739</v>
      </c>
      <c r="B5535" s="1" t="s">
        <v>7740</v>
      </c>
      <c r="F5535">
        <v>1</v>
      </c>
      <c r="G5535" t="str">
        <f>HYPERLINK("http://babel.hathitrust.org/cgi/pt?id=nyp.33433069254435")</f>
        <v>http://babel.hathitrust.org/cgi/pt?id=nyp.33433069254435</v>
      </c>
      <c r="H5535" t="str">
        <f>HYPERLINK("http://catalog.hathitrust.org/Record/008619565")</f>
        <v>http://catalog.hathitrust.org/Record/008619565</v>
      </c>
      <c r="J5535" s="1">
        <v>1825</v>
      </c>
      <c r="K5535" t="s">
        <v>7741</v>
      </c>
      <c r="L5535" t="s">
        <v>7742</v>
      </c>
    </row>
    <row r="5536" spans="1:12">
      <c r="A5536" t="s">
        <v>7743</v>
      </c>
      <c r="B5536" s="1" t="s">
        <v>7744</v>
      </c>
      <c r="F5536">
        <v>1</v>
      </c>
      <c r="G5536" t="str">
        <f>HYPERLINK("http://babel.hathitrust.org/cgi/pt?id=nyp.33433069252587")</f>
        <v>http://babel.hathitrust.org/cgi/pt?id=nyp.33433069252587</v>
      </c>
      <c r="H5536" t="str">
        <f>HYPERLINK("http://catalog.hathitrust.org/Record/008619572")</f>
        <v>http://catalog.hathitrust.org/Record/008619572</v>
      </c>
      <c r="J5536" s="1">
        <v>1921</v>
      </c>
      <c r="K5536" t="s">
        <v>7745</v>
      </c>
      <c r="L5536" t="s">
        <v>7746</v>
      </c>
    </row>
    <row r="5537" spans="1:12">
      <c r="A5537" t="s">
        <v>7747</v>
      </c>
      <c r="B5537" s="1" t="s">
        <v>7748</v>
      </c>
      <c r="E5537">
        <v>1</v>
      </c>
      <c r="F5537">
        <v>1</v>
      </c>
      <c r="G5537" t="str">
        <f>HYPERLINK("http://babel.hathitrust.org/cgi/pt?id=nyp.33433074391404")</f>
        <v>http://babel.hathitrust.org/cgi/pt?id=nyp.33433074391404</v>
      </c>
      <c r="H5537" t="str">
        <f>HYPERLINK("http://catalog.hathitrust.org/Record/008619576")</f>
        <v>http://catalog.hathitrust.org/Record/008619576</v>
      </c>
      <c r="J5537" s="1">
        <v>1899</v>
      </c>
      <c r="K5537" t="s">
        <v>7749</v>
      </c>
      <c r="L5537" t="s">
        <v>20629</v>
      </c>
    </row>
    <row r="5538" spans="1:12">
      <c r="A5538" t="s">
        <v>7750</v>
      </c>
      <c r="B5538" s="1" t="s">
        <v>7751</v>
      </c>
      <c r="F5538">
        <v>1</v>
      </c>
      <c r="G5538" t="str">
        <f>HYPERLINK("http://babel.hathitrust.org/cgi/pt?id=nyp.33433074391370")</f>
        <v>http://babel.hathitrust.org/cgi/pt?id=nyp.33433074391370</v>
      </c>
      <c r="H5538" t="str">
        <f>HYPERLINK("http://catalog.hathitrust.org/Record/008619578")</f>
        <v>http://catalog.hathitrust.org/Record/008619578</v>
      </c>
      <c r="J5538" s="1">
        <v>1907</v>
      </c>
      <c r="K5538" t="s">
        <v>7752</v>
      </c>
      <c r="L5538" t="s">
        <v>16739</v>
      </c>
    </row>
    <row r="5539" spans="1:12">
      <c r="A5539" t="s">
        <v>7753</v>
      </c>
      <c r="B5539" s="1" t="s">
        <v>7754</v>
      </c>
      <c r="F5539">
        <v>1</v>
      </c>
      <c r="G5539" t="str">
        <f>HYPERLINK("http://babel.hathitrust.org/cgi/pt?id=nyp.33433074391321")</f>
        <v>http://babel.hathitrust.org/cgi/pt?id=nyp.33433074391321</v>
      </c>
      <c r="H5539" t="str">
        <f>HYPERLINK("http://catalog.hathitrust.org/Record/008619586")</f>
        <v>http://catalog.hathitrust.org/Record/008619586</v>
      </c>
      <c r="J5539" s="1">
        <v>1900</v>
      </c>
      <c r="K5539" t="s">
        <v>7755</v>
      </c>
      <c r="L5539" t="s">
        <v>11109</v>
      </c>
    </row>
    <row r="5540" spans="1:12">
      <c r="A5540" t="s">
        <v>7756</v>
      </c>
      <c r="B5540" s="1" t="s">
        <v>7757</v>
      </c>
      <c r="F5540">
        <v>1</v>
      </c>
      <c r="G5540" t="str">
        <f>HYPERLINK("http://babel.hathitrust.org/cgi/pt?id=nyp.33433074391446")</f>
        <v>http://babel.hathitrust.org/cgi/pt?id=nyp.33433074391446</v>
      </c>
      <c r="H5540" t="str">
        <f>HYPERLINK("http://catalog.hathitrust.org/Record/008619587")</f>
        <v>http://catalog.hathitrust.org/Record/008619587</v>
      </c>
      <c r="J5540" s="1">
        <v>1918</v>
      </c>
      <c r="K5540" t="s">
        <v>7758</v>
      </c>
      <c r="L5540" t="s">
        <v>16136</v>
      </c>
    </row>
    <row r="5541" spans="1:12">
      <c r="A5541" t="s">
        <v>7759</v>
      </c>
      <c r="B5541" s="1" t="s">
        <v>7760</v>
      </c>
      <c r="F5541">
        <v>1</v>
      </c>
      <c r="G5541" t="str">
        <f>HYPERLINK("http://babel.hathitrust.org/cgi/pt?id=nyp.33433075910764")</f>
        <v>http://babel.hathitrust.org/cgi/pt?id=nyp.33433075910764</v>
      </c>
      <c r="H5541" t="str">
        <f>HYPERLINK("http://catalog.hathitrust.org/Record/008619589")</f>
        <v>http://catalog.hathitrust.org/Record/008619589</v>
      </c>
      <c r="J5541" s="1">
        <v>1864</v>
      </c>
      <c r="K5541" t="s">
        <v>7686</v>
      </c>
      <c r="L5541" t="s">
        <v>7687</v>
      </c>
    </row>
    <row r="5542" spans="1:12">
      <c r="A5542" t="s">
        <v>7688</v>
      </c>
      <c r="B5542" s="1" t="s">
        <v>7689</v>
      </c>
      <c r="F5542">
        <v>1</v>
      </c>
      <c r="G5542" t="str">
        <f>HYPERLINK("http://babel.hathitrust.org/cgi/pt?id=nyp.33433075910947")</f>
        <v>http://babel.hathitrust.org/cgi/pt?id=nyp.33433075910947</v>
      </c>
      <c r="H5542" t="str">
        <f>HYPERLINK("http://catalog.hathitrust.org/Record/008619594")</f>
        <v>http://catalog.hathitrust.org/Record/008619594</v>
      </c>
      <c r="J5542" s="1">
        <v>1868</v>
      </c>
      <c r="K5542" t="s">
        <v>7690</v>
      </c>
      <c r="L5542" t="s">
        <v>7691</v>
      </c>
    </row>
    <row r="5543" spans="1:12">
      <c r="A5543" t="s">
        <v>7692</v>
      </c>
      <c r="B5543" s="1" t="s">
        <v>7693</v>
      </c>
      <c r="F5543">
        <v>1</v>
      </c>
      <c r="G5543" t="str">
        <f>HYPERLINK("http://babel.hathitrust.org/cgi/pt?id=hvd.32044097079818")</f>
        <v>http://babel.hathitrust.org/cgi/pt?id=hvd.32044097079818</v>
      </c>
      <c r="H5543" t="str">
        <f>HYPERLINK("http://catalog.hathitrust.org/Record/008619605")</f>
        <v>http://catalog.hathitrust.org/Record/008619605</v>
      </c>
      <c r="J5543" s="1">
        <v>1846</v>
      </c>
      <c r="K5543" t="s">
        <v>7694</v>
      </c>
      <c r="L5543" t="s">
        <v>14941</v>
      </c>
    </row>
    <row r="5544" spans="1:12">
      <c r="A5544" t="s">
        <v>7695</v>
      </c>
      <c r="B5544" s="1" t="s">
        <v>7693</v>
      </c>
      <c r="F5544">
        <v>1</v>
      </c>
      <c r="G5544" t="str">
        <f>HYPERLINK("http://babel.hathitrust.org/cgi/pt?id=hvd.hw236b")</f>
        <v>http://babel.hathitrust.org/cgi/pt?id=hvd.hw236b</v>
      </c>
      <c r="H5544" t="str">
        <f>HYPERLINK("http://catalog.hathitrust.org/Record/008619605")</f>
        <v>http://catalog.hathitrust.org/Record/008619605</v>
      </c>
      <c r="J5544" s="1">
        <v>1846</v>
      </c>
      <c r="K5544" t="s">
        <v>7694</v>
      </c>
      <c r="L5544" t="s">
        <v>14941</v>
      </c>
    </row>
    <row r="5545" spans="1:12">
      <c r="A5545" t="s">
        <v>7696</v>
      </c>
      <c r="B5545" s="1" t="s">
        <v>7693</v>
      </c>
      <c r="F5545">
        <v>1</v>
      </c>
      <c r="G5545" t="str">
        <f>HYPERLINK("http://babel.hathitrust.org/cgi/pt?id=nyp.33433069251373")</f>
        <v>http://babel.hathitrust.org/cgi/pt?id=nyp.33433069251373</v>
      </c>
      <c r="H5545" t="str">
        <f>HYPERLINK("http://catalog.hathitrust.org/Record/008619605")</f>
        <v>http://catalog.hathitrust.org/Record/008619605</v>
      </c>
      <c r="J5545" s="1">
        <v>1846</v>
      </c>
      <c r="K5545" t="s">
        <v>7694</v>
      </c>
      <c r="L5545" t="s">
        <v>14941</v>
      </c>
    </row>
    <row r="5546" spans="1:12">
      <c r="A5546" t="s">
        <v>7697</v>
      </c>
      <c r="B5546" s="1" t="s">
        <v>7698</v>
      </c>
      <c r="F5546">
        <v>1</v>
      </c>
      <c r="G5546" t="str">
        <f>HYPERLINK("http://babel.hathitrust.org/cgi/pt?id=nyp.33433069251472")</f>
        <v>http://babel.hathitrust.org/cgi/pt?id=nyp.33433069251472</v>
      </c>
      <c r="H5546" t="str">
        <f>HYPERLINK("http://catalog.hathitrust.org/Record/008619609")</f>
        <v>http://catalog.hathitrust.org/Record/008619609</v>
      </c>
      <c r="J5546" s="1">
        <v>1913</v>
      </c>
      <c r="K5546" t="s">
        <v>7699</v>
      </c>
      <c r="L5546" t="s">
        <v>13834</v>
      </c>
    </row>
    <row r="5547" spans="1:12">
      <c r="A5547" t="s">
        <v>7700</v>
      </c>
      <c r="B5547" s="1" t="s">
        <v>7701</v>
      </c>
      <c r="E5547">
        <v>1</v>
      </c>
      <c r="G5547" t="str">
        <f>HYPERLINK("http://babel.hathitrust.org/cgi/pt?id=nyp.33433069252892")</f>
        <v>http://babel.hathitrust.org/cgi/pt?id=nyp.33433069252892</v>
      </c>
      <c r="H5547" t="str">
        <f>HYPERLINK("http://catalog.hathitrust.org/Record/008619616")</f>
        <v>http://catalog.hathitrust.org/Record/008619616</v>
      </c>
      <c r="J5547" s="1">
        <v>1905</v>
      </c>
      <c r="K5547" t="s">
        <v>7702</v>
      </c>
      <c r="L5547" t="s">
        <v>13364</v>
      </c>
    </row>
    <row r="5548" spans="1:12">
      <c r="A5548" t="s">
        <v>7703</v>
      </c>
      <c r="B5548" s="1" t="s">
        <v>7704</v>
      </c>
      <c r="F5548">
        <v>1</v>
      </c>
      <c r="G5548" t="str">
        <f>HYPERLINK("http://babel.hathitrust.org/cgi/pt?id=nyp.33433069253288")</f>
        <v>http://babel.hathitrust.org/cgi/pt?id=nyp.33433069253288</v>
      </c>
      <c r="H5548" t="str">
        <f>HYPERLINK("http://catalog.hathitrust.org/Record/008619624")</f>
        <v>http://catalog.hathitrust.org/Record/008619624</v>
      </c>
      <c r="J5548" s="1">
        <v>1867</v>
      </c>
      <c r="K5548" t="s">
        <v>7705</v>
      </c>
      <c r="L5548" t="s">
        <v>7706</v>
      </c>
    </row>
    <row r="5549" spans="1:12">
      <c r="A5549" t="s">
        <v>7707</v>
      </c>
      <c r="B5549" s="1" t="s">
        <v>7704</v>
      </c>
      <c r="F5549">
        <v>1</v>
      </c>
      <c r="G5549" t="str">
        <f>HYPERLINK("http://babel.hathitrust.org/cgi/pt?id=uva.x001164511")</f>
        <v>http://babel.hathitrust.org/cgi/pt?id=uva.x001164511</v>
      </c>
      <c r="H5549" t="str">
        <f>HYPERLINK("http://catalog.hathitrust.org/Record/008619624")</f>
        <v>http://catalog.hathitrust.org/Record/008619624</v>
      </c>
      <c r="J5549" s="1">
        <v>1867</v>
      </c>
      <c r="K5549" t="s">
        <v>7705</v>
      </c>
      <c r="L5549" t="s">
        <v>7706</v>
      </c>
    </row>
    <row r="5550" spans="1:12">
      <c r="A5550" t="s">
        <v>7708</v>
      </c>
      <c r="B5550" s="1" t="s">
        <v>7709</v>
      </c>
      <c r="F5550">
        <v>1</v>
      </c>
      <c r="G5550" t="str">
        <f>HYPERLINK("http://babel.hathitrust.org/cgi/pt?id=nyp.33433069252785")</f>
        <v>http://babel.hathitrust.org/cgi/pt?id=nyp.33433069252785</v>
      </c>
      <c r="H5550" t="str">
        <f>HYPERLINK("http://catalog.hathitrust.org/Record/008619628")</f>
        <v>http://catalog.hathitrust.org/Record/008619628</v>
      </c>
      <c r="J5550" s="1">
        <v>1899</v>
      </c>
      <c r="K5550" t="s">
        <v>7710</v>
      </c>
      <c r="L5550" t="s">
        <v>9839</v>
      </c>
    </row>
    <row r="5551" spans="1:12">
      <c r="A5551" t="s">
        <v>7711</v>
      </c>
      <c r="B5551" s="1" t="s">
        <v>7712</v>
      </c>
      <c r="F5551">
        <v>1</v>
      </c>
      <c r="G5551" t="str">
        <f>HYPERLINK("http://babel.hathitrust.org/cgi/pt?id=hvd.hn24z4")</f>
        <v>http://babel.hathitrust.org/cgi/pt?id=hvd.hn24z4</v>
      </c>
      <c r="H5551" t="str">
        <f>HYPERLINK("http://catalog.hathitrust.org/Record/008619650")</f>
        <v>http://catalog.hathitrust.org/Record/008619650</v>
      </c>
      <c r="J5551" s="1">
        <v>1866</v>
      </c>
      <c r="K5551" t="s">
        <v>7713</v>
      </c>
      <c r="L5551" t="s">
        <v>12659</v>
      </c>
    </row>
    <row r="5552" spans="1:12">
      <c r="A5552" t="s">
        <v>7714</v>
      </c>
      <c r="B5552" s="1" t="s">
        <v>7712</v>
      </c>
      <c r="F5552">
        <v>1</v>
      </c>
      <c r="G5552" t="str">
        <f>HYPERLINK("http://babel.hathitrust.org/cgi/pt?id=nyp.33433069252819")</f>
        <v>http://babel.hathitrust.org/cgi/pt?id=nyp.33433069252819</v>
      </c>
      <c r="H5552" t="str">
        <f>HYPERLINK("http://catalog.hathitrust.org/Record/008619650")</f>
        <v>http://catalog.hathitrust.org/Record/008619650</v>
      </c>
      <c r="J5552" s="1">
        <v>1866</v>
      </c>
      <c r="K5552" t="s">
        <v>7713</v>
      </c>
      <c r="L5552" t="s">
        <v>12659</v>
      </c>
    </row>
    <row r="5553" spans="1:12">
      <c r="A5553" t="s">
        <v>7715</v>
      </c>
      <c r="B5553" s="1" t="s">
        <v>7716</v>
      </c>
      <c r="D5553">
        <v>1</v>
      </c>
      <c r="G5553" t="str">
        <f>HYPERLINK("http://babel.hathitrust.org/cgi/pt?id=nyp.33433069254385")</f>
        <v>http://babel.hathitrust.org/cgi/pt?id=nyp.33433069254385</v>
      </c>
      <c r="H5553" t="str">
        <f>HYPERLINK("http://catalog.hathitrust.org/Record/008619652")</f>
        <v>http://catalog.hathitrust.org/Record/008619652</v>
      </c>
      <c r="J5553" s="1">
        <v>1863</v>
      </c>
      <c r="K5553" t="s">
        <v>7717</v>
      </c>
      <c r="L5553" t="s">
        <v>13169</v>
      </c>
    </row>
    <row r="5554" spans="1:12">
      <c r="A5554" t="s">
        <v>7718</v>
      </c>
      <c r="B5554" s="1" t="s">
        <v>7719</v>
      </c>
      <c r="F5554">
        <v>1</v>
      </c>
      <c r="G5554" t="str">
        <f>HYPERLINK("http://babel.hathitrust.org/cgi/pt?id=nyp.33433069240004")</f>
        <v>http://babel.hathitrust.org/cgi/pt?id=nyp.33433069240004</v>
      </c>
      <c r="H5554" t="str">
        <f>HYPERLINK("http://catalog.hathitrust.org/Record/008619655")</f>
        <v>http://catalog.hathitrust.org/Record/008619655</v>
      </c>
      <c r="J5554" s="1">
        <v>1897</v>
      </c>
      <c r="K5554" t="s">
        <v>7720</v>
      </c>
      <c r="L5554" t="s">
        <v>18304</v>
      </c>
    </row>
    <row r="5555" spans="1:12">
      <c r="A5555" t="s">
        <v>7721</v>
      </c>
      <c r="B5555" s="1" t="s">
        <v>7722</v>
      </c>
      <c r="F5555">
        <v>1</v>
      </c>
      <c r="G5555" t="str">
        <f>HYPERLINK("http://babel.hathitrust.org/cgi/pt?id=nyp.33433069254252")</f>
        <v>http://babel.hathitrust.org/cgi/pt?id=nyp.33433069254252</v>
      </c>
      <c r="H5555" t="str">
        <f>HYPERLINK("http://catalog.hathitrust.org/Record/008619656")</f>
        <v>http://catalog.hathitrust.org/Record/008619656</v>
      </c>
      <c r="J5555" s="1">
        <v>1917</v>
      </c>
      <c r="K5555" t="s">
        <v>7723</v>
      </c>
      <c r="L5555" t="s">
        <v>7724</v>
      </c>
    </row>
    <row r="5556" spans="1:12">
      <c r="A5556" t="s">
        <v>7725</v>
      </c>
      <c r="B5556" s="1" t="s">
        <v>7726</v>
      </c>
      <c r="F5556">
        <v>1</v>
      </c>
      <c r="G5556" t="str">
        <f>HYPERLINK("http://babel.hathitrust.org/cgi/pt?id=nyp.33433069253924")</f>
        <v>http://babel.hathitrust.org/cgi/pt?id=nyp.33433069253924</v>
      </c>
      <c r="H5556" t="str">
        <f>HYPERLINK("http://catalog.hathitrust.org/Record/008619672")</f>
        <v>http://catalog.hathitrust.org/Record/008619672</v>
      </c>
      <c r="J5556" s="1">
        <v>1901</v>
      </c>
      <c r="K5556" t="s">
        <v>7660</v>
      </c>
      <c r="L5556" t="s">
        <v>7661</v>
      </c>
    </row>
    <row r="5557" spans="1:12">
      <c r="A5557" t="s">
        <v>7662</v>
      </c>
      <c r="B5557" s="1" t="s">
        <v>7663</v>
      </c>
      <c r="F5557">
        <v>1</v>
      </c>
      <c r="G5557" t="str">
        <f>HYPERLINK("http://babel.hathitrust.org/cgi/pt?id=nyp.33433069253247")</f>
        <v>http://babel.hathitrust.org/cgi/pt?id=nyp.33433069253247</v>
      </c>
      <c r="H5557" t="str">
        <f>HYPERLINK("http://catalog.hathitrust.org/Record/008619674")</f>
        <v>http://catalog.hathitrust.org/Record/008619674</v>
      </c>
      <c r="J5557" s="1">
        <v>1889</v>
      </c>
      <c r="K5557" t="s">
        <v>7664</v>
      </c>
      <c r="L5557" t="s">
        <v>10390</v>
      </c>
    </row>
    <row r="5558" spans="1:12">
      <c r="A5558" t="s">
        <v>7665</v>
      </c>
      <c r="B5558" s="1" t="s">
        <v>7666</v>
      </c>
      <c r="F5558">
        <v>1</v>
      </c>
      <c r="G5558" t="str">
        <f>HYPERLINK("http://babel.hathitrust.org/cgi/pt?id=nyp.33433069253213")</f>
        <v>http://babel.hathitrust.org/cgi/pt?id=nyp.33433069253213</v>
      </c>
      <c r="H5558" t="str">
        <f>HYPERLINK("http://catalog.hathitrust.org/Record/008619676")</f>
        <v>http://catalog.hathitrust.org/Record/008619676</v>
      </c>
      <c r="J5558" s="1">
        <v>1828</v>
      </c>
      <c r="K5558" t="s">
        <v>7667</v>
      </c>
      <c r="L5558" t="s">
        <v>7668</v>
      </c>
    </row>
    <row r="5559" spans="1:12">
      <c r="A5559" t="s">
        <v>7669</v>
      </c>
      <c r="B5559" s="1" t="s">
        <v>7670</v>
      </c>
      <c r="E5559">
        <v>1</v>
      </c>
      <c r="G5559" t="str">
        <f>HYPERLINK("http://babel.hathitrust.org/cgi/pt?id=nyp.33433069253676")</f>
        <v>http://babel.hathitrust.org/cgi/pt?id=nyp.33433069253676</v>
      </c>
      <c r="H5559" t="str">
        <f>HYPERLINK("http://catalog.hathitrust.org/Record/008619685")</f>
        <v>http://catalog.hathitrust.org/Record/008619685</v>
      </c>
      <c r="J5559" s="1">
        <v>1834</v>
      </c>
      <c r="K5559" t="s">
        <v>7671</v>
      </c>
      <c r="L5559" t="s">
        <v>7672</v>
      </c>
    </row>
    <row r="5560" spans="1:12">
      <c r="A5560" t="s">
        <v>7673</v>
      </c>
      <c r="B5560" s="1" t="s">
        <v>7674</v>
      </c>
      <c r="F5560">
        <v>1</v>
      </c>
      <c r="G5560" t="str">
        <f>HYPERLINK("http://babel.hathitrust.org/cgi/pt?id=hvd.hwskkz")</f>
        <v>http://babel.hathitrust.org/cgi/pt?id=hvd.hwskkz</v>
      </c>
      <c r="H5560" t="str">
        <f>HYPERLINK("http://catalog.hathitrust.org/Record/008619687")</f>
        <v>http://catalog.hathitrust.org/Record/008619687</v>
      </c>
      <c r="J5560" s="1">
        <v>1855</v>
      </c>
      <c r="K5560" t="s">
        <v>7675</v>
      </c>
      <c r="L5560" t="s">
        <v>12717</v>
      </c>
    </row>
    <row r="5561" spans="1:12">
      <c r="A5561" t="s">
        <v>7676</v>
      </c>
      <c r="B5561" s="1" t="s">
        <v>7674</v>
      </c>
      <c r="F5561">
        <v>1</v>
      </c>
      <c r="G5561" t="str">
        <f>HYPERLINK("http://babel.hathitrust.org/cgi/pt?id=nyp.33433069252702")</f>
        <v>http://babel.hathitrust.org/cgi/pt?id=nyp.33433069252702</v>
      </c>
      <c r="H5561" t="str">
        <f>HYPERLINK("http://catalog.hathitrust.org/Record/008619687")</f>
        <v>http://catalog.hathitrust.org/Record/008619687</v>
      </c>
      <c r="J5561" s="1">
        <v>1855</v>
      </c>
      <c r="K5561" t="s">
        <v>7675</v>
      </c>
      <c r="L5561" t="s">
        <v>12717</v>
      </c>
    </row>
    <row r="5562" spans="1:12">
      <c r="A5562" t="s">
        <v>7677</v>
      </c>
      <c r="B5562" s="1" t="s">
        <v>7678</v>
      </c>
      <c r="F5562">
        <v>1</v>
      </c>
      <c r="G5562" t="str">
        <f>HYPERLINK("http://babel.hathitrust.org/cgi/pt?id=nyp.33433069253171")</f>
        <v>http://babel.hathitrust.org/cgi/pt?id=nyp.33433069253171</v>
      </c>
      <c r="H5562" t="str">
        <f>HYPERLINK("http://catalog.hathitrust.org/Record/008619689")</f>
        <v>http://catalog.hathitrust.org/Record/008619689</v>
      </c>
      <c r="J5562" s="1">
        <v>1842</v>
      </c>
      <c r="K5562" t="s">
        <v>7679</v>
      </c>
      <c r="L5562" t="s">
        <v>11103</v>
      </c>
    </row>
    <row r="5563" spans="1:12">
      <c r="A5563" t="s">
        <v>7680</v>
      </c>
      <c r="B5563" s="1" t="s">
        <v>7681</v>
      </c>
      <c r="F5563">
        <v>1</v>
      </c>
      <c r="G5563" t="str">
        <f>HYPERLINK("http://babel.hathitrust.org/cgi/pt?id=nyp.33433069253338")</f>
        <v>http://babel.hathitrust.org/cgi/pt?id=nyp.33433069253338</v>
      </c>
      <c r="H5563" t="str">
        <f>HYPERLINK("http://catalog.hathitrust.org/Record/008619691")</f>
        <v>http://catalog.hathitrust.org/Record/008619691</v>
      </c>
      <c r="J5563" s="1">
        <v>1823</v>
      </c>
      <c r="K5563" t="s">
        <v>7682</v>
      </c>
      <c r="L5563" t="s">
        <v>7683</v>
      </c>
    </row>
    <row r="5564" spans="1:12">
      <c r="A5564" t="s">
        <v>7684</v>
      </c>
      <c r="B5564" s="1" t="s">
        <v>7685</v>
      </c>
      <c r="D5564">
        <v>1</v>
      </c>
      <c r="G5564" t="str">
        <f>HYPERLINK("http://babel.hathitrust.org/cgi/pt?id=nyp.33433070243393")</f>
        <v>http://babel.hathitrust.org/cgi/pt?id=nyp.33433070243393</v>
      </c>
      <c r="H5564" t="str">
        <f>HYPERLINK("http://catalog.hathitrust.org/Record/008619693")</f>
        <v>http://catalog.hathitrust.org/Record/008619693</v>
      </c>
      <c r="I5564" s="1" t="s">
        <v>7625</v>
      </c>
      <c r="J5564" s="1">
        <v>1805</v>
      </c>
      <c r="K5564" t="s">
        <v>7624</v>
      </c>
      <c r="L5564" t="s">
        <v>20086</v>
      </c>
    </row>
    <row r="5565" spans="1:12">
      <c r="A5565" t="s">
        <v>7626</v>
      </c>
      <c r="B5565" s="1" t="s">
        <v>7685</v>
      </c>
      <c r="D5565">
        <v>1</v>
      </c>
      <c r="G5565" t="str">
        <f>HYPERLINK("http://babel.hathitrust.org/cgi/pt?id=nyp.33433070243401")</f>
        <v>http://babel.hathitrust.org/cgi/pt?id=nyp.33433070243401</v>
      </c>
      <c r="H5565" t="str">
        <f>HYPERLINK("http://catalog.hathitrust.org/Record/008619693")</f>
        <v>http://catalog.hathitrust.org/Record/008619693</v>
      </c>
      <c r="I5565" s="1" t="s">
        <v>7627</v>
      </c>
      <c r="J5565" s="1">
        <v>1805</v>
      </c>
      <c r="K5565" t="s">
        <v>7624</v>
      </c>
      <c r="L5565" t="s">
        <v>20086</v>
      </c>
    </row>
    <row r="5566" spans="1:12">
      <c r="A5566" t="s">
        <v>7628</v>
      </c>
      <c r="B5566" s="1" t="s">
        <v>7685</v>
      </c>
      <c r="D5566">
        <v>1</v>
      </c>
      <c r="G5566" t="str">
        <f>HYPERLINK("http://babel.hathitrust.org/cgi/pt?id=nyp.33433070243419")</f>
        <v>http://babel.hathitrust.org/cgi/pt?id=nyp.33433070243419</v>
      </c>
      <c r="H5566" t="str">
        <f>HYPERLINK("http://catalog.hathitrust.org/Record/008619693")</f>
        <v>http://catalog.hathitrust.org/Record/008619693</v>
      </c>
      <c r="I5566" s="1" t="s">
        <v>7629</v>
      </c>
      <c r="J5566" s="1">
        <v>1805</v>
      </c>
      <c r="K5566" t="s">
        <v>7624</v>
      </c>
      <c r="L5566" t="s">
        <v>20086</v>
      </c>
    </row>
    <row r="5567" spans="1:12">
      <c r="A5567" t="s">
        <v>7630</v>
      </c>
      <c r="B5567" s="1" t="s">
        <v>7685</v>
      </c>
      <c r="D5567">
        <v>1</v>
      </c>
      <c r="G5567" t="str">
        <f>HYPERLINK("http://babel.hathitrust.org/cgi/pt?id=nyp.33433070243427")</f>
        <v>http://babel.hathitrust.org/cgi/pt?id=nyp.33433070243427</v>
      </c>
      <c r="H5567" t="str">
        <f>HYPERLINK("http://catalog.hathitrust.org/Record/008619693")</f>
        <v>http://catalog.hathitrust.org/Record/008619693</v>
      </c>
      <c r="I5567" s="1" t="s">
        <v>7631</v>
      </c>
      <c r="J5567" s="1">
        <v>1805</v>
      </c>
      <c r="K5567" t="s">
        <v>7624</v>
      </c>
      <c r="L5567" t="s">
        <v>20086</v>
      </c>
    </row>
    <row r="5568" spans="1:12">
      <c r="A5568" t="s">
        <v>7632</v>
      </c>
      <c r="B5568" s="1" t="s">
        <v>7633</v>
      </c>
      <c r="D5568">
        <v>1</v>
      </c>
      <c r="G5568" t="str">
        <f>HYPERLINK("http://babel.hathitrust.org/cgi/pt?id=nyp.33433070243104")</f>
        <v>http://babel.hathitrust.org/cgi/pt?id=nyp.33433070243104</v>
      </c>
      <c r="H5568" t="str">
        <f>HYPERLINK("http://catalog.hathitrust.org/Record/008619697")</f>
        <v>http://catalog.hathitrust.org/Record/008619697</v>
      </c>
      <c r="J5568" s="1">
        <v>1792</v>
      </c>
      <c r="K5568" t="s">
        <v>7634</v>
      </c>
      <c r="L5568" t="s">
        <v>20086</v>
      </c>
    </row>
    <row r="5569" spans="1:12">
      <c r="A5569" t="s">
        <v>7635</v>
      </c>
      <c r="B5569" s="1" t="s">
        <v>7636</v>
      </c>
      <c r="F5569">
        <v>1</v>
      </c>
      <c r="G5569" t="str">
        <f>HYPERLINK("http://babel.hathitrust.org/cgi/pt?id=nyp.33433069252942")</f>
        <v>http://babel.hathitrust.org/cgi/pt?id=nyp.33433069252942</v>
      </c>
      <c r="H5569" t="str">
        <f>HYPERLINK("http://catalog.hathitrust.org/Record/008619700")</f>
        <v>http://catalog.hathitrust.org/Record/008619700</v>
      </c>
      <c r="J5569" s="1">
        <v>1851</v>
      </c>
      <c r="K5569" t="s">
        <v>7637</v>
      </c>
      <c r="L5569" t="s">
        <v>20391</v>
      </c>
    </row>
    <row r="5570" spans="1:12">
      <c r="A5570" t="s">
        <v>7638</v>
      </c>
      <c r="B5570" s="1" t="s">
        <v>7639</v>
      </c>
      <c r="F5570">
        <v>1</v>
      </c>
      <c r="G5570" t="str">
        <f>HYPERLINK("http://babel.hathitrust.org/cgi/pt?id=nyp.33433069252520")</f>
        <v>http://babel.hathitrust.org/cgi/pt?id=nyp.33433069252520</v>
      </c>
      <c r="H5570" t="str">
        <f>HYPERLINK("http://catalog.hathitrust.org/Record/008619701")</f>
        <v>http://catalog.hathitrust.org/Record/008619701</v>
      </c>
      <c r="J5570" s="1">
        <v>1773</v>
      </c>
      <c r="K5570" t="s">
        <v>7640</v>
      </c>
      <c r="L5570" t="s">
        <v>7641</v>
      </c>
    </row>
    <row r="5571" spans="1:12">
      <c r="A5571" t="s">
        <v>7642</v>
      </c>
      <c r="B5571" s="1" t="s">
        <v>7643</v>
      </c>
      <c r="F5571">
        <v>1</v>
      </c>
      <c r="G5571" t="str">
        <f>HYPERLINK("http://babel.hathitrust.org/cgi/pt?id=nyp.33433069252918")</f>
        <v>http://babel.hathitrust.org/cgi/pt?id=nyp.33433069252918</v>
      </c>
      <c r="H5571" t="str">
        <f>HYPERLINK("http://catalog.hathitrust.org/Record/008619702")</f>
        <v>http://catalog.hathitrust.org/Record/008619702</v>
      </c>
      <c r="J5571" s="1">
        <v>1853</v>
      </c>
      <c r="K5571" t="s">
        <v>7644</v>
      </c>
    </row>
    <row r="5572" spans="1:12">
      <c r="A5572" t="s">
        <v>7645</v>
      </c>
      <c r="B5572" s="1" t="s">
        <v>7646</v>
      </c>
      <c r="F5572">
        <v>1</v>
      </c>
      <c r="G5572" t="str">
        <f>HYPERLINK("http://babel.hathitrust.org/cgi/pt?id=nyp.33433070243385")</f>
        <v>http://babel.hathitrust.org/cgi/pt?id=nyp.33433070243385</v>
      </c>
      <c r="H5572" t="str">
        <f>HYPERLINK("http://catalog.hathitrust.org/Record/008619703")</f>
        <v>http://catalog.hathitrust.org/Record/008619703</v>
      </c>
      <c r="J5572" s="1">
        <v>1842</v>
      </c>
      <c r="K5572" t="s">
        <v>7647</v>
      </c>
    </row>
    <row r="5573" spans="1:12">
      <c r="A5573" t="s">
        <v>7648</v>
      </c>
      <c r="B5573" s="1" t="s">
        <v>7649</v>
      </c>
      <c r="F5573">
        <v>1</v>
      </c>
      <c r="G5573" t="str">
        <f>HYPERLINK("http://babel.hathitrust.org/cgi/pt?id=nyp.33433070243369")</f>
        <v>http://babel.hathitrust.org/cgi/pt?id=nyp.33433070243369</v>
      </c>
      <c r="H5573" t="str">
        <f>HYPERLINK("http://catalog.hathitrust.org/Record/008619704")</f>
        <v>http://catalog.hathitrust.org/Record/008619704</v>
      </c>
      <c r="J5573" s="1">
        <v>1846</v>
      </c>
      <c r="K5573" t="s">
        <v>7650</v>
      </c>
    </row>
    <row r="5574" spans="1:12">
      <c r="A5574" t="s">
        <v>7651</v>
      </c>
      <c r="B5574" s="1" t="s">
        <v>7652</v>
      </c>
      <c r="F5574">
        <v>1</v>
      </c>
      <c r="G5574" t="str">
        <f>HYPERLINK("http://babel.hathitrust.org/cgi/pt?id=nyp.33433069240749")</f>
        <v>http://babel.hathitrust.org/cgi/pt?id=nyp.33433069240749</v>
      </c>
      <c r="H5574" t="str">
        <f>HYPERLINK("http://catalog.hathitrust.org/Record/008619706")</f>
        <v>http://catalog.hathitrust.org/Record/008619706</v>
      </c>
      <c r="J5574" s="1">
        <v>1824</v>
      </c>
      <c r="K5574" t="s">
        <v>7653</v>
      </c>
      <c r="L5574" t="s">
        <v>9026</v>
      </c>
    </row>
    <row r="5575" spans="1:12">
      <c r="A5575" t="s">
        <v>7654</v>
      </c>
      <c r="B5575" s="1" t="s">
        <v>7655</v>
      </c>
      <c r="F5575">
        <v>1</v>
      </c>
      <c r="G5575" t="str">
        <f>HYPERLINK("http://babel.hathitrust.org/cgi/pt?id=nyp.33433075921035")</f>
        <v>http://babel.hathitrust.org/cgi/pt?id=nyp.33433075921035</v>
      </c>
      <c r="H5575" t="str">
        <f>HYPERLINK("http://catalog.hathitrust.org/Record/008619708")</f>
        <v>http://catalog.hathitrust.org/Record/008619708</v>
      </c>
      <c r="I5575" s="1" t="s">
        <v>7657</v>
      </c>
      <c r="J5575" s="1">
        <v>1825</v>
      </c>
      <c r="K5575" t="s">
        <v>7656</v>
      </c>
      <c r="L5575" t="s">
        <v>7658</v>
      </c>
    </row>
    <row r="5576" spans="1:12">
      <c r="A5576" t="s">
        <v>7659</v>
      </c>
      <c r="B5576" s="1" t="s">
        <v>7576</v>
      </c>
      <c r="F5576">
        <v>1</v>
      </c>
      <c r="G5576" t="str">
        <f>HYPERLINK("http://babel.hathitrust.org/cgi/pt?id=nyp.33433069240681")</f>
        <v>http://babel.hathitrust.org/cgi/pt?id=nyp.33433069240681</v>
      </c>
      <c r="H5576" t="str">
        <f>HYPERLINK("http://catalog.hathitrust.org/Record/008619709")</f>
        <v>http://catalog.hathitrust.org/Record/008619709</v>
      </c>
      <c r="J5576" s="1">
        <v>1853</v>
      </c>
      <c r="K5576" t="s">
        <v>7577</v>
      </c>
    </row>
    <row r="5577" spans="1:12">
      <c r="A5577" t="s">
        <v>7578</v>
      </c>
      <c r="B5577" s="1" t="s">
        <v>7579</v>
      </c>
      <c r="F5577">
        <v>1</v>
      </c>
      <c r="G5577" t="str">
        <f>HYPERLINK("http://babel.hathitrust.org/cgi/pt?id=hvd.hwp99z")</f>
        <v>http://babel.hathitrust.org/cgi/pt?id=hvd.hwp99z</v>
      </c>
      <c r="H5577" t="str">
        <f>HYPERLINK("http://catalog.hathitrust.org/Record/008619714")</f>
        <v>http://catalog.hathitrust.org/Record/008619714</v>
      </c>
      <c r="J5577" s="1">
        <v>1857</v>
      </c>
      <c r="K5577" t="s">
        <v>7580</v>
      </c>
      <c r="L5577" t="s">
        <v>8398</v>
      </c>
    </row>
    <row r="5578" spans="1:12">
      <c r="A5578" t="s">
        <v>7581</v>
      </c>
      <c r="B5578" s="1" t="s">
        <v>7579</v>
      </c>
      <c r="F5578">
        <v>1</v>
      </c>
      <c r="G5578" t="str">
        <f>HYPERLINK("http://babel.hathitrust.org/cgi/pt?id=nyp.33433069240699")</f>
        <v>http://babel.hathitrust.org/cgi/pt?id=nyp.33433069240699</v>
      </c>
      <c r="H5578" t="str">
        <f>HYPERLINK("http://catalog.hathitrust.org/Record/008619714")</f>
        <v>http://catalog.hathitrust.org/Record/008619714</v>
      </c>
      <c r="J5578" s="1">
        <v>1857</v>
      </c>
      <c r="K5578" t="s">
        <v>7580</v>
      </c>
      <c r="L5578" t="s">
        <v>8398</v>
      </c>
    </row>
    <row r="5579" spans="1:12">
      <c r="A5579" t="s">
        <v>7582</v>
      </c>
      <c r="B5579" s="1" t="s">
        <v>7583</v>
      </c>
      <c r="F5579">
        <v>1</v>
      </c>
      <c r="G5579" t="str">
        <f>HYPERLINK("http://babel.hathitrust.org/cgi/pt?id=nyp.33433069240632")</f>
        <v>http://babel.hathitrust.org/cgi/pt?id=nyp.33433069240632</v>
      </c>
      <c r="H5579" t="str">
        <f>HYPERLINK("http://catalog.hathitrust.org/Record/008619716")</f>
        <v>http://catalog.hathitrust.org/Record/008619716</v>
      </c>
      <c r="J5579" s="1">
        <v>1847</v>
      </c>
      <c r="K5579" t="s">
        <v>7584</v>
      </c>
      <c r="L5579" t="s">
        <v>7585</v>
      </c>
    </row>
    <row r="5580" spans="1:12">
      <c r="A5580" t="s">
        <v>7586</v>
      </c>
      <c r="B5580" s="1" t="s">
        <v>7587</v>
      </c>
      <c r="F5580">
        <v>1</v>
      </c>
      <c r="G5580" t="str">
        <f>HYPERLINK("http://babel.hathitrust.org/cgi/pt?id=nyp.33433069240590")</f>
        <v>http://babel.hathitrust.org/cgi/pt?id=nyp.33433069240590</v>
      </c>
      <c r="H5580" t="str">
        <f>HYPERLINK("http://catalog.hathitrust.org/Record/008619719")</f>
        <v>http://catalog.hathitrust.org/Record/008619719</v>
      </c>
      <c r="J5580" s="1">
        <v>1843</v>
      </c>
      <c r="K5580" t="s">
        <v>7588</v>
      </c>
      <c r="L5580" t="s">
        <v>7589</v>
      </c>
    </row>
    <row r="5581" spans="1:12">
      <c r="A5581" t="s">
        <v>7590</v>
      </c>
      <c r="B5581" s="1" t="s">
        <v>7591</v>
      </c>
      <c r="F5581">
        <v>1</v>
      </c>
      <c r="G5581" t="str">
        <f>HYPERLINK("http://babel.hathitrust.org/cgi/pt?id=nyp.33433069240582")</f>
        <v>http://babel.hathitrust.org/cgi/pt?id=nyp.33433069240582</v>
      </c>
      <c r="H5581" t="str">
        <f>HYPERLINK("http://catalog.hathitrust.org/Record/008619721")</f>
        <v>http://catalog.hathitrust.org/Record/008619721</v>
      </c>
      <c r="J5581" s="1">
        <v>1876</v>
      </c>
      <c r="K5581" t="s">
        <v>7592</v>
      </c>
      <c r="L5581" t="s">
        <v>7589</v>
      </c>
    </row>
    <row r="5582" spans="1:12">
      <c r="A5582" t="s">
        <v>7593</v>
      </c>
      <c r="B5582" s="1" t="s">
        <v>7594</v>
      </c>
      <c r="F5582">
        <v>1</v>
      </c>
      <c r="G5582" t="str">
        <f>HYPERLINK("http://babel.hathitrust.org/cgi/pt?id=nyp.33433069240574")</f>
        <v>http://babel.hathitrust.org/cgi/pt?id=nyp.33433069240574</v>
      </c>
      <c r="H5582" t="str">
        <f>HYPERLINK("http://catalog.hathitrust.org/Record/008619727")</f>
        <v>http://catalog.hathitrust.org/Record/008619727</v>
      </c>
      <c r="J5582" s="1">
        <v>1847</v>
      </c>
      <c r="K5582" t="s">
        <v>7595</v>
      </c>
      <c r="L5582" t="s">
        <v>7596</v>
      </c>
    </row>
    <row r="5583" spans="1:12">
      <c r="A5583" t="s">
        <v>7597</v>
      </c>
      <c r="B5583" s="1" t="s">
        <v>7598</v>
      </c>
      <c r="F5583">
        <v>1</v>
      </c>
      <c r="G5583" t="str">
        <f>HYPERLINK("http://babel.hathitrust.org/cgi/pt?id=nyp.33433069240913")</f>
        <v>http://babel.hathitrust.org/cgi/pt?id=nyp.33433069240913</v>
      </c>
      <c r="H5583" t="str">
        <f>HYPERLINK("http://catalog.hathitrust.org/Record/008619728")</f>
        <v>http://catalog.hathitrust.org/Record/008619728</v>
      </c>
      <c r="J5583" s="1">
        <v>1819</v>
      </c>
      <c r="K5583" t="s">
        <v>7599</v>
      </c>
      <c r="L5583" t="s">
        <v>7600</v>
      </c>
    </row>
    <row r="5584" spans="1:12">
      <c r="A5584" t="s">
        <v>7601</v>
      </c>
      <c r="B5584" s="1" t="s">
        <v>7602</v>
      </c>
      <c r="F5584">
        <v>1</v>
      </c>
      <c r="G5584" t="str">
        <f>HYPERLINK("http://babel.hathitrust.org/cgi/pt?id=nyp.33433069240889")</f>
        <v>http://babel.hathitrust.org/cgi/pt?id=nyp.33433069240889</v>
      </c>
      <c r="H5584" t="str">
        <f>HYPERLINK("http://catalog.hathitrust.org/Record/008619731")</f>
        <v>http://catalog.hathitrust.org/Record/008619731</v>
      </c>
      <c r="J5584" s="1">
        <v>1922</v>
      </c>
      <c r="K5584" t="s">
        <v>7603</v>
      </c>
      <c r="L5584" t="s">
        <v>7604</v>
      </c>
    </row>
    <row r="5585" spans="1:12">
      <c r="A5585" t="s">
        <v>7605</v>
      </c>
      <c r="B5585" s="1" t="s">
        <v>7606</v>
      </c>
      <c r="F5585">
        <v>1</v>
      </c>
      <c r="G5585" t="str">
        <f>HYPERLINK("http://babel.hathitrust.org/cgi/pt?id=nyp.33433069240871")</f>
        <v>http://babel.hathitrust.org/cgi/pt?id=nyp.33433069240871</v>
      </c>
      <c r="H5585" t="str">
        <f>HYPERLINK("http://catalog.hathitrust.org/Record/008619732")</f>
        <v>http://catalog.hathitrust.org/Record/008619732</v>
      </c>
      <c r="J5585" s="1">
        <v>1852</v>
      </c>
      <c r="K5585" t="s">
        <v>7607</v>
      </c>
      <c r="L5585" t="s">
        <v>21029</v>
      </c>
    </row>
    <row r="5586" spans="1:12">
      <c r="A5586" t="s">
        <v>7608</v>
      </c>
      <c r="B5586" s="1" t="s">
        <v>7609</v>
      </c>
      <c r="F5586">
        <v>1</v>
      </c>
      <c r="G5586" t="str">
        <f>HYPERLINK("http://babel.hathitrust.org/cgi/pt?id=hvd.hn1c7s")</f>
        <v>http://babel.hathitrust.org/cgi/pt?id=hvd.hn1c7s</v>
      </c>
      <c r="H5586" t="str">
        <f>HYPERLINK("http://catalog.hathitrust.org/Record/008619735")</f>
        <v>http://catalog.hathitrust.org/Record/008619735</v>
      </c>
      <c r="J5586" s="1">
        <v>1838</v>
      </c>
      <c r="K5586" t="s">
        <v>7610</v>
      </c>
      <c r="L5586" t="s">
        <v>12659</v>
      </c>
    </row>
    <row r="5587" spans="1:12">
      <c r="A5587" t="s">
        <v>7611</v>
      </c>
      <c r="B5587" s="1" t="s">
        <v>7609</v>
      </c>
      <c r="F5587">
        <v>1</v>
      </c>
      <c r="G5587" t="str">
        <f>HYPERLINK("http://babel.hathitrust.org/cgi/pt?id=nyp.33433069240541")</f>
        <v>http://babel.hathitrust.org/cgi/pt?id=nyp.33433069240541</v>
      </c>
      <c r="H5587" t="str">
        <f>HYPERLINK("http://catalog.hathitrust.org/Record/008619735")</f>
        <v>http://catalog.hathitrust.org/Record/008619735</v>
      </c>
      <c r="J5587" s="1">
        <v>1838</v>
      </c>
      <c r="K5587" t="s">
        <v>7610</v>
      </c>
      <c r="L5587" t="s">
        <v>12659</v>
      </c>
    </row>
    <row r="5588" spans="1:12">
      <c r="A5588" t="s">
        <v>7612</v>
      </c>
      <c r="B5588" s="1" t="s">
        <v>7613</v>
      </c>
      <c r="F5588">
        <v>1</v>
      </c>
      <c r="G5588" t="str">
        <f>HYPERLINK("http://babel.hathitrust.org/cgi/pt?id=nyp.33433069240566")</f>
        <v>http://babel.hathitrust.org/cgi/pt?id=nyp.33433069240566</v>
      </c>
      <c r="H5588" t="str">
        <f>HYPERLINK("http://catalog.hathitrust.org/Record/008619736")</f>
        <v>http://catalog.hathitrust.org/Record/008619736</v>
      </c>
      <c r="J5588" s="1">
        <v>1860</v>
      </c>
      <c r="K5588" t="s">
        <v>7614</v>
      </c>
      <c r="L5588" t="s">
        <v>12659</v>
      </c>
    </row>
    <row r="5589" spans="1:12">
      <c r="A5589" t="s">
        <v>7615</v>
      </c>
      <c r="B5589" s="1" t="s">
        <v>7616</v>
      </c>
      <c r="F5589">
        <v>1</v>
      </c>
      <c r="G5589" t="str">
        <f>HYPERLINK("http://babel.hathitrust.org/cgi/pt?id=nyp.33433069240798")</f>
        <v>http://babel.hathitrust.org/cgi/pt?id=nyp.33433069240798</v>
      </c>
      <c r="H5589" t="str">
        <f>HYPERLINK("http://catalog.hathitrust.org/Record/008619739")</f>
        <v>http://catalog.hathitrust.org/Record/008619739</v>
      </c>
      <c r="J5589" s="1">
        <v>1900</v>
      </c>
      <c r="K5589" t="s">
        <v>20883</v>
      </c>
      <c r="L5589" t="s">
        <v>20884</v>
      </c>
    </row>
    <row r="5590" spans="1:12">
      <c r="A5590" t="s">
        <v>7617</v>
      </c>
      <c r="B5590" s="1" t="s">
        <v>7618</v>
      </c>
      <c r="F5590">
        <v>1</v>
      </c>
      <c r="G5590" t="str">
        <f>HYPERLINK("http://babel.hathitrust.org/cgi/pt?id=nyp.33433069240822")</f>
        <v>http://babel.hathitrust.org/cgi/pt?id=nyp.33433069240822</v>
      </c>
      <c r="H5590" t="str">
        <f>HYPERLINK("http://catalog.hathitrust.org/Record/008619740")</f>
        <v>http://catalog.hathitrust.org/Record/008619740</v>
      </c>
      <c r="J5590" s="1">
        <v>1911</v>
      </c>
      <c r="K5590" t="s">
        <v>13298</v>
      </c>
      <c r="L5590" t="s">
        <v>7619</v>
      </c>
    </row>
    <row r="5591" spans="1:12">
      <c r="A5591" t="s">
        <v>7620</v>
      </c>
      <c r="B5591" s="1" t="s">
        <v>7621</v>
      </c>
      <c r="F5591">
        <v>1</v>
      </c>
      <c r="G5591" t="str">
        <f>HYPERLINK("http://babel.hathitrust.org/cgi/pt?id=nyp.33433069240780")</f>
        <v>http://babel.hathitrust.org/cgi/pt?id=nyp.33433069240780</v>
      </c>
      <c r="H5591" t="str">
        <f>HYPERLINK("http://catalog.hathitrust.org/Record/008619742")</f>
        <v>http://catalog.hathitrust.org/Record/008619742</v>
      </c>
      <c r="J5591" s="1">
        <v>1859</v>
      </c>
      <c r="K5591" t="s">
        <v>20883</v>
      </c>
      <c r="L5591" t="s">
        <v>20884</v>
      </c>
    </row>
    <row r="5592" spans="1:12">
      <c r="A5592" t="s">
        <v>7622</v>
      </c>
      <c r="B5592" s="1" t="s">
        <v>7623</v>
      </c>
      <c r="F5592">
        <v>1</v>
      </c>
      <c r="G5592" t="str">
        <f>HYPERLINK("http://babel.hathitrust.org/cgi/pt?id=nyp.33433069240848")</f>
        <v>http://babel.hathitrust.org/cgi/pt?id=nyp.33433069240848</v>
      </c>
      <c r="H5592" t="str">
        <f>HYPERLINK("http://catalog.hathitrust.org/Record/008619743")</f>
        <v>http://catalog.hathitrust.org/Record/008619743</v>
      </c>
      <c r="J5592" s="1">
        <v>1904</v>
      </c>
      <c r="K5592" t="s">
        <v>7541</v>
      </c>
      <c r="L5592" t="s">
        <v>12562</v>
      </c>
    </row>
    <row r="5593" spans="1:12">
      <c r="A5593" t="s">
        <v>7542</v>
      </c>
      <c r="B5593" s="1" t="s">
        <v>7543</v>
      </c>
      <c r="E5593">
        <v>1</v>
      </c>
      <c r="G5593" t="str">
        <f>HYPERLINK("http://babel.hathitrust.org/cgi/pt?id=nyp.33433070230226")</f>
        <v>http://babel.hathitrust.org/cgi/pt?id=nyp.33433070230226</v>
      </c>
      <c r="H5593" t="str">
        <f>HYPERLINK("http://catalog.hathitrust.org/Record/008619756")</f>
        <v>http://catalog.hathitrust.org/Record/008619756</v>
      </c>
      <c r="J5593" s="1">
        <v>1810</v>
      </c>
      <c r="K5593" t="s">
        <v>7544</v>
      </c>
      <c r="L5593" t="s">
        <v>20960</v>
      </c>
    </row>
    <row r="5594" spans="1:12">
      <c r="A5594" t="s">
        <v>7545</v>
      </c>
      <c r="B5594" s="1" t="s">
        <v>7546</v>
      </c>
      <c r="E5594">
        <v>1</v>
      </c>
      <c r="G5594" t="str">
        <f>HYPERLINK("http://babel.hathitrust.org/cgi/pt?id=nyp.33433070230200")</f>
        <v>http://babel.hathitrust.org/cgi/pt?id=nyp.33433070230200</v>
      </c>
      <c r="H5594" t="str">
        <f>HYPERLINK("http://catalog.hathitrust.org/Record/008619757")</f>
        <v>http://catalog.hathitrust.org/Record/008619757</v>
      </c>
      <c r="J5594" s="1">
        <v>1831</v>
      </c>
      <c r="K5594" t="s">
        <v>7547</v>
      </c>
      <c r="L5594" t="s">
        <v>20960</v>
      </c>
    </row>
    <row r="5595" spans="1:12">
      <c r="A5595" t="s">
        <v>7548</v>
      </c>
      <c r="B5595" s="1" t="s">
        <v>7549</v>
      </c>
      <c r="E5595">
        <v>1</v>
      </c>
      <c r="G5595" t="str">
        <f>HYPERLINK("http://babel.hathitrust.org/cgi/pt?id=nyp.33433069239600")</f>
        <v>http://babel.hathitrust.org/cgi/pt?id=nyp.33433069239600</v>
      </c>
      <c r="H5595" t="str">
        <f>HYPERLINK("http://catalog.hathitrust.org/Record/008619758")</f>
        <v>http://catalog.hathitrust.org/Record/008619758</v>
      </c>
      <c r="J5595" s="1">
        <v>1834</v>
      </c>
      <c r="K5595" t="s">
        <v>7550</v>
      </c>
      <c r="L5595" t="s">
        <v>20960</v>
      </c>
    </row>
    <row r="5596" spans="1:12">
      <c r="A5596" t="s">
        <v>7551</v>
      </c>
      <c r="B5596" s="1" t="s">
        <v>7552</v>
      </c>
      <c r="F5596">
        <v>1</v>
      </c>
      <c r="G5596" t="str">
        <f>HYPERLINK("http://babel.hathitrust.org/cgi/pt?id=nyp.33433070230192")</f>
        <v>http://babel.hathitrust.org/cgi/pt?id=nyp.33433070230192</v>
      </c>
      <c r="H5596" t="str">
        <f>HYPERLINK("http://catalog.hathitrust.org/Record/008619759")</f>
        <v>http://catalog.hathitrust.org/Record/008619759</v>
      </c>
      <c r="J5596" s="1">
        <v>1819</v>
      </c>
      <c r="K5596" t="s">
        <v>7553</v>
      </c>
      <c r="L5596" t="s">
        <v>20960</v>
      </c>
    </row>
    <row r="5597" spans="1:12">
      <c r="A5597" t="s">
        <v>7554</v>
      </c>
      <c r="B5597" s="1" t="s">
        <v>7555</v>
      </c>
      <c r="E5597">
        <v>1</v>
      </c>
      <c r="G5597" t="str">
        <f>HYPERLINK("http://babel.hathitrust.org/cgi/pt?id=nyp.33433075924039")</f>
        <v>http://babel.hathitrust.org/cgi/pt?id=nyp.33433075924039</v>
      </c>
      <c r="H5597" t="str">
        <f>HYPERLINK("http://catalog.hathitrust.org/Record/008619762")</f>
        <v>http://catalog.hathitrust.org/Record/008619762</v>
      </c>
      <c r="I5597" s="1" t="s">
        <v>7557</v>
      </c>
      <c r="J5597" s="1">
        <v>1900</v>
      </c>
      <c r="K5597" t="s">
        <v>7556</v>
      </c>
      <c r="L5597" t="s">
        <v>14448</v>
      </c>
    </row>
    <row r="5598" spans="1:12">
      <c r="A5598" t="s">
        <v>7558</v>
      </c>
      <c r="B5598" s="1" t="s">
        <v>7559</v>
      </c>
      <c r="F5598">
        <v>1</v>
      </c>
      <c r="G5598" t="str">
        <f>HYPERLINK("http://babel.hathitrust.org/cgi/pt?id=hvd.hx51ze")</f>
        <v>http://babel.hathitrust.org/cgi/pt?id=hvd.hx51ze</v>
      </c>
      <c r="H5598" t="str">
        <f>HYPERLINK("http://catalog.hathitrust.org/Record/008619788")</f>
        <v>http://catalog.hathitrust.org/Record/008619788</v>
      </c>
      <c r="J5598" s="1">
        <v>1855</v>
      </c>
      <c r="K5598" t="s">
        <v>7560</v>
      </c>
      <c r="L5598" t="s">
        <v>7561</v>
      </c>
    </row>
    <row r="5599" spans="1:12">
      <c r="A5599" t="s">
        <v>7562</v>
      </c>
      <c r="B5599" s="1" t="s">
        <v>7559</v>
      </c>
      <c r="F5599">
        <v>1</v>
      </c>
      <c r="G5599" t="str">
        <f>HYPERLINK("http://babel.hathitrust.org/cgi/pt?id=nyp.33433075923916")</f>
        <v>http://babel.hathitrust.org/cgi/pt?id=nyp.33433075923916</v>
      </c>
      <c r="H5599" t="str">
        <f>HYPERLINK("http://catalog.hathitrust.org/Record/008619788")</f>
        <v>http://catalog.hathitrust.org/Record/008619788</v>
      </c>
      <c r="J5599" s="1">
        <v>1855</v>
      </c>
      <c r="K5599" t="s">
        <v>7560</v>
      </c>
      <c r="L5599" t="s">
        <v>7561</v>
      </c>
    </row>
    <row r="5600" spans="1:12">
      <c r="A5600" t="s">
        <v>7563</v>
      </c>
      <c r="B5600" s="1" t="s">
        <v>7564</v>
      </c>
      <c r="F5600">
        <v>1</v>
      </c>
      <c r="G5600" t="str">
        <f>HYPERLINK("http://babel.hathitrust.org/cgi/pt?id=nyp.33433069241721")</f>
        <v>http://babel.hathitrust.org/cgi/pt?id=nyp.33433069241721</v>
      </c>
      <c r="H5600" t="str">
        <f>HYPERLINK("http://catalog.hathitrust.org/Record/008619789")</f>
        <v>http://catalog.hathitrust.org/Record/008619789</v>
      </c>
      <c r="J5600" s="1">
        <v>1892</v>
      </c>
      <c r="K5600" t="s">
        <v>11590</v>
      </c>
      <c r="L5600" t="s">
        <v>14911</v>
      </c>
    </row>
    <row r="5601" spans="1:12">
      <c r="A5601" t="s">
        <v>7565</v>
      </c>
      <c r="B5601" s="1" t="s">
        <v>7566</v>
      </c>
      <c r="E5601">
        <v>1</v>
      </c>
      <c r="G5601" t="str">
        <f>HYPERLINK("http://babel.hathitrust.org/cgi/pt?id=nyp.33433069241457")</f>
        <v>http://babel.hathitrust.org/cgi/pt?id=nyp.33433069241457</v>
      </c>
      <c r="H5601" t="str">
        <f>HYPERLINK("http://catalog.hathitrust.org/Record/008619822")</f>
        <v>http://catalog.hathitrust.org/Record/008619822</v>
      </c>
      <c r="J5601" s="1">
        <v>1801</v>
      </c>
      <c r="K5601" t="s">
        <v>7567</v>
      </c>
    </row>
    <row r="5602" spans="1:12">
      <c r="A5602" t="s">
        <v>7568</v>
      </c>
      <c r="B5602" s="1" t="s">
        <v>7569</v>
      </c>
      <c r="E5602">
        <v>1</v>
      </c>
      <c r="G5602" t="str">
        <f>HYPERLINK("http://babel.hathitrust.org/cgi/pt?id=nyp.33433069241408")</f>
        <v>http://babel.hathitrust.org/cgi/pt?id=nyp.33433069241408</v>
      </c>
      <c r="H5602" t="str">
        <f>HYPERLINK("http://catalog.hathitrust.org/Record/008619823")</f>
        <v>http://catalog.hathitrust.org/Record/008619823</v>
      </c>
      <c r="J5602" s="1">
        <v>1810</v>
      </c>
      <c r="K5602" t="s">
        <v>7570</v>
      </c>
      <c r="L5602" t="s">
        <v>20043</v>
      </c>
    </row>
    <row r="5603" spans="1:12">
      <c r="A5603" t="s">
        <v>7571</v>
      </c>
      <c r="B5603" s="1" t="s">
        <v>7572</v>
      </c>
      <c r="E5603">
        <v>1</v>
      </c>
      <c r="G5603" t="str">
        <f>HYPERLINK("http://babel.hathitrust.org/cgi/pt?id=nyp.33433069241432")</f>
        <v>http://babel.hathitrust.org/cgi/pt?id=nyp.33433069241432</v>
      </c>
      <c r="H5603" t="str">
        <f>HYPERLINK("http://catalog.hathitrust.org/Record/008619825")</f>
        <v>http://catalog.hathitrust.org/Record/008619825</v>
      </c>
      <c r="J5603" s="1">
        <v>1812</v>
      </c>
      <c r="K5603" t="s">
        <v>7573</v>
      </c>
      <c r="L5603" t="s">
        <v>20043</v>
      </c>
    </row>
    <row r="5604" spans="1:12">
      <c r="A5604" t="s">
        <v>7574</v>
      </c>
      <c r="B5604" s="1" t="s">
        <v>7575</v>
      </c>
      <c r="E5604">
        <v>1</v>
      </c>
      <c r="G5604" t="str">
        <f>HYPERLINK("http://babel.hathitrust.org/cgi/pt?id=nyp.33433069241523")</f>
        <v>http://babel.hathitrust.org/cgi/pt?id=nyp.33433069241523</v>
      </c>
      <c r="H5604" t="str">
        <f>HYPERLINK("http://catalog.hathitrust.org/Record/008619826")</f>
        <v>http://catalog.hathitrust.org/Record/008619826</v>
      </c>
      <c r="J5604" s="1">
        <v>1821</v>
      </c>
      <c r="K5604" t="s">
        <v>7523</v>
      </c>
      <c r="L5604" t="s">
        <v>20043</v>
      </c>
    </row>
    <row r="5605" spans="1:12">
      <c r="A5605" t="s">
        <v>7524</v>
      </c>
      <c r="B5605" s="1" t="s">
        <v>7525</v>
      </c>
      <c r="E5605">
        <v>1</v>
      </c>
      <c r="G5605" t="str">
        <f>HYPERLINK("http://babel.hathitrust.org/cgi/pt?id=nyp.33433069241473")</f>
        <v>http://babel.hathitrust.org/cgi/pt?id=nyp.33433069241473</v>
      </c>
      <c r="H5605" t="str">
        <f>HYPERLINK("http://catalog.hathitrust.org/Record/008619841")</f>
        <v>http://catalog.hathitrust.org/Record/008619841</v>
      </c>
      <c r="J5605" s="1">
        <v>1825</v>
      </c>
      <c r="K5605" t="s">
        <v>7526</v>
      </c>
      <c r="L5605" t="s">
        <v>20043</v>
      </c>
    </row>
    <row r="5606" spans="1:12">
      <c r="A5606" t="s">
        <v>7527</v>
      </c>
      <c r="B5606" s="1" t="s">
        <v>7528</v>
      </c>
      <c r="E5606">
        <v>1</v>
      </c>
      <c r="G5606" t="str">
        <f>HYPERLINK("http://babel.hathitrust.org/cgi/pt?id=nyp.33433069241556")</f>
        <v>http://babel.hathitrust.org/cgi/pt?id=nyp.33433069241556</v>
      </c>
      <c r="H5606" t="str">
        <f>HYPERLINK("http://catalog.hathitrust.org/Record/008619843")</f>
        <v>http://catalog.hathitrust.org/Record/008619843</v>
      </c>
      <c r="J5606" s="1">
        <v>1827</v>
      </c>
      <c r="K5606" t="s">
        <v>7529</v>
      </c>
      <c r="L5606" t="s">
        <v>20043</v>
      </c>
    </row>
    <row r="5607" spans="1:12">
      <c r="A5607" t="s">
        <v>7530</v>
      </c>
      <c r="B5607" s="1" t="s">
        <v>7531</v>
      </c>
      <c r="E5607">
        <v>1</v>
      </c>
      <c r="G5607" t="str">
        <f>HYPERLINK("http://babel.hathitrust.org/cgi/pt?id=nyp.33433069241499")</f>
        <v>http://babel.hathitrust.org/cgi/pt?id=nyp.33433069241499</v>
      </c>
      <c r="H5607" t="str">
        <f>HYPERLINK("http://catalog.hathitrust.org/Record/008619845")</f>
        <v>http://catalog.hathitrust.org/Record/008619845</v>
      </c>
      <c r="J5607" s="1">
        <v>1833</v>
      </c>
      <c r="K5607" t="s">
        <v>7532</v>
      </c>
      <c r="L5607" t="s">
        <v>20043</v>
      </c>
    </row>
    <row r="5608" spans="1:12">
      <c r="A5608" t="s">
        <v>7533</v>
      </c>
      <c r="B5608" s="1" t="s">
        <v>7534</v>
      </c>
      <c r="E5608">
        <v>1</v>
      </c>
      <c r="G5608" t="str">
        <f>HYPERLINK("http://babel.hathitrust.org/cgi/pt?id=nyp.33433069241572")</f>
        <v>http://babel.hathitrust.org/cgi/pt?id=nyp.33433069241572</v>
      </c>
      <c r="H5608" t="str">
        <f>HYPERLINK("http://catalog.hathitrust.org/Record/008619847")</f>
        <v>http://catalog.hathitrust.org/Record/008619847</v>
      </c>
      <c r="J5608" s="1">
        <v>1839</v>
      </c>
      <c r="K5608" t="s">
        <v>7535</v>
      </c>
      <c r="L5608" t="s">
        <v>20043</v>
      </c>
    </row>
    <row r="5609" spans="1:12">
      <c r="A5609" t="s">
        <v>7536</v>
      </c>
      <c r="B5609" s="1" t="s">
        <v>7537</v>
      </c>
      <c r="E5609">
        <v>1</v>
      </c>
      <c r="G5609" t="str">
        <f>HYPERLINK("http://babel.hathitrust.org/cgi/pt?id=nyp.33433069241580")</f>
        <v>http://babel.hathitrust.org/cgi/pt?id=nyp.33433069241580</v>
      </c>
      <c r="H5609" t="str">
        <f>HYPERLINK("http://catalog.hathitrust.org/Record/008619848")</f>
        <v>http://catalog.hathitrust.org/Record/008619848</v>
      </c>
      <c r="J5609" s="1">
        <v>1840</v>
      </c>
      <c r="K5609" t="s">
        <v>7538</v>
      </c>
      <c r="L5609" t="s">
        <v>20043</v>
      </c>
    </row>
    <row r="5610" spans="1:12">
      <c r="A5610" t="s">
        <v>7539</v>
      </c>
      <c r="B5610" s="1" t="s">
        <v>7540</v>
      </c>
      <c r="E5610">
        <v>1</v>
      </c>
      <c r="G5610" t="str">
        <f>HYPERLINK("http://babel.hathitrust.org/cgi/pt?id=nyp.33433069241440")</f>
        <v>http://babel.hathitrust.org/cgi/pt?id=nyp.33433069241440</v>
      </c>
      <c r="H5610" t="str">
        <f>HYPERLINK("http://catalog.hathitrust.org/Record/008619849")</f>
        <v>http://catalog.hathitrust.org/Record/008619849</v>
      </c>
      <c r="J5610" s="1">
        <v>1816</v>
      </c>
      <c r="K5610" t="s">
        <v>7487</v>
      </c>
      <c r="L5610" t="s">
        <v>20043</v>
      </c>
    </row>
    <row r="5611" spans="1:12">
      <c r="A5611" t="s">
        <v>7488</v>
      </c>
      <c r="B5611" s="1" t="s">
        <v>7489</v>
      </c>
      <c r="F5611">
        <v>1</v>
      </c>
      <c r="G5611" t="str">
        <f>HYPERLINK("http://babel.hathitrust.org/cgi/pt?id=nyp.33433074373600")</f>
        <v>http://babel.hathitrust.org/cgi/pt?id=nyp.33433074373600</v>
      </c>
      <c r="H5611" t="str">
        <f>HYPERLINK("http://catalog.hathitrust.org/Record/008620060")</f>
        <v>http://catalog.hathitrust.org/Record/008620060</v>
      </c>
      <c r="J5611" s="1">
        <v>1803</v>
      </c>
      <c r="K5611" t="s">
        <v>7490</v>
      </c>
      <c r="L5611" t="s">
        <v>7491</v>
      </c>
    </row>
    <row r="5612" spans="1:12">
      <c r="A5612" t="s">
        <v>7492</v>
      </c>
      <c r="B5612" s="1" t="s">
        <v>7493</v>
      </c>
      <c r="F5612">
        <v>1</v>
      </c>
      <c r="G5612" t="str">
        <f>HYPERLINK("http://babel.hathitrust.org/cgi/pt?id=nyp.33433074392089")</f>
        <v>http://babel.hathitrust.org/cgi/pt?id=nyp.33433074392089</v>
      </c>
      <c r="H5612" t="str">
        <f>HYPERLINK("http://catalog.hathitrust.org/Record/008620084")</f>
        <v>http://catalog.hathitrust.org/Record/008620084</v>
      </c>
      <c r="J5612" s="1">
        <v>1857</v>
      </c>
      <c r="K5612" t="s">
        <v>7494</v>
      </c>
      <c r="L5612" t="s">
        <v>20391</v>
      </c>
    </row>
    <row r="5613" spans="1:12">
      <c r="A5613" t="s">
        <v>7495</v>
      </c>
      <c r="B5613" s="1" t="s">
        <v>7496</v>
      </c>
      <c r="F5613">
        <v>1</v>
      </c>
      <c r="G5613" t="str">
        <f>HYPERLINK("http://babel.hathitrust.org/cgi/pt?id=nyp.33433070242700")</f>
        <v>http://babel.hathitrust.org/cgi/pt?id=nyp.33433070242700</v>
      </c>
      <c r="H5613" t="str">
        <f>HYPERLINK("http://catalog.hathitrust.org/Record/008620230")</f>
        <v>http://catalog.hathitrust.org/Record/008620230</v>
      </c>
      <c r="J5613" s="1">
        <v>1853</v>
      </c>
      <c r="K5613" t="s">
        <v>7497</v>
      </c>
      <c r="L5613" t="s">
        <v>8550</v>
      </c>
    </row>
    <row r="5614" spans="1:12">
      <c r="A5614" t="s">
        <v>7498</v>
      </c>
      <c r="B5614" s="1" t="s">
        <v>7499</v>
      </c>
      <c r="F5614">
        <v>1</v>
      </c>
      <c r="G5614" t="str">
        <f>HYPERLINK("http://babel.hathitrust.org/cgi/pt?id=nyp.33433070238922")</f>
        <v>http://babel.hathitrust.org/cgi/pt?id=nyp.33433070238922</v>
      </c>
      <c r="H5614" t="str">
        <f>HYPERLINK("http://catalog.hathitrust.org/Record/008620332")</f>
        <v>http://catalog.hathitrust.org/Record/008620332</v>
      </c>
      <c r="I5614" s="1" t="s">
        <v>20796</v>
      </c>
      <c r="J5614" s="1">
        <v>1768</v>
      </c>
      <c r="K5614" t="s">
        <v>7500</v>
      </c>
      <c r="L5614" t="s">
        <v>7501</v>
      </c>
    </row>
    <row r="5615" spans="1:12">
      <c r="A5615" t="s">
        <v>7502</v>
      </c>
      <c r="B5615" s="1" t="s">
        <v>7503</v>
      </c>
      <c r="F5615">
        <v>1</v>
      </c>
      <c r="G5615" t="str">
        <f>HYPERLINK("http://babel.hathitrust.org/cgi/pt?id=nyp.33433075910418")</f>
        <v>http://babel.hathitrust.org/cgi/pt?id=nyp.33433075910418</v>
      </c>
      <c r="H5615" t="str">
        <f>HYPERLINK("http://catalog.hathitrust.org/Record/008620366")</f>
        <v>http://catalog.hathitrust.org/Record/008620366</v>
      </c>
      <c r="J5615" s="1">
        <v>1884</v>
      </c>
      <c r="K5615" t="s">
        <v>7504</v>
      </c>
      <c r="L5615" t="s">
        <v>7505</v>
      </c>
    </row>
    <row r="5616" spans="1:12">
      <c r="A5616" t="s">
        <v>7506</v>
      </c>
      <c r="B5616" s="1" t="s">
        <v>7507</v>
      </c>
      <c r="F5616">
        <v>1</v>
      </c>
      <c r="G5616" t="str">
        <f>HYPERLINK("http://babel.hathitrust.org/cgi/pt?id=nyp.33433069253841")</f>
        <v>http://babel.hathitrust.org/cgi/pt?id=nyp.33433069253841</v>
      </c>
      <c r="H5616" t="str">
        <f>HYPERLINK("http://catalog.hathitrust.org/Record/008620551")</f>
        <v>http://catalog.hathitrust.org/Record/008620551</v>
      </c>
      <c r="J5616" s="1">
        <v>1901</v>
      </c>
      <c r="K5616" t="s">
        <v>7508</v>
      </c>
      <c r="L5616" t="s">
        <v>7509</v>
      </c>
    </row>
    <row r="5617" spans="1:12">
      <c r="A5617" t="s">
        <v>7510</v>
      </c>
      <c r="B5617" s="1" t="s">
        <v>7511</v>
      </c>
      <c r="E5617">
        <v>1</v>
      </c>
      <c r="F5617">
        <v>1</v>
      </c>
      <c r="G5617" t="str">
        <f>HYPERLINK("http://babel.hathitrust.org/cgi/pt?id=nyp.33433069253569")</f>
        <v>http://babel.hathitrust.org/cgi/pt?id=nyp.33433069253569</v>
      </c>
      <c r="H5617" t="str">
        <f>HYPERLINK("http://catalog.hathitrust.org/Record/008620552")</f>
        <v>http://catalog.hathitrust.org/Record/008620552</v>
      </c>
      <c r="J5617" s="1">
        <v>1905</v>
      </c>
      <c r="K5617" t="s">
        <v>7512</v>
      </c>
      <c r="L5617" t="s">
        <v>18982</v>
      </c>
    </row>
    <row r="5618" spans="1:12">
      <c r="A5618" t="s">
        <v>7513</v>
      </c>
      <c r="B5618" s="1" t="s">
        <v>7514</v>
      </c>
      <c r="F5618">
        <v>1</v>
      </c>
      <c r="G5618" t="str">
        <f>HYPERLINK("http://babel.hathitrust.org/cgi/pt?id=nyp.33433069252827")</f>
        <v>http://babel.hathitrust.org/cgi/pt?id=nyp.33433069252827</v>
      </c>
      <c r="H5618" t="str">
        <f>HYPERLINK("http://catalog.hathitrust.org/Record/008620557")</f>
        <v>http://catalog.hathitrust.org/Record/008620557</v>
      </c>
      <c r="J5618" s="1">
        <v>1881</v>
      </c>
      <c r="K5618" t="s">
        <v>7515</v>
      </c>
      <c r="L5618" t="s">
        <v>12817</v>
      </c>
    </row>
    <row r="5619" spans="1:12">
      <c r="A5619" t="s">
        <v>7516</v>
      </c>
      <c r="B5619" s="1" t="s">
        <v>7517</v>
      </c>
      <c r="F5619">
        <v>1</v>
      </c>
      <c r="G5619" t="str">
        <f>HYPERLINK("http://babel.hathitrust.org/cgi/pt?id=nyp.33433069253445")</f>
        <v>http://babel.hathitrust.org/cgi/pt?id=nyp.33433069253445</v>
      </c>
      <c r="H5619" t="str">
        <f>HYPERLINK("http://catalog.hathitrust.org/Record/008620567")</f>
        <v>http://catalog.hathitrust.org/Record/008620567</v>
      </c>
      <c r="J5619" s="1">
        <v>1870</v>
      </c>
      <c r="K5619" t="s">
        <v>7518</v>
      </c>
      <c r="L5619" t="s">
        <v>7519</v>
      </c>
    </row>
    <row r="5620" spans="1:12">
      <c r="A5620" t="s">
        <v>7520</v>
      </c>
      <c r="B5620" s="1" t="s">
        <v>7517</v>
      </c>
      <c r="F5620">
        <v>1</v>
      </c>
      <c r="G5620" t="str">
        <f>HYPERLINK("http://babel.hathitrust.org/cgi/pt?id=wu.89099427411")</f>
        <v>http://babel.hathitrust.org/cgi/pt?id=wu.89099427411</v>
      </c>
      <c r="H5620" t="str">
        <f>HYPERLINK("http://catalog.hathitrust.org/Record/008620567")</f>
        <v>http://catalog.hathitrust.org/Record/008620567</v>
      </c>
      <c r="J5620" s="1">
        <v>1870</v>
      </c>
      <c r="K5620" t="s">
        <v>7518</v>
      </c>
      <c r="L5620" t="s">
        <v>7519</v>
      </c>
    </row>
    <row r="5621" spans="1:12">
      <c r="A5621" t="s">
        <v>7521</v>
      </c>
      <c r="B5621" s="1" t="s">
        <v>7522</v>
      </c>
      <c r="D5621">
        <v>1</v>
      </c>
      <c r="G5621" t="str">
        <f>HYPERLINK("http://babel.hathitrust.org/cgi/pt?id=nyp.33433070243138")</f>
        <v>http://babel.hathitrust.org/cgi/pt?id=nyp.33433070243138</v>
      </c>
      <c r="H5621" t="str">
        <f>HYPERLINK("http://catalog.hathitrust.org/Record/008620582")</f>
        <v>http://catalog.hathitrust.org/Record/008620582</v>
      </c>
      <c r="J5621" s="1">
        <v>1820</v>
      </c>
      <c r="K5621" t="s">
        <v>7453</v>
      </c>
      <c r="L5621" t="s">
        <v>20086</v>
      </c>
    </row>
    <row r="5622" spans="1:12">
      <c r="A5622" t="s">
        <v>7454</v>
      </c>
      <c r="B5622" s="1" t="s">
        <v>7455</v>
      </c>
      <c r="D5622">
        <v>1</v>
      </c>
      <c r="G5622" t="str">
        <f>HYPERLINK("http://babel.hathitrust.org/cgi/pt?id=nyp.33433070243112")</f>
        <v>http://babel.hathitrust.org/cgi/pt?id=nyp.33433070243112</v>
      </c>
      <c r="H5622" t="str">
        <f>HYPERLINK("http://catalog.hathitrust.org/Record/008620584")</f>
        <v>http://catalog.hathitrust.org/Record/008620584</v>
      </c>
      <c r="J5622" s="1">
        <v>1836</v>
      </c>
      <c r="K5622" t="s">
        <v>7456</v>
      </c>
      <c r="L5622" t="s">
        <v>20086</v>
      </c>
    </row>
    <row r="5623" spans="1:12">
      <c r="A5623" t="s">
        <v>7457</v>
      </c>
      <c r="B5623" s="1" t="s">
        <v>7458</v>
      </c>
      <c r="F5623">
        <v>1</v>
      </c>
      <c r="G5623" t="str">
        <f>HYPERLINK("http://babel.hathitrust.org/cgi/pt?id=nyp.33433069253023")</f>
        <v>http://babel.hathitrust.org/cgi/pt?id=nyp.33433069253023</v>
      </c>
      <c r="H5623" t="str">
        <f>HYPERLINK("http://catalog.hathitrust.org/Record/008620590")</f>
        <v>http://catalog.hathitrust.org/Record/008620590</v>
      </c>
      <c r="J5623" s="1">
        <v>1829</v>
      </c>
      <c r="K5623" t="s">
        <v>7459</v>
      </c>
      <c r="L5623" t="s">
        <v>7460</v>
      </c>
    </row>
    <row r="5624" spans="1:12">
      <c r="A5624" t="s">
        <v>7461</v>
      </c>
      <c r="B5624" s="1" t="s">
        <v>7462</v>
      </c>
      <c r="E5624">
        <v>1</v>
      </c>
      <c r="G5624" t="str">
        <f>HYPERLINK("http://babel.hathitrust.org/cgi/pt?id=nyp.33433070230176")</f>
        <v>http://babel.hathitrust.org/cgi/pt?id=nyp.33433070230176</v>
      </c>
      <c r="H5624" t="str">
        <f>HYPERLINK("http://catalog.hathitrust.org/Record/008620597")</f>
        <v>http://catalog.hathitrust.org/Record/008620597</v>
      </c>
      <c r="J5624" s="1">
        <v>1872</v>
      </c>
      <c r="K5624" t="s">
        <v>7463</v>
      </c>
      <c r="L5624" t="s">
        <v>7464</v>
      </c>
    </row>
    <row r="5625" spans="1:12">
      <c r="A5625" t="s">
        <v>7465</v>
      </c>
      <c r="B5625" s="1" t="s">
        <v>7466</v>
      </c>
      <c r="F5625">
        <v>1</v>
      </c>
      <c r="G5625" t="str">
        <f>HYPERLINK("http://babel.hathitrust.org/cgi/pt?id=nyp.33433069254153")</f>
        <v>http://babel.hathitrust.org/cgi/pt?id=nyp.33433069254153</v>
      </c>
      <c r="H5625" t="str">
        <f>HYPERLINK("http://catalog.hathitrust.org/Record/008620734")</f>
        <v>http://catalog.hathitrust.org/Record/008620734</v>
      </c>
      <c r="J5625" s="1">
        <v>1888</v>
      </c>
      <c r="K5625" t="s">
        <v>7467</v>
      </c>
      <c r="L5625" t="s">
        <v>11635</v>
      </c>
    </row>
    <row r="5626" spans="1:12">
      <c r="A5626" t="s">
        <v>7468</v>
      </c>
      <c r="B5626" s="1" t="s">
        <v>7469</v>
      </c>
      <c r="F5626">
        <v>1</v>
      </c>
      <c r="G5626" t="str">
        <f>HYPERLINK("http://babel.hathitrust.org/cgi/pt?id=nyp.33433069254161")</f>
        <v>http://babel.hathitrust.org/cgi/pt?id=nyp.33433069254161</v>
      </c>
      <c r="H5626" t="str">
        <f>HYPERLINK("http://catalog.hathitrust.org/Record/008620736")</f>
        <v>http://catalog.hathitrust.org/Record/008620736</v>
      </c>
      <c r="J5626" s="1">
        <v>1871</v>
      </c>
      <c r="K5626" t="s">
        <v>12662</v>
      </c>
      <c r="L5626" t="s">
        <v>19080</v>
      </c>
    </row>
    <row r="5627" spans="1:12">
      <c r="A5627" t="s">
        <v>7470</v>
      </c>
      <c r="B5627" s="1" t="s">
        <v>7471</v>
      </c>
      <c r="F5627">
        <v>1</v>
      </c>
      <c r="G5627" t="str">
        <f>HYPERLINK("http://babel.hathitrust.org/cgi/pt?id=nyp.33433069253932")</f>
        <v>http://babel.hathitrust.org/cgi/pt?id=nyp.33433069253932</v>
      </c>
      <c r="H5627" t="str">
        <f>HYPERLINK("http://catalog.hathitrust.org/Record/008620739")</f>
        <v>http://catalog.hathitrust.org/Record/008620739</v>
      </c>
      <c r="J5627" s="1">
        <v>1894</v>
      </c>
      <c r="K5627" t="s">
        <v>7472</v>
      </c>
      <c r="L5627" t="s">
        <v>7473</v>
      </c>
    </row>
    <row r="5628" spans="1:12">
      <c r="A5628" t="s">
        <v>7474</v>
      </c>
      <c r="B5628" s="1" t="s">
        <v>7475</v>
      </c>
      <c r="E5628">
        <v>1</v>
      </c>
      <c r="G5628" t="str">
        <f>HYPERLINK("http://babel.hathitrust.org/cgi/pt?id=nyp.33433069253254")</f>
        <v>http://babel.hathitrust.org/cgi/pt?id=nyp.33433069253254</v>
      </c>
      <c r="H5628" t="str">
        <f>HYPERLINK("http://catalog.hathitrust.org/Record/008620740")</f>
        <v>http://catalog.hathitrust.org/Record/008620740</v>
      </c>
      <c r="J5628" s="1">
        <v>1845</v>
      </c>
      <c r="K5628" t="s">
        <v>7476</v>
      </c>
      <c r="L5628" t="s">
        <v>10390</v>
      </c>
    </row>
    <row r="5629" spans="1:12">
      <c r="A5629" t="s">
        <v>7477</v>
      </c>
      <c r="B5629" s="1" t="s">
        <v>7478</v>
      </c>
      <c r="E5629">
        <v>1</v>
      </c>
      <c r="G5629" t="str">
        <f>HYPERLINK("http://babel.hathitrust.org/cgi/pt?id=nyp.33433061816835")</f>
        <v>http://babel.hathitrust.org/cgi/pt?id=nyp.33433061816835</v>
      </c>
      <c r="H5629" t="str">
        <f>HYPERLINK("http://catalog.hathitrust.org/Record/008620877")</f>
        <v>http://catalog.hathitrust.org/Record/008620877</v>
      </c>
      <c r="I5629" s="1" t="s">
        <v>20796</v>
      </c>
      <c r="J5629" s="1">
        <v>1770</v>
      </c>
      <c r="K5629" t="s">
        <v>7479</v>
      </c>
      <c r="L5629" t="s">
        <v>15788</v>
      </c>
    </row>
    <row r="5630" spans="1:12">
      <c r="A5630" t="s">
        <v>7480</v>
      </c>
      <c r="B5630" s="1" t="s">
        <v>7481</v>
      </c>
      <c r="E5630">
        <v>1</v>
      </c>
      <c r="G5630" t="str">
        <f>HYPERLINK("http://babel.hathitrust.org/cgi/pt?id=nyp.33433070230218")</f>
        <v>http://babel.hathitrust.org/cgi/pt?id=nyp.33433070230218</v>
      </c>
      <c r="H5630" t="str">
        <f>HYPERLINK("http://catalog.hathitrust.org/Record/008620917")</f>
        <v>http://catalog.hathitrust.org/Record/008620917</v>
      </c>
      <c r="J5630" s="1">
        <v>1791</v>
      </c>
      <c r="K5630" t="s">
        <v>7482</v>
      </c>
      <c r="L5630" t="s">
        <v>20960</v>
      </c>
    </row>
    <row r="5631" spans="1:12">
      <c r="A5631" t="s">
        <v>7483</v>
      </c>
      <c r="B5631" s="1" t="s">
        <v>7484</v>
      </c>
      <c r="E5631">
        <v>1</v>
      </c>
      <c r="G5631" t="str">
        <f>HYPERLINK("http://babel.hathitrust.org/cgi/pt?id=nyp.33433069240723")</f>
        <v>http://babel.hathitrust.org/cgi/pt?id=nyp.33433069240723</v>
      </c>
      <c r="H5631" t="str">
        <f>HYPERLINK("http://catalog.hathitrust.org/Record/008620918")</f>
        <v>http://catalog.hathitrust.org/Record/008620918</v>
      </c>
      <c r="J5631" s="1">
        <v>1818</v>
      </c>
      <c r="K5631" t="s">
        <v>7482</v>
      </c>
      <c r="L5631" t="s">
        <v>20960</v>
      </c>
    </row>
    <row r="5632" spans="1:12">
      <c r="A5632" t="s">
        <v>7485</v>
      </c>
      <c r="B5632" s="1" t="s">
        <v>7486</v>
      </c>
      <c r="F5632">
        <v>1</v>
      </c>
      <c r="G5632" t="str">
        <f>HYPERLINK("http://babel.hathitrust.org/cgi/pt?id=nyp.33433069239576")</f>
        <v>http://babel.hathitrust.org/cgi/pt?id=nyp.33433069239576</v>
      </c>
      <c r="H5632" t="str">
        <f>HYPERLINK("http://catalog.hathitrust.org/Record/008620921")</f>
        <v>http://catalog.hathitrust.org/Record/008620921</v>
      </c>
      <c r="I5632" s="1" t="s">
        <v>20799</v>
      </c>
      <c r="J5632" s="1">
        <v>1819</v>
      </c>
      <c r="K5632" t="s">
        <v>7416</v>
      </c>
      <c r="L5632" t="s">
        <v>20960</v>
      </c>
    </row>
    <row r="5633" spans="1:12">
      <c r="A5633" t="s">
        <v>7417</v>
      </c>
      <c r="B5633" s="1" t="s">
        <v>7486</v>
      </c>
      <c r="F5633">
        <v>1</v>
      </c>
      <c r="G5633" t="str">
        <f>HYPERLINK("http://babel.hathitrust.org/cgi/pt?id=nyp.33433069239584")</f>
        <v>http://babel.hathitrust.org/cgi/pt?id=nyp.33433069239584</v>
      </c>
      <c r="H5633" t="str">
        <f>HYPERLINK("http://catalog.hathitrust.org/Record/008620921")</f>
        <v>http://catalog.hathitrust.org/Record/008620921</v>
      </c>
      <c r="I5633" s="1" t="s">
        <v>20796</v>
      </c>
      <c r="J5633" s="1">
        <v>1819</v>
      </c>
      <c r="K5633" t="s">
        <v>7416</v>
      </c>
      <c r="L5633" t="s">
        <v>20960</v>
      </c>
    </row>
    <row r="5634" spans="1:12">
      <c r="A5634" t="s">
        <v>7418</v>
      </c>
      <c r="B5634" s="1" t="s">
        <v>7419</v>
      </c>
      <c r="F5634">
        <v>1</v>
      </c>
      <c r="G5634" t="str">
        <f>HYPERLINK("http://babel.hathitrust.org/cgi/pt?id=nyp.33433074389036")</f>
        <v>http://babel.hathitrust.org/cgi/pt?id=nyp.33433074389036</v>
      </c>
      <c r="H5634" t="str">
        <f>HYPERLINK("http://catalog.hathitrust.org/Record/008620926")</f>
        <v>http://catalog.hathitrust.org/Record/008620926</v>
      </c>
      <c r="J5634" s="1">
        <v>1850</v>
      </c>
      <c r="K5634" t="s">
        <v>7420</v>
      </c>
      <c r="L5634" t="s">
        <v>8218</v>
      </c>
    </row>
    <row r="5635" spans="1:12">
      <c r="A5635" t="s">
        <v>7421</v>
      </c>
      <c r="B5635" s="1" t="s">
        <v>7422</v>
      </c>
      <c r="F5635">
        <v>1</v>
      </c>
      <c r="G5635" t="str">
        <f>HYPERLINK("http://babel.hathitrust.org/cgi/pt?id=nyp.33433069253114")</f>
        <v>http://babel.hathitrust.org/cgi/pt?id=nyp.33433069253114</v>
      </c>
      <c r="H5635" t="str">
        <f>HYPERLINK("http://catalog.hathitrust.org/Record/008620952")</f>
        <v>http://catalog.hathitrust.org/Record/008620952</v>
      </c>
      <c r="J5635" s="1">
        <v>1884</v>
      </c>
      <c r="K5635" t="s">
        <v>7423</v>
      </c>
      <c r="L5635" t="s">
        <v>7424</v>
      </c>
    </row>
    <row r="5636" spans="1:12">
      <c r="A5636" t="s">
        <v>7425</v>
      </c>
      <c r="B5636" s="1" t="s">
        <v>7426</v>
      </c>
      <c r="F5636">
        <v>1</v>
      </c>
      <c r="G5636" t="str">
        <f>HYPERLINK("http://babel.hathitrust.org/cgi/pt?id=nyp.33433069251407")</f>
        <v>http://babel.hathitrust.org/cgi/pt?id=nyp.33433069251407</v>
      </c>
      <c r="H5636" t="str">
        <f>HYPERLINK("http://catalog.hathitrust.org/Record/008620954")</f>
        <v>http://catalog.hathitrust.org/Record/008620954</v>
      </c>
      <c r="J5636" s="1">
        <v>1851</v>
      </c>
      <c r="K5636" t="s">
        <v>7427</v>
      </c>
      <c r="L5636" t="s">
        <v>20391</v>
      </c>
    </row>
    <row r="5637" spans="1:12">
      <c r="A5637" t="s">
        <v>7428</v>
      </c>
      <c r="B5637" s="1" t="s">
        <v>7429</v>
      </c>
      <c r="F5637">
        <v>1</v>
      </c>
      <c r="G5637" t="str">
        <f>HYPERLINK("http://babel.hathitrust.org/cgi/pt?id=nyp.33433070243351")</f>
        <v>http://babel.hathitrust.org/cgi/pt?id=nyp.33433070243351</v>
      </c>
      <c r="H5637" t="str">
        <f>HYPERLINK("http://catalog.hathitrust.org/Record/008620956")</f>
        <v>http://catalog.hathitrust.org/Record/008620956</v>
      </c>
      <c r="J5637" s="1">
        <v>1836</v>
      </c>
      <c r="K5637" t="s">
        <v>7430</v>
      </c>
      <c r="L5637" t="s">
        <v>15032</v>
      </c>
    </row>
    <row r="5638" spans="1:12">
      <c r="A5638" t="s">
        <v>7431</v>
      </c>
      <c r="B5638" s="1" t="s">
        <v>7432</v>
      </c>
      <c r="F5638">
        <v>1</v>
      </c>
      <c r="G5638" t="str">
        <f>HYPERLINK("http://babel.hathitrust.org/cgi/pt?id=nyp.33433069240673")</f>
        <v>http://babel.hathitrust.org/cgi/pt?id=nyp.33433069240673</v>
      </c>
      <c r="H5638" t="str">
        <f>HYPERLINK("http://catalog.hathitrust.org/Record/008620957")</f>
        <v>http://catalog.hathitrust.org/Record/008620957</v>
      </c>
      <c r="J5638" s="1">
        <v>1890</v>
      </c>
      <c r="K5638" t="s">
        <v>7433</v>
      </c>
      <c r="L5638" t="s">
        <v>9437</v>
      </c>
    </row>
    <row r="5639" spans="1:12">
      <c r="A5639" t="s">
        <v>7434</v>
      </c>
      <c r="B5639" s="1" t="s">
        <v>7435</v>
      </c>
      <c r="F5639">
        <v>1</v>
      </c>
      <c r="G5639" t="str">
        <f>HYPERLINK("http://babel.hathitrust.org/cgi/pt?id=nyp.33433069240624")</f>
        <v>http://babel.hathitrust.org/cgi/pt?id=nyp.33433069240624</v>
      </c>
      <c r="H5639" t="str">
        <f>HYPERLINK("http://catalog.hathitrust.org/Record/008620960")</f>
        <v>http://catalog.hathitrust.org/Record/008620960</v>
      </c>
      <c r="J5639" s="1">
        <v>1866</v>
      </c>
      <c r="K5639" t="s">
        <v>7436</v>
      </c>
      <c r="L5639" t="s">
        <v>11488</v>
      </c>
    </row>
    <row r="5640" spans="1:12">
      <c r="A5640" t="s">
        <v>7437</v>
      </c>
      <c r="B5640" s="1" t="s">
        <v>7438</v>
      </c>
      <c r="F5640">
        <v>1</v>
      </c>
      <c r="G5640" t="str">
        <f>HYPERLINK("http://babel.hathitrust.org/cgi/pt?id=nyp.33433069240533")</f>
        <v>http://babel.hathitrust.org/cgi/pt?id=nyp.33433069240533</v>
      </c>
      <c r="H5640" t="str">
        <f>HYPERLINK("http://catalog.hathitrust.org/Record/008620989")</f>
        <v>http://catalog.hathitrust.org/Record/008620989</v>
      </c>
      <c r="J5640" s="1">
        <v>1840</v>
      </c>
      <c r="K5640" t="s">
        <v>7439</v>
      </c>
      <c r="L5640" t="s">
        <v>12659</v>
      </c>
    </row>
    <row r="5641" spans="1:12">
      <c r="A5641" t="s">
        <v>7440</v>
      </c>
      <c r="B5641" s="1" t="s">
        <v>7441</v>
      </c>
      <c r="F5641">
        <v>1</v>
      </c>
      <c r="G5641" t="str">
        <f>HYPERLINK("http://babel.hathitrust.org/cgi/pt?id=nyp.33433069240525")</f>
        <v>http://babel.hathitrust.org/cgi/pt?id=nyp.33433069240525</v>
      </c>
      <c r="H5641" t="str">
        <f>HYPERLINK("http://catalog.hathitrust.org/Record/008620990")</f>
        <v>http://catalog.hathitrust.org/Record/008620990</v>
      </c>
      <c r="J5641" s="1">
        <v>1843</v>
      </c>
      <c r="K5641" t="s">
        <v>7442</v>
      </c>
      <c r="L5641" t="s">
        <v>12659</v>
      </c>
    </row>
    <row r="5642" spans="1:12">
      <c r="A5642" t="s">
        <v>7443</v>
      </c>
      <c r="B5642" s="1" t="s">
        <v>7444</v>
      </c>
      <c r="F5642">
        <v>1</v>
      </c>
      <c r="G5642" t="str">
        <f>HYPERLINK("http://babel.hathitrust.org/cgi/pt?id=hvd.hxg971")</f>
        <v>http://babel.hathitrust.org/cgi/pt?id=hvd.hxg971</v>
      </c>
      <c r="H5642" t="str">
        <f>HYPERLINK("http://catalog.hathitrust.org/Record/008621158")</f>
        <v>http://catalog.hathitrust.org/Record/008621158</v>
      </c>
      <c r="I5642" s="1" t="s">
        <v>20916</v>
      </c>
      <c r="J5642" s="1">
        <v>1818</v>
      </c>
      <c r="K5642" t="s">
        <v>7445</v>
      </c>
      <c r="L5642" t="s">
        <v>19375</v>
      </c>
    </row>
    <row r="5643" spans="1:12">
      <c r="A5643" t="s">
        <v>7446</v>
      </c>
      <c r="B5643" s="1" t="s">
        <v>7444</v>
      </c>
      <c r="F5643">
        <v>1</v>
      </c>
      <c r="G5643" t="str">
        <f>HYPERLINK("http://babel.hathitrust.org/cgi/pt?id=hvd.hxvmpk")</f>
        <v>http://babel.hathitrust.org/cgi/pt?id=hvd.hxvmpk</v>
      </c>
      <c r="H5643" t="str">
        <f>HYPERLINK("http://catalog.hathitrust.org/Record/008621158")</f>
        <v>http://catalog.hathitrust.org/Record/008621158</v>
      </c>
      <c r="I5643" s="1" t="s">
        <v>20755</v>
      </c>
      <c r="J5643" s="1">
        <v>1818</v>
      </c>
      <c r="K5643" t="s">
        <v>7445</v>
      </c>
      <c r="L5643" t="s">
        <v>19375</v>
      </c>
    </row>
    <row r="5644" spans="1:12">
      <c r="A5644" t="s">
        <v>7447</v>
      </c>
      <c r="B5644" s="1" t="s">
        <v>7444</v>
      </c>
      <c r="F5644">
        <v>1</v>
      </c>
      <c r="G5644" t="str">
        <f>HYPERLINK("http://babel.hathitrust.org/cgi/pt?id=nyp.33433022672947")</f>
        <v>http://babel.hathitrust.org/cgi/pt?id=nyp.33433022672947</v>
      </c>
      <c r="H5644" t="str">
        <f>HYPERLINK("http://catalog.hathitrust.org/Record/008621158")</f>
        <v>http://catalog.hathitrust.org/Record/008621158</v>
      </c>
      <c r="I5644" s="1" t="s">
        <v>20796</v>
      </c>
      <c r="J5644" s="1">
        <v>1818</v>
      </c>
      <c r="K5644" t="s">
        <v>7445</v>
      </c>
      <c r="L5644" t="s">
        <v>19375</v>
      </c>
    </row>
    <row r="5645" spans="1:12">
      <c r="A5645" t="s">
        <v>7448</v>
      </c>
      <c r="B5645" s="1" t="s">
        <v>7444</v>
      </c>
      <c r="F5645">
        <v>1</v>
      </c>
      <c r="G5645" t="str">
        <f>HYPERLINK("http://babel.hathitrust.org/cgi/pt?id=nyp.33433022672954")</f>
        <v>http://babel.hathitrust.org/cgi/pt?id=nyp.33433022672954</v>
      </c>
      <c r="H5645" t="str">
        <f>HYPERLINK("http://catalog.hathitrust.org/Record/008621158")</f>
        <v>http://catalog.hathitrust.org/Record/008621158</v>
      </c>
      <c r="I5645" s="1" t="s">
        <v>7449</v>
      </c>
      <c r="J5645" s="1">
        <v>1818</v>
      </c>
      <c r="K5645" t="s">
        <v>7445</v>
      </c>
      <c r="L5645" t="s">
        <v>19375</v>
      </c>
    </row>
    <row r="5646" spans="1:12">
      <c r="A5646" t="s">
        <v>7450</v>
      </c>
      <c r="B5646" s="1" t="s">
        <v>7451</v>
      </c>
      <c r="E5646">
        <v>1</v>
      </c>
      <c r="G5646" t="str">
        <f>HYPERLINK("http://babel.hathitrust.org/cgi/pt?id=nyp.33433067416853")</f>
        <v>http://babel.hathitrust.org/cgi/pt?id=nyp.33433067416853</v>
      </c>
      <c r="H5646" t="str">
        <f>HYPERLINK("http://catalog.hathitrust.org/Record/008622623")</f>
        <v>http://catalog.hathitrust.org/Record/008622623</v>
      </c>
      <c r="J5646" s="1">
        <v>1853</v>
      </c>
      <c r="K5646" t="s">
        <v>7452</v>
      </c>
      <c r="L5646" t="s">
        <v>7364</v>
      </c>
    </row>
    <row r="5647" spans="1:12">
      <c r="A5647" t="s">
        <v>7365</v>
      </c>
      <c r="B5647" s="1" t="s">
        <v>7366</v>
      </c>
      <c r="F5647">
        <v>1</v>
      </c>
      <c r="G5647" t="str">
        <f>HYPERLINK("http://babel.hathitrust.org/cgi/pt?id=nyp.33433068249097")</f>
        <v>http://babel.hathitrust.org/cgi/pt?id=nyp.33433068249097</v>
      </c>
      <c r="H5647" t="str">
        <f>HYPERLINK("http://catalog.hathitrust.org/Record/008626190")</f>
        <v>http://catalog.hathitrust.org/Record/008626190</v>
      </c>
      <c r="J5647" s="1">
        <v>1826</v>
      </c>
      <c r="K5647" t="s">
        <v>7367</v>
      </c>
      <c r="L5647" t="s">
        <v>7368</v>
      </c>
    </row>
    <row r="5648" spans="1:12">
      <c r="A5648" t="s">
        <v>7369</v>
      </c>
      <c r="B5648" s="1" t="s">
        <v>7370</v>
      </c>
      <c r="F5648">
        <v>1</v>
      </c>
      <c r="G5648" t="str">
        <f>HYPERLINK("http://babel.hathitrust.org/cgi/pt?id=nyp.33433069251381")</f>
        <v>http://babel.hathitrust.org/cgi/pt?id=nyp.33433069251381</v>
      </c>
      <c r="H5648" t="str">
        <f>HYPERLINK("http://catalog.hathitrust.org/Record/008628587")</f>
        <v>http://catalog.hathitrust.org/Record/008628587</v>
      </c>
      <c r="I5648" s="1" t="s">
        <v>20701</v>
      </c>
      <c r="J5648" s="1">
        <v>1884</v>
      </c>
      <c r="K5648" t="s">
        <v>7371</v>
      </c>
    </row>
    <row r="5649" spans="1:12">
      <c r="A5649" t="s">
        <v>7372</v>
      </c>
      <c r="B5649" s="1" t="s">
        <v>7373</v>
      </c>
      <c r="F5649">
        <v>1</v>
      </c>
      <c r="G5649" t="str">
        <f>HYPERLINK("http://babel.hathitrust.org/cgi/pt?id=nyp.33433070243377")</f>
        <v>http://babel.hathitrust.org/cgi/pt?id=nyp.33433070243377</v>
      </c>
      <c r="H5649" t="str">
        <f>HYPERLINK("http://catalog.hathitrust.org/Record/008628599")</f>
        <v>http://catalog.hathitrust.org/Record/008628599</v>
      </c>
      <c r="J5649" s="1">
        <v>1844</v>
      </c>
      <c r="K5649" t="s">
        <v>11954</v>
      </c>
      <c r="L5649" t="s">
        <v>15032</v>
      </c>
    </row>
    <row r="5650" spans="1:12">
      <c r="A5650" t="s">
        <v>7374</v>
      </c>
      <c r="B5650" s="1" t="s">
        <v>7375</v>
      </c>
      <c r="F5650">
        <v>1</v>
      </c>
      <c r="G5650" t="str">
        <f>HYPERLINK("http://babel.hathitrust.org/cgi/pt?id=nyp.33433069240954")</f>
        <v>http://babel.hathitrust.org/cgi/pt?id=nyp.33433069240954</v>
      </c>
      <c r="H5650" t="str">
        <f>HYPERLINK("http://catalog.hathitrust.org/Record/008628602")</f>
        <v>http://catalog.hathitrust.org/Record/008628602</v>
      </c>
      <c r="J5650" s="1">
        <v>1857</v>
      </c>
      <c r="K5650" t="s">
        <v>7376</v>
      </c>
    </row>
    <row r="5651" spans="1:12">
      <c r="A5651" t="s">
        <v>7377</v>
      </c>
      <c r="B5651" s="1" t="s">
        <v>7378</v>
      </c>
      <c r="F5651">
        <v>1</v>
      </c>
      <c r="G5651" t="str">
        <f>HYPERLINK("http://babel.hathitrust.org/cgi/pt?id=nyp.33433069240988")</f>
        <v>http://babel.hathitrust.org/cgi/pt?id=nyp.33433069240988</v>
      </c>
      <c r="H5651" t="str">
        <f>HYPERLINK("http://catalog.hathitrust.org/Record/008628606")</f>
        <v>http://catalog.hathitrust.org/Record/008628606</v>
      </c>
      <c r="I5651" s="1" t="s">
        <v>20799</v>
      </c>
      <c r="J5651" s="1">
        <v>1798</v>
      </c>
      <c r="K5651" t="s">
        <v>7379</v>
      </c>
      <c r="L5651" t="s">
        <v>7380</v>
      </c>
    </row>
    <row r="5652" spans="1:12">
      <c r="A5652" t="s">
        <v>7381</v>
      </c>
      <c r="B5652" s="1" t="s">
        <v>7378</v>
      </c>
      <c r="F5652">
        <v>1</v>
      </c>
      <c r="G5652" t="str">
        <f>HYPERLINK("http://babel.hathitrust.org/cgi/pt?id=nyp.33433069240996")</f>
        <v>http://babel.hathitrust.org/cgi/pt?id=nyp.33433069240996</v>
      </c>
      <c r="H5652" t="str">
        <f>HYPERLINK("http://catalog.hathitrust.org/Record/008628606")</f>
        <v>http://catalog.hathitrust.org/Record/008628606</v>
      </c>
      <c r="I5652" s="1" t="s">
        <v>20796</v>
      </c>
      <c r="J5652" s="1">
        <v>1798</v>
      </c>
      <c r="K5652" t="s">
        <v>7379</v>
      </c>
      <c r="L5652" t="s">
        <v>7380</v>
      </c>
    </row>
    <row r="5653" spans="1:12">
      <c r="A5653" t="s">
        <v>7382</v>
      </c>
      <c r="B5653" s="1" t="s">
        <v>7383</v>
      </c>
      <c r="F5653">
        <v>1</v>
      </c>
      <c r="G5653" t="str">
        <f>HYPERLINK("http://babel.hathitrust.org/cgi/pt?id=nyp.33433069240921")</f>
        <v>http://babel.hathitrust.org/cgi/pt?id=nyp.33433069240921</v>
      </c>
      <c r="H5653" t="str">
        <f>HYPERLINK("http://catalog.hathitrust.org/Record/008628607")</f>
        <v>http://catalog.hathitrust.org/Record/008628607</v>
      </c>
      <c r="I5653" s="1" t="s">
        <v>20799</v>
      </c>
      <c r="J5653" s="1">
        <v>1806</v>
      </c>
      <c r="K5653" t="s">
        <v>7384</v>
      </c>
      <c r="L5653" t="s">
        <v>7380</v>
      </c>
    </row>
    <row r="5654" spans="1:12">
      <c r="A5654" t="s">
        <v>7385</v>
      </c>
      <c r="B5654" s="1" t="s">
        <v>7383</v>
      </c>
      <c r="F5654">
        <v>1</v>
      </c>
      <c r="G5654" t="str">
        <f>HYPERLINK("http://babel.hathitrust.org/cgi/pt?id=nyp.33433069240939")</f>
        <v>http://babel.hathitrust.org/cgi/pt?id=nyp.33433069240939</v>
      </c>
      <c r="H5654" t="str">
        <f>HYPERLINK("http://catalog.hathitrust.org/Record/008628607")</f>
        <v>http://catalog.hathitrust.org/Record/008628607</v>
      </c>
      <c r="I5654" s="1" t="s">
        <v>20796</v>
      </c>
      <c r="J5654" s="1">
        <v>1806</v>
      </c>
      <c r="K5654" t="s">
        <v>7384</v>
      </c>
      <c r="L5654" t="s">
        <v>7380</v>
      </c>
    </row>
    <row r="5655" spans="1:12">
      <c r="A5655" t="s">
        <v>7386</v>
      </c>
      <c r="B5655" s="1" t="s">
        <v>7387</v>
      </c>
      <c r="F5655">
        <v>1</v>
      </c>
      <c r="G5655" t="str">
        <f>HYPERLINK("http://babel.hathitrust.org/cgi/pt?id=nyp.33433068992035")</f>
        <v>http://babel.hathitrust.org/cgi/pt?id=nyp.33433068992035</v>
      </c>
      <c r="H5655" t="str">
        <f>HYPERLINK("http://catalog.hathitrust.org/Record/008634145")</f>
        <v>http://catalog.hathitrust.org/Record/008634145</v>
      </c>
      <c r="J5655" s="1">
        <v>1898</v>
      </c>
      <c r="K5655" t="s">
        <v>7388</v>
      </c>
      <c r="L5655" t="s">
        <v>7389</v>
      </c>
    </row>
    <row r="5656" spans="1:12">
      <c r="A5656" t="s">
        <v>7390</v>
      </c>
      <c r="B5656" s="1" t="s">
        <v>7391</v>
      </c>
      <c r="F5656">
        <v>1</v>
      </c>
      <c r="G5656" t="str">
        <f>HYPERLINK("http://babel.hathitrust.org/cgi/pt?id=nyp.33433069254419")</f>
        <v>http://babel.hathitrust.org/cgi/pt?id=nyp.33433069254419</v>
      </c>
      <c r="H5656" t="str">
        <f>HYPERLINK("http://catalog.hathitrust.org/Record/008634822")</f>
        <v>http://catalog.hathitrust.org/Record/008634822</v>
      </c>
      <c r="I5656" s="1" t="s">
        <v>7393</v>
      </c>
      <c r="J5656" s="1">
        <v>1910</v>
      </c>
      <c r="K5656" t="s">
        <v>7392</v>
      </c>
    </row>
    <row r="5657" spans="1:12">
      <c r="A5657" t="s">
        <v>7394</v>
      </c>
      <c r="B5657" s="1" t="s">
        <v>7395</v>
      </c>
      <c r="F5657">
        <v>1</v>
      </c>
      <c r="G5657" t="str">
        <f>HYPERLINK("http://babel.hathitrust.org/cgi/pt?id=nyp.33433069254039")</f>
        <v>http://babel.hathitrust.org/cgi/pt?id=nyp.33433069254039</v>
      </c>
      <c r="H5657" t="str">
        <f>HYPERLINK("http://catalog.hathitrust.org/Record/008634826")</f>
        <v>http://catalog.hathitrust.org/Record/008634826</v>
      </c>
      <c r="I5657" s="1" t="s">
        <v>7397</v>
      </c>
      <c r="J5657" s="1">
        <v>1891</v>
      </c>
      <c r="K5657" t="s">
        <v>7396</v>
      </c>
    </row>
    <row r="5658" spans="1:12">
      <c r="A5658" t="s">
        <v>7398</v>
      </c>
      <c r="B5658" s="1" t="s">
        <v>7399</v>
      </c>
      <c r="F5658">
        <v>1</v>
      </c>
      <c r="G5658" t="str">
        <f>HYPERLINK("http://babel.hathitrust.org/cgi/pt?id=nyp.33433069252538")</f>
        <v>http://babel.hathitrust.org/cgi/pt?id=nyp.33433069252538</v>
      </c>
      <c r="H5658" t="str">
        <f>HYPERLINK("http://catalog.hathitrust.org/Record/008634827")</f>
        <v>http://catalog.hathitrust.org/Record/008634827</v>
      </c>
      <c r="I5658" s="1" t="s">
        <v>7401</v>
      </c>
      <c r="J5658" s="1">
        <v>1849</v>
      </c>
      <c r="K5658" t="s">
        <v>7400</v>
      </c>
    </row>
    <row r="5659" spans="1:12">
      <c r="A5659" t="s">
        <v>7402</v>
      </c>
      <c r="B5659" s="1" t="s">
        <v>7399</v>
      </c>
      <c r="F5659">
        <v>1</v>
      </c>
      <c r="G5659" t="str">
        <f>HYPERLINK("http://babel.hathitrust.org/cgi/pt?id=nyp.33433069252843")</f>
        <v>http://babel.hathitrust.org/cgi/pt?id=nyp.33433069252843</v>
      </c>
      <c r="H5659" t="str">
        <f>HYPERLINK("http://catalog.hathitrust.org/Record/008634827")</f>
        <v>http://catalog.hathitrust.org/Record/008634827</v>
      </c>
      <c r="I5659" s="1" t="s">
        <v>7403</v>
      </c>
      <c r="J5659" s="1">
        <v>1849</v>
      </c>
      <c r="K5659" t="s">
        <v>7400</v>
      </c>
    </row>
    <row r="5660" spans="1:12">
      <c r="A5660" t="s">
        <v>7404</v>
      </c>
      <c r="B5660" s="1" t="s">
        <v>7405</v>
      </c>
      <c r="F5660">
        <v>1</v>
      </c>
      <c r="G5660" t="str">
        <f>HYPERLINK("http://babel.hathitrust.org/cgi/pt?id=nyp.33433069251399")</f>
        <v>http://babel.hathitrust.org/cgi/pt?id=nyp.33433069251399</v>
      </c>
      <c r="H5660" t="str">
        <f>HYPERLINK("http://catalog.hathitrust.org/Record/008634828")</f>
        <v>http://catalog.hathitrust.org/Record/008634828</v>
      </c>
      <c r="I5660" s="1" t="s">
        <v>7407</v>
      </c>
      <c r="J5660" s="1">
        <v>1830</v>
      </c>
      <c r="K5660" t="s">
        <v>7406</v>
      </c>
      <c r="L5660" t="s">
        <v>7408</v>
      </c>
    </row>
    <row r="5661" spans="1:12">
      <c r="A5661" t="s">
        <v>7409</v>
      </c>
      <c r="B5661" s="1" t="s">
        <v>7410</v>
      </c>
      <c r="F5661">
        <v>1</v>
      </c>
      <c r="G5661" t="str">
        <f>HYPERLINK("http://babel.hathitrust.org/cgi/pt?id=nyp.33433059330963")</f>
        <v>http://babel.hathitrust.org/cgi/pt?id=nyp.33433059330963</v>
      </c>
      <c r="H5661" t="str">
        <f>HYPERLINK("http://catalog.hathitrust.org/Record/008636230")</f>
        <v>http://catalog.hathitrust.org/Record/008636230</v>
      </c>
      <c r="J5661" s="1">
        <v>1912</v>
      </c>
      <c r="K5661" t="s">
        <v>17741</v>
      </c>
      <c r="L5661" t="s">
        <v>19690</v>
      </c>
    </row>
    <row r="5662" spans="1:12">
      <c r="A5662" t="s">
        <v>7411</v>
      </c>
      <c r="B5662" s="1" t="s">
        <v>7412</v>
      </c>
      <c r="F5662">
        <v>1</v>
      </c>
      <c r="G5662" t="str">
        <f>HYPERLINK("http://babel.hathitrust.org/cgi/pt?id=nyp.33433082540265")</f>
        <v>http://babel.hathitrust.org/cgi/pt?id=nyp.33433082540265</v>
      </c>
      <c r="H5662" t="str">
        <f>HYPERLINK("http://catalog.hathitrust.org/Record/008637389")</f>
        <v>http://catalog.hathitrust.org/Record/008637389</v>
      </c>
      <c r="I5662" s="1" t="s">
        <v>20803</v>
      </c>
      <c r="J5662" s="1">
        <v>1783</v>
      </c>
      <c r="K5662" t="s">
        <v>20085</v>
      </c>
      <c r="L5662" t="s">
        <v>20086</v>
      </c>
    </row>
    <row r="5663" spans="1:12">
      <c r="A5663" t="s">
        <v>7413</v>
      </c>
      <c r="B5663" s="1" t="s">
        <v>7412</v>
      </c>
      <c r="F5663">
        <v>1</v>
      </c>
      <c r="G5663" t="str">
        <f>HYPERLINK("http://babel.hathitrust.org/cgi/pt?id=nyp.33433082540273")</f>
        <v>http://babel.hathitrust.org/cgi/pt?id=nyp.33433082540273</v>
      </c>
      <c r="H5663" t="str">
        <f>HYPERLINK("http://catalog.hathitrust.org/Record/008637389")</f>
        <v>http://catalog.hathitrust.org/Record/008637389</v>
      </c>
      <c r="I5663" s="1" t="s">
        <v>20801</v>
      </c>
      <c r="J5663" s="1">
        <v>1783</v>
      </c>
      <c r="K5663" t="s">
        <v>20085</v>
      </c>
      <c r="L5663" t="s">
        <v>20086</v>
      </c>
    </row>
    <row r="5664" spans="1:12">
      <c r="A5664" t="s">
        <v>7414</v>
      </c>
      <c r="B5664" s="1" t="s">
        <v>7412</v>
      </c>
      <c r="F5664">
        <v>1</v>
      </c>
      <c r="G5664" t="str">
        <f>HYPERLINK("http://babel.hathitrust.org/cgi/pt?id=nyp.33433082540281")</f>
        <v>http://babel.hathitrust.org/cgi/pt?id=nyp.33433082540281</v>
      </c>
      <c r="H5664" t="str">
        <f>HYPERLINK("http://catalog.hathitrust.org/Record/008637389")</f>
        <v>http://catalog.hathitrust.org/Record/008637389</v>
      </c>
      <c r="I5664" s="1" t="s">
        <v>20799</v>
      </c>
      <c r="J5664" s="1">
        <v>1783</v>
      </c>
      <c r="K5664" t="s">
        <v>20085</v>
      </c>
      <c r="L5664" t="s">
        <v>20086</v>
      </c>
    </row>
    <row r="5665" spans="1:12">
      <c r="A5665" t="s">
        <v>7415</v>
      </c>
      <c r="B5665" s="1" t="s">
        <v>7292</v>
      </c>
      <c r="F5665">
        <v>1</v>
      </c>
      <c r="G5665" t="str">
        <f>HYPERLINK("http://babel.hathitrust.org/cgi/pt?id=nyp.33433082199930")</f>
        <v>http://babel.hathitrust.org/cgi/pt?id=nyp.33433082199930</v>
      </c>
      <c r="H5665" t="str">
        <f>HYPERLINK("http://catalog.hathitrust.org/Record/008637390")</f>
        <v>http://catalog.hathitrust.org/Record/008637390</v>
      </c>
      <c r="J5665" s="1">
        <v>1859</v>
      </c>
      <c r="K5665" t="s">
        <v>7293</v>
      </c>
      <c r="L5665" t="s">
        <v>20086</v>
      </c>
    </row>
    <row r="5666" spans="1:12">
      <c r="A5666" t="s">
        <v>7294</v>
      </c>
      <c r="B5666" s="1" t="s">
        <v>7295</v>
      </c>
      <c r="F5666">
        <v>1</v>
      </c>
      <c r="G5666" t="str">
        <f>HYPERLINK("http://babel.hathitrust.org/cgi/pt?id=hvd.hxg8he")</f>
        <v>http://babel.hathitrust.org/cgi/pt?id=hvd.hxg8he</v>
      </c>
      <c r="H5666" t="str">
        <f>HYPERLINK("http://catalog.hathitrust.org/Record/008637684")</f>
        <v>http://catalog.hathitrust.org/Record/008637684</v>
      </c>
      <c r="I5666" s="1" t="s">
        <v>20920</v>
      </c>
      <c r="J5666" s="1">
        <v>1819</v>
      </c>
      <c r="K5666" t="s">
        <v>20085</v>
      </c>
      <c r="L5666" t="s">
        <v>20086</v>
      </c>
    </row>
    <row r="5667" spans="1:12">
      <c r="A5667" t="s">
        <v>7296</v>
      </c>
      <c r="B5667" s="1" t="s">
        <v>7295</v>
      </c>
      <c r="F5667">
        <v>1</v>
      </c>
      <c r="G5667" t="str">
        <f>HYPERLINK("http://babel.hathitrust.org/cgi/pt?id=hvd.hxg8hf")</f>
        <v>http://babel.hathitrust.org/cgi/pt?id=hvd.hxg8hf</v>
      </c>
      <c r="H5667" t="str">
        <f>HYPERLINK("http://catalog.hathitrust.org/Record/008637684")</f>
        <v>http://catalog.hathitrust.org/Record/008637684</v>
      </c>
      <c r="I5667" s="1" t="s">
        <v>20916</v>
      </c>
      <c r="J5667" s="1">
        <v>1819</v>
      </c>
      <c r="K5667" t="s">
        <v>20085</v>
      </c>
      <c r="L5667" t="s">
        <v>20086</v>
      </c>
    </row>
    <row r="5668" spans="1:12">
      <c r="A5668" t="s">
        <v>7297</v>
      </c>
      <c r="B5668" s="1" t="s">
        <v>7295</v>
      </c>
      <c r="F5668">
        <v>1</v>
      </c>
      <c r="G5668" t="str">
        <f>HYPERLINK("http://babel.hathitrust.org/cgi/pt?id=nyp.33433082540307")</f>
        <v>http://babel.hathitrust.org/cgi/pt?id=nyp.33433082540307</v>
      </c>
      <c r="H5668" t="str">
        <f>HYPERLINK("http://catalog.hathitrust.org/Record/008637684")</f>
        <v>http://catalog.hathitrust.org/Record/008637684</v>
      </c>
      <c r="I5668" s="1" t="s">
        <v>20799</v>
      </c>
      <c r="J5668" s="1">
        <v>1819</v>
      </c>
      <c r="K5668" t="s">
        <v>20085</v>
      </c>
      <c r="L5668" t="s">
        <v>20086</v>
      </c>
    </row>
    <row r="5669" spans="1:12">
      <c r="A5669" t="s">
        <v>7298</v>
      </c>
      <c r="B5669" s="1" t="s">
        <v>7295</v>
      </c>
      <c r="F5669">
        <v>1</v>
      </c>
      <c r="G5669" t="str">
        <f>HYPERLINK("http://babel.hathitrust.org/cgi/pt?id=nyp.33433082540315")</f>
        <v>http://babel.hathitrust.org/cgi/pt?id=nyp.33433082540315</v>
      </c>
      <c r="H5669" t="str">
        <f>HYPERLINK("http://catalog.hathitrust.org/Record/008637684")</f>
        <v>http://catalog.hathitrust.org/Record/008637684</v>
      </c>
      <c r="I5669" s="1" t="s">
        <v>20801</v>
      </c>
      <c r="J5669" s="1">
        <v>1819</v>
      </c>
      <c r="K5669" t="s">
        <v>20085</v>
      </c>
      <c r="L5669" t="s">
        <v>20086</v>
      </c>
    </row>
    <row r="5670" spans="1:12">
      <c r="A5670" t="s">
        <v>7299</v>
      </c>
      <c r="B5670" s="1" t="s">
        <v>7300</v>
      </c>
      <c r="D5670">
        <v>1</v>
      </c>
      <c r="G5670" t="str">
        <f>HYPERLINK("http://babel.hathitrust.org/cgi/pt?id=nyp.33433082540588")</f>
        <v>http://babel.hathitrust.org/cgi/pt?id=nyp.33433082540588</v>
      </c>
      <c r="H5670" t="str">
        <f>HYPERLINK("http://catalog.hathitrust.org/Record/008637686")</f>
        <v>http://catalog.hathitrust.org/Record/008637686</v>
      </c>
      <c r="I5670" s="1" t="s">
        <v>20796</v>
      </c>
      <c r="J5670" s="1">
        <v>1826</v>
      </c>
      <c r="K5670" t="s">
        <v>7301</v>
      </c>
      <c r="L5670" t="s">
        <v>20086</v>
      </c>
    </row>
    <row r="5671" spans="1:12">
      <c r="A5671" t="s">
        <v>7302</v>
      </c>
      <c r="B5671" s="1" t="s">
        <v>7300</v>
      </c>
      <c r="D5671">
        <v>1</v>
      </c>
      <c r="G5671" t="str">
        <f>HYPERLINK("http://babel.hathitrust.org/cgi/pt?id=nyp.33433082540596")</f>
        <v>http://babel.hathitrust.org/cgi/pt?id=nyp.33433082540596</v>
      </c>
      <c r="H5671" t="str">
        <f>HYPERLINK("http://catalog.hathitrust.org/Record/008637686")</f>
        <v>http://catalog.hathitrust.org/Record/008637686</v>
      </c>
      <c r="I5671" s="1" t="s">
        <v>20799</v>
      </c>
      <c r="J5671" s="1">
        <v>1826</v>
      </c>
      <c r="K5671" t="s">
        <v>7301</v>
      </c>
      <c r="L5671" t="s">
        <v>20086</v>
      </c>
    </row>
    <row r="5672" spans="1:12">
      <c r="A5672" t="s">
        <v>7303</v>
      </c>
      <c r="B5672" s="1" t="s">
        <v>7304</v>
      </c>
      <c r="D5672">
        <v>1</v>
      </c>
      <c r="G5672" t="str">
        <f>HYPERLINK("http://babel.hathitrust.org/cgi/pt?id=nyp.33433082199955")</f>
        <v>http://babel.hathitrust.org/cgi/pt?id=nyp.33433082199955</v>
      </c>
      <c r="H5672" t="str">
        <f>HYPERLINK("http://catalog.hathitrust.org/Record/008637687")</f>
        <v>http://catalog.hathitrust.org/Record/008637687</v>
      </c>
      <c r="J5672" s="1">
        <v>1831</v>
      </c>
      <c r="K5672" t="s">
        <v>7305</v>
      </c>
      <c r="L5672" t="s">
        <v>20086</v>
      </c>
    </row>
    <row r="5673" spans="1:12">
      <c r="A5673" t="s">
        <v>7306</v>
      </c>
      <c r="B5673" s="1" t="s">
        <v>7307</v>
      </c>
      <c r="D5673">
        <v>1</v>
      </c>
      <c r="G5673" t="str">
        <f>HYPERLINK("http://babel.hathitrust.org/cgi/pt?id=nyp.33433082198643")</f>
        <v>http://babel.hathitrust.org/cgi/pt?id=nyp.33433082198643</v>
      </c>
      <c r="H5673" t="str">
        <f>HYPERLINK("http://catalog.hathitrust.org/Record/008637688")</f>
        <v>http://catalog.hathitrust.org/Record/008637688</v>
      </c>
      <c r="I5673" s="1" t="s">
        <v>20701</v>
      </c>
      <c r="J5673" s="1">
        <v>1858</v>
      </c>
      <c r="K5673" t="s">
        <v>7308</v>
      </c>
      <c r="L5673" t="s">
        <v>20086</v>
      </c>
    </row>
    <row r="5674" spans="1:12">
      <c r="A5674" t="s">
        <v>7309</v>
      </c>
      <c r="B5674" s="1" t="s">
        <v>7310</v>
      </c>
      <c r="E5674">
        <v>1</v>
      </c>
      <c r="F5674">
        <v>1</v>
      </c>
      <c r="G5674" t="str">
        <f>HYPERLINK("http://babel.hathitrust.org/cgi/pt?id=nyp.33433082199963")</f>
        <v>http://babel.hathitrust.org/cgi/pt?id=nyp.33433082199963</v>
      </c>
      <c r="H5674" t="str">
        <f t="shared" ref="H5674:H5679" si="63">HYPERLINK("http://catalog.hathitrust.org/Record/008638506")</f>
        <v>http://catalog.hathitrust.org/Record/008638506</v>
      </c>
      <c r="I5674" s="1" t="s">
        <v>20796</v>
      </c>
      <c r="J5674" s="1">
        <v>1854</v>
      </c>
      <c r="K5674" t="s">
        <v>7311</v>
      </c>
      <c r="L5674" t="s">
        <v>20086</v>
      </c>
    </row>
    <row r="5675" spans="1:12">
      <c r="A5675" t="s">
        <v>7312</v>
      </c>
      <c r="B5675" s="1" t="s">
        <v>7310</v>
      </c>
      <c r="E5675">
        <v>1</v>
      </c>
      <c r="F5675">
        <v>1</v>
      </c>
      <c r="G5675" t="str">
        <f>HYPERLINK("http://babel.hathitrust.org/cgi/pt?id=nyp.33433082199971")</f>
        <v>http://babel.hathitrust.org/cgi/pt?id=nyp.33433082199971</v>
      </c>
      <c r="H5675" t="str">
        <f t="shared" si="63"/>
        <v>http://catalog.hathitrust.org/Record/008638506</v>
      </c>
      <c r="I5675" s="1" t="s">
        <v>20799</v>
      </c>
      <c r="J5675" s="1">
        <v>1854</v>
      </c>
      <c r="K5675" t="s">
        <v>7311</v>
      </c>
      <c r="L5675" t="s">
        <v>20086</v>
      </c>
    </row>
    <row r="5676" spans="1:12">
      <c r="A5676" t="s">
        <v>7313</v>
      </c>
      <c r="B5676" s="1" t="s">
        <v>7310</v>
      </c>
      <c r="E5676">
        <v>1</v>
      </c>
      <c r="F5676">
        <v>1</v>
      </c>
      <c r="G5676" t="str">
        <f>HYPERLINK("http://babel.hathitrust.org/cgi/pt?id=nyp.33433082199989")</f>
        <v>http://babel.hathitrust.org/cgi/pt?id=nyp.33433082199989</v>
      </c>
      <c r="H5676" t="str">
        <f t="shared" si="63"/>
        <v>http://catalog.hathitrust.org/Record/008638506</v>
      </c>
      <c r="I5676" s="1" t="s">
        <v>20801</v>
      </c>
      <c r="J5676" s="1">
        <v>1854</v>
      </c>
      <c r="K5676" t="s">
        <v>7311</v>
      </c>
      <c r="L5676" t="s">
        <v>20086</v>
      </c>
    </row>
    <row r="5677" spans="1:12">
      <c r="A5677" t="s">
        <v>7314</v>
      </c>
      <c r="B5677" s="1" t="s">
        <v>7310</v>
      </c>
      <c r="E5677">
        <v>1</v>
      </c>
      <c r="F5677">
        <v>1</v>
      </c>
      <c r="G5677" t="str">
        <f>HYPERLINK("http://babel.hathitrust.org/cgi/pt?id=nyp.33433082199997")</f>
        <v>http://babel.hathitrust.org/cgi/pt?id=nyp.33433082199997</v>
      </c>
      <c r="H5677" t="str">
        <f t="shared" si="63"/>
        <v>http://catalog.hathitrust.org/Record/008638506</v>
      </c>
      <c r="I5677" s="1" t="s">
        <v>20803</v>
      </c>
      <c r="J5677" s="1">
        <v>1854</v>
      </c>
      <c r="K5677" t="s">
        <v>7311</v>
      </c>
      <c r="L5677" t="s">
        <v>20086</v>
      </c>
    </row>
    <row r="5678" spans="1:12">
      <c r="A5678" t="s">
        <v>7315</v>
      </c>
      <c r="B5678" s="1" t="s">
        <v>7310</v>
      </c>
      <c r="F5678">
        <v>1</v>
      </c>
      <c r="G5678" t="str">
        <f>HYPERLINK("http://babel.hathitrust.org/cgi/pt?id=uva.x002056040")</f>
        <v>http://babel.hathitrust.org/cgi/pt?id=uva.x002056040</v>
      </c>
      <c r="H5678" t="str">
        <f t="shared" si="63"/>
        <v>http://catalog.hathitrust.org/Record/008638506</v>
      </c>
      <c r="I5678" s="1" t="s">
        <v>20679</v>
      </c>
      <c r="J5678" s="1">
        <v>1854</v>
      </c>
      <c r="K5678" t="s">
        <v>7311</v>
      </c>
      <c r="L5678" t="s">
        <v>20086</v>
      </c>
    </row>
    <row r="5679" spans="1:12">
      <c r="A5679" t="s">
        <v>7316</v>
      </c>
      <c r="B5679" s="1" t="s">
        <v>7310</v>
      </c>
      <c r="F5679">
        <v>1</v>
      </c>
      <c r="G5679" t="str">
        <f>HYPERLINK("http://babel.hathitrust.org/cgi/pt?id=uva.x004078217")</f>
        <v>http://babel.hathitrust.org/cgi/pt?id=uva.x004078217</v>
      </c>
      <c r="H5679" t="str">
        <f t="shared" si="63"/>
        <v>http://catalog.hathitrust.org/Record/008638506</v>
      </c>
      <c r="I5679" s="1" t="s">
        <v>20755</v>
      </c>
      <c r="J5679" s="1">
        <v>1854</v>
      </c>
      <c r="K5679" t="s">
        <v>7311</v>
      </c>
      <c r="L5679" t="s">
        <v>20086</v>
      </c>
    </row>
    <row r="5680" spans="1:12">
      <c r="A5680" t="s">
        <v>7317</v>
      </c>
      <c r="B5680" s="1" t="s">
        <v>7318</v>
      </c>
      <c r="F5680">
        <v>1</v>
      </c>
      <c r="G5680" t="str">
        <f>HYPERLINK("http://babel.hathitrust.org/cgi/pt?id=nyp.33433082473459")</f>
        <v>http://babel.hathitrust.org/cgi/pt?id=nyp.33433082473459</v>
      </c>
      <c r="H5680" t="str">
        <f>HYPERLINK("http://catalog.hathitrust.org/Record/008642822")</f>
        <v>http://catalog.hathitrust.org/Record/008642822</v>
      </c>
      <c r="I5680" s="1" t="s">
        <v>20799</v>
      </c>
      <c r="J5680" s="1">
        <v>1884</v>
      </c>
      <c r="K5680" t="s">
        <v>10385</v>
      </c>
      <c r="L5680" t="s">
        <v>10386</v>
      </c>
    </row>
    <row r="5681" spans="1:12">
      <c r="A5681" t="s">
        <v>7319</v>
      </c>
      <c r="B5681" s="1" t="s">
        <v>7318</v>
      </c>
      <c r="F5681">
        <v>1</v>
      </c>
      <c r="G5681" t="str">
        <f>HYPERLINK("http://babel.hathitrust.org/cgi/pt?id=nyp.33433082473467")</f>
        <v>http://babel.hathitrust.org/cgi/pt?id=nyp.33433082473467</v>
      </c>
      <c r="H5681" t="str">
        <f>HYPERLINK("http://catalog.hathitrust.org/Record/008642822")</f>
        <v>http://catalog.hathitrust.org/Record/008642822</v>
      </c>
      <c r="I5681" s="1" t="s">
        <v>20796</v>
      </c>
      <c r="J5681" s="1">
        <v>1884</v>
      </c>
      <c r="K5681" t="s">
        <v>10385</v>
      </c>
      <c r="L5681" t="s">
        <v>10386</v>
      </c>
    </row>
    <row r="5682" spans="1:12">
      <c r="A5682" t="s">
        <v>7320</v>
      </c>
      <c r="B5682" s="1" t="s">
        <v>7321</v>
      </c>
      <c r="E5682">
        <v>1</v>
      </c>
      <c r="G5682" t="str">
        <f>HYPERLINK("http://babel.hathitrust.org/cgi/pt?id=nyp.33433071358208")</f>
        <v>http://babel.hathitrust.org/cgi/pt?id=nyp.33433071358208</v>
      </c>
      <c r="H5682" t="str">
        <f>HYPERLINK("http://catalog.hathitrust.org/Record/008645400")</f>
        <v>http://catalog.hathitrust.org/Record/008645400</v>
      </c>
      <c r="I5682" s="1" t="s">
        <v>20796</v>
      </c>
      <c r="J5682" s="1">
        <v>1850</v>
      </c>
      <c r="K5682" t="s">
        <v>7322</v>
      </c>
      <c r="L5682" t="s">
        <v>20675</v>
      </c>
    </row>
    <row r="5683" spans="1:12">
      <c r="A5683" t="s">
        <v>7323</v>
      </c>
      <c r="B5683" s="1" t="s">
        <v>7324</v>
      </c>
      <c r="F5683">
        <v>1</v>
      </c>
      <c r="G5683" t="str">
        <f>HYPERLINK("http://babel.hathitrust.org/cgi/pt?id=nyp.33433082509559")</f>
        <v>http://babel.hathitrust.org/cgi/pt?id=nyp.33433082509559</v>
      </c>
      <c r="H5683" t="str">
        <f>HYPERLINK("http://catalog.hathitrust.org/Record/008653849")</f>
        <v>http://catalog.hathitrust.org/Record/008653849</v>
      </c>
      <c r="I5683" s="1" t="s">
        <v>20801</v>
      </c>
      <c r="J5683" s="1">
        <v>1809</v>
      </c>
      <c r="K5683" t="s">
        <v>16161</v>
      </c>
      <c r="L5683" t="s">
        <v>19694</v>
      </c>
    </row>
    <row r="5684" spans="1:12">
      <c r="A5684" t="s">
        <v>7325</v>
      </c>
      <c r="B5684" s="1" t="s">
        <v>7324</v>
      </c>
      <c r="F5684">
        <v>1</v>
      </c>
      <c r="G5684" t="str">
        <f>HYPERLINK("http://babel.hathitrust.org/cgi/pt?id=nyp.33433082509567")</f>
        <v>http://babel.hathitrust.org/cgi/pt?id=nyp.33433082509567</v>
      </c>
      <c r="H5684" t="str">
        <f>HYPERLINK("http://catalog.hathitrust.org/Record/008653849")</f>
        <v>http://catalog.hathitrust.org/Record/008653849</v>
      </c>
      <c r="I5684" s="1" t="s">
        <v>20799</v>
      </c>
      <c r="J5684" s="1">
        <v>1809</v>
      </c>
      <c r="K5684" t="s">
        <v>16161</v>
      </c>
      <c r="L5684" t="s">
        <v>19694</v>
      </c>
    </row>
    <row r="5685" spans="1:12">
      <c r="A5685" t="s">
        <v>7326</v>
      </c>
      <c r="B5685" s="1" t="s">
        <v>7324</v>
      </c>
      <c r="F5685">
        <v>1</v>
      </c>
      <c r="G5685" t="str">
        <f>HYPERLINK("http://babel.hathitrust.org/cgi/pt?id=nyp.33433082509575")</f>
        <v>http://babel.hathitrust.org/cgi/pt?id=nyp.33433082509575</v>
      </c>
      <c r="H5685" t="str">
        <f>HYPERLINK("http://catalog.hathitrust.org/Record/008653849")</f>
        <v>http://catalog.hathitrust.org/Record/008653849</v>
      </c>
      <c r="I5685" s="1" t="s">
        <v>20796</v>
      </c>
      <c r="J5685" s="1">
        <v>1809</v>
      </c>
      <c r="K5685" t="s">
        <v>16161</v>
      </c>
      <c r="L5685" t="s">
        <v>19694</v>
      </c>
    </row>
    <row r="5686" spans="1:12">
      <c r="A5686" t="s">
        <v>7327</v>
      </c>
      <c r="B5686" s="1" t="s">
        <v>7328</v>
      </c>
      <c r="E5686">
        <v>1</v>
      </c>
      <c r="G5686" t="str">
        <f>HYPERLINK("http://babel.hathitrust.org/cgi/pt?id=nyp.33433087359307")</f>
        <v>http://babel.hathitrust.org/cgi/pt?id=nyp.33433087359307</v>
      </c>
      <c r="H5686" t="str">
        <f>HYPERLINK("http://catalog.hathitrust.org/Record/008653899")</f>
        <v>http://catalog.hathitrust.org/Record/008653899</v>
      </c>
      <c r="I5686" s="1" t="s">
        <v>20796</v>
      </c>
      <c r="J5686" s="1">
        <v>1872</v>
      </c>
      <c r="K5686" t="s">
        <v>7329</v>
      </c>
      <c r="L5686" t="s">
        <v>15050</v>
      </c>
    </row>
    <row r="5687" spans="1:12">
      <c r="A5687" t="s">
        <v>7330</v>
      </c>
      <c r="B5687" s="1" t="s">
        <v>7328</v>
      </c>
      <c r="E5687">
        <v>1</v>
      </c>
      <c r="G5687" t="str">
        <f>HYPERLINK("http://babel.hathitrust.org/cgi/pt?id=nyp.33433087359414")</f>
        <v>http://babel.hathitrust.org/cgi/pt?id=nyp.33433087359414</v>
      </c>
      <c r="H5687" t="str">
        <f>HYPERLINK("http://catalog.hathitrust.org/Record/008653899")</f>
        <v>http://catalog.hathitrust.org/Record/008653899</v>
      </c>
      <c r="I5687" s="1" t="s">
        <v>20799</v>
      </c>
      <c r="J5687" s="1">
        <v>1872</v>
      </c>
      <c r="K5687" t="s">
        <v>7329</v>
      </c>
      <c r="L5687" t="s">
        <v>15050</v>
      </c>
    </row>
    <row r="5688" spans="1:12">
      <c r="A5688" t="s">
        <v>7331</v>
      </c>
      <c r="B5688" s="1" t="s">
        <v>7328</v>
      </c>
      <c r="E5688">
        <v>1</v>
      </c>
      <c r="G5688" t="str">
        <f>HYPERLINK("http://babel.hathitrust.org/cgi/pt?id=nyp.33433087359521")</f>
        <v>http://babel.hathitrust.org/cgi/pt?id=nyp.33433087359521</v>
      </c>
      <c r="H5688" t="str">
        <f>HYPERLINK("http://catalog.hathitrust.org/Record/008653899")</f>
        <v>http://catalog.hathitrust.org/Record/008653899</v>
      </c>
      <c r="I5688" s="1" t="s">
        <v>20801</v>
      </c>
      <c r="J5688" s="1">
        <v>1872</v>
      </c>
      <c r="K5688" t="s">
        <v>7329</v>
      </c>
      <c r="L5688" t="s">
        <v>15050</v>
      </c>
    </row>
    <row r="5689" spans="1:12">
      <c r="A5689" t="s">
        <v>7332</v>
      </c>
      <c r="B5689" s="1" t="s">
        <v>7328</v>
      </c>
      <c r="E5689">
        <v>1</v>
      </c>
      <c r="G5689" t="str">
        <f>HYPERLINK("http://babel.hathitrust.org/cgi/pt?id=nyp.33433087359638")</f>
        <v>http://babel.hathitrust.org/cgi/pt?id=nyp.33433087359638</v>
      </c>
      <c r="H5689" t="str">
        <f>HYPERLINK("http://catalog.hathitrust.org/Record/008653899")</f>
        <v>http://catalog.hathitrust.org/Record/008653899</v>
      </c>
      <c r="I5689" s="1" t="s">
        <v>20803</v>
      </c>
      <c r="J5689" s="1">
        <v>1872</v>
      </c>
      <c r="K5689" t="s">
        <v>7329</v>
      </c>
      <c r="L5689" t="s">
        <v>15050</v>
      </c>
    </row>
    <row r="5690" spans="1:12">
      <c r="A5690" t="s">
        <v>7333</v>
      </c>
      <c r="B5690" s="1" t="s">
        <v>7334</v>
      </c>
      <c r="E5690">
        <v>1</v>
      </c>
      <c r="G5690" t="str">
        <f>HYPERLINK("http://babel.hathitrust.org/cgi/pt?id=nyp.33433084713845")</f>
        <v>http://babel.hathitrust.org/cgi/pt?id=nyp.33433084713845</v>
      </c>
      <c r="H5690" t="str">
        <f>HYPERLINK("http://catalog.hathitrust.org/Record/008653900")</f>
        <v>http://catalog.hathitrust.org/Record/008653900</v>
      </c>
      <c r="I5690" s="1" t="s">
        <v>20796</v>
      </c>
      <c r="J5690" s="1">
        <v>1886</v>
      </c>
      <c r="K5690" t="s">
        <v>8266</v>
      </c>
      <c r="L5690" t="s">
        <v>15050</v>
      </c>
    </row>
    <row r="5691" spans="1:12">
      <c r="A5691" t="s">
        <v>7335</v>
      </c>
      <c r="B5691" s="1" t="s">
        <v>7334</v>
      </c>
      <c r="E5691">
        <v>1</v>
      </c>
      <c r="G5691" t="str">
        <f>HYPERLINK("http://babel.hathitrust.org/cgi/pt?id=nyp.33433084713969")</f>
        <v>http://babel.hathitrust.org/cgi/pt?id=nyp.33433084713969</v>
      </c>
      <c r="H5691" t="str">
        <f>HYPERLINK("http://catalog.hathitrust.org/Record/008653900")</f>
        <v>http://catalog.hathitrust.org/Record/008653900</v>
      </c>
      <c r="I5691" s="1" t="s">
        <v>20799</v>
      </c>
      <c r="J5691" s="1">
        <v>1886</v>
      </c>
      <c r="K5691" t="s">
        <v>8266</v>
      </c>
      <c r="L5691" t="s">
        <v>15050</v>
      </c>
    </row>
    <row r="5692" spans="1:12">
      <c r="A5692" t="s">
        <v>7336</v>
      </c>
      <c r="B5692" s="1" t="s">
        <v>7337</v>
      </c>
      <c r="F5692">
        <v>1</v>
      </c>
      <c r="G5692" t="str">
        <f>HYPERLINK("http://babel.hathitrust.org/cgi/pt?id=nyp.33433082515119")</f>
        <v>http://babel.hathitrust.org/cgi/pt?id=nyp.33433082515119</v>
      </c>
      <c r="H5692" t="str">
        <f>HYPERLINK("http://catalog.hathitrust.org/Record/008653906")</f>
        <v>http://catalog.hathitrust.org/Record/008653906</v>
      </c>
      <c r="J5692" s="1">
        <v>1849</v>
      </c>
      <c r="K5692" t="s">
        <v>7338</v>
      </c>
      <c r="L5692" t="s">
        <v>7339</v>
      </c>
    </row>
    <row r="5693" spans="1:12">
      <c r="A5693" t="s">
        <v>7340</v>
      </c>
      <c r="B5693" s="1" t="s">
        <v>7341</v>
      </c>
      <c r="D5693">
        <v>1</v>
      </c>
      <c r="G5693" t="str">
        <f>HYPERLINK("http://babel.hathitrust.org/cgi/pt?id=nyp.33433082515598")</f>
        <v>http://babel.hathitrust.org/cgi/pt?id=nyp.33433082515598</v>
      </c>
      <c r="H5693" t="str">
        <f>HYPERLINK("http://catalog.hathitrust.org/Record/008653909")</f>
        <v>http://catalog.hathitrust.org/Record/008653909</v>
      </c>
      <c r="J5693" s="1">
        <v>1808</v>
      </c>
      <c r="K5693" t="s">
        <v>7342</v>
      </c>
      <c r="L5693" t="s">
        <v>19694</v>
      </c>
    </row>
    <row r="5694" spans="1:12">
      <c r="A5694" t="s">
        <v>7343</v>
      </c>
      <c r="B5694" s="1" t="s">
        <v>7344</v>
      </c>
      <c r="D5694">
        <v>1</v>
      </c>
      <c r="G5694" t="str">
        <f>HYPERLINK("http://babel.hathitrust.org/cgi/pt?id=nyp.33433082515580")</f>
        <v>http://babel.hathitrust.org/cgi/pt?id=nyp.33433082515580</v>
      </c>
      <c r="H5694" t="str">
        <f>HYPERLINK("http://catalog.hathitrust.org/Record/008653910")</f>
        <v>http://catalog.hathitrust.org/Record/008653910</v>
      </c>
      <c r="J5694" s="1">
        <v>1813</v>
      </c>
      <c r="K5694" t="s">
        <v>7345</v>
      </c>
      <c r="L5694" t="s">
        <v>19694</v>
      </c>
    </row>
    <row r="5695" spans="1:12">
      <c r="A5695" t="s">
        <v>7346</v>
      </c>
      <c r="B5695" s="1" t="s">
        <v>7347</v>
      </c>
      <c r="F5695">
        <v>1</v>
      </c>
      <c r="G5695" t="str">
        <f>HYPERLINK("http://babel.hathitrust.org/cgi/pt?id=nyp.33433082515614")</f>
        <v>http://babel.hathitrust.org/cgi/pt?id=nyp.33433082515614</v>
      </c>
      <c r="H5695" t="str">
        <f>HYPERLINK("http://catalog.hathitrust.org/Record/008653911")</f>
        <v>http://catalog.hathitrust.org/Record/008653911</v>
      </c>
      <c r="J5695" s="1">
        <v>1818</v>
      </c>
      <c r="K5695" t="s">
        <v>7348</v>
      </c>
      <c r="L5695" t="s">
        <v>19694</v>
      </c>
    </row>
    <row r="5696" spans="1:12">
      <c r="A5696" t="s">
        <v>7349</v>
      </c>
      <c r="B5696" s="1" t="s">
        <v>7350</v>
      </c>
      <c r="D5696">
        <v>1</v>
      </c>
      <c r="G5696" t="str">
        <f>HYPERLINK("http://babel.hathitrust.org/cgi/pt?id=nyp.33433082515630")</f>
        <v>http://babel.hathitrust.org/cgi/pt?id=nyp.33433082515630</v>
      </c>
      <c r="H5696" t="str">
        <f>HYPERLINK("http://catalog.hathitrust.org/Record/008653912")</f>
        <v>http://catalog.hathitrust.org/Record/008653912</v>
      </c>
      <c r="J5696" s="1">
        <v>1823</v>
      </c>
      <c r="K5696" t="s">
        <v>7342</v>
      </c>
      <c r="L5696" t="s">
        <v>19694</v>
      </c>
    </row>
    <row r="5697" spans="1:12">
      <c r="A5697" t="s">
        <v>7351</v>
      </c>
      <c r="B5697" s="1" t="s">
        <v>7352</v>
      </c>
      <c r="D5697">
        <v>1</v>
      </c>
      <c r="G5697" t="str">
        <f>HYPERLINK("http://babel.hathitrust.org/cgi/pt?id=nyp.33433082515663")</f>
        <v>http://babel.hathitrust.org/cgi/pt?id=nyp.33433082515663</v>
      </c>
      <c r="H5697" t="str">
        <f>HYPERLINK("http://catalog.hathitrust.org/Record/008653913")</f>
        <v>http://catalog.hathitrust.org/Record/008653913</v>
      </c>
      <c r="I5697" s="1" t="s">
        <v>20796</v>
      </c>
      <c r="J5697" s="1">
        <v>1793</v>
      </c>
      <c r="K5697" t="s">
        <v>16161</v>
      </c>
      <c r="L5697" t="s">
        <v>19694</v>
      </c>
    </row>
    <row r="5698" spans="1:12">
      <c r="A5698" t="s">
        <v>7353</v>
      </c>
      <c r="B5698" s="1" t="s">
        <v>7354</v>
      </c>
      <c r="F5698">
        <v>1</v>
      </c>
      <c r="G5698" t="str">
        <f>HYPERLINK("http://babel.hathitrust.org/cgi/pt?id=dul1.ark:/13960/t2698302j")</f>
        <v>http://babel.hathitrust.org/cgi/pt?id=dul1.ark:/13960/t2698302j</v>
      </c>
      <c r="H5698" t="str">
        <f>HYPERLINK("http://catalog.hathitrust.org/Record/008653914")</f>
        <v>http://catalog.hathitrust.org/Record/008653914</v>
      </c>
      <c r="I5698" s="1" t="s">
        <v>20916</v>
      </c>
      <c r="J5698" s="1">
        <v>1802</v>
      </c>
      <c r="K5698" t="s">
        <v>19693</v>
      </c>
      <c r="L5698" t="s">
        <v>19694</v>
      </c>
    </row>
    <row r="5699" spans="1:12">
      <c r="A5699" t="s">
        <v>7355</v>
      </c>
      <c r="B5699" s="1" t="s">
        <v>7354</v>
      </c>
      <c r="F5699">
        <v>1</v>
      </c>
      <c r="G5699" t="str">
        <f>HYPERLINK("http://babel.hathitrust.org/cgi/pt?id=nyp.33433082515507")</f>
        <v>http://babel.hathitrust.org/cgi/pt?id=nyp.33433082515507</v>
      </c>
      <c r="H5699" t="str">
        <f>HYPERLINK("http://catalog.hathitrust.org/Record/008653914")</f>
        <v>http://catalog.hathitrust.org/Record/008653914</v>
      </c>
      <c r="I5699" s="1" t="s">
        <v>20796</v>
      </c>
      <c r="J5699" s="1">
        <v>1802</v>
      </c>
      <c r="K5699" t="s">
        <v>19693</v>
      </c>
      <c r="L5699" t="s">
        <v>19694</v>
      </c>
    </row>
    <row r="5700" spans="1:12">
      <c r="A5700" t="s">
        <v>7356</v>
      </c>
      <c r="B5700" s="1" t="s">
        <v>7354</v>
      </c>
      <c r="F5700">
        <v>1</v>
      </c>
      <c r="G5700" t="str">
        <f>HYPERLINK("http://babel.hathitrust.org/cgi/pt?id=nyp.33433082515515")</f>
        <v>http://babel.hathitrust.org/cgi/pt?id=nyp.33433082515515</v>
      </c>
      <c r="H5700" t="str">
        <f>HYPERLINK("http://catalog.hathitrust.org/Record/008653914")</f>
        <v>http://catalog.hathitrust.org/Record/008653914</v>
      </c>
      <c r="I5700" s="1" t="s">
        <v>20799</v>
      </c>
      <c r="J5700" s="1">
        <v>1802</v>
      </c>
      <c r="K5700" t="s">
        <v>19693</v>
      </c>
      <c r="L5700" t="s">
        <v>19694</v>
      </c>
    </row>
    <row r="5701" spans="1:12">
      <c r="A5701" t="s">
        <v>7357</v>
      </c>
      <c r="B5701" s="1" t="s">
        <v>7358</v>
      </c>
      <c r="D5701">
        <v>1</v>
      </c>
      <c r="G5701" t="str">
        <f>HYPERLINK("http://babel.hathitrust.org/cgi/pt?id=nyp.33433082515549")</f>
        <v>http://babel.hathitrust.org/cgi/pt?id=nyp.33433082515549</v>
      </c>
      <c r="H5701" t="str">
        <f>HYPERLINK("http://catalog.hathitrust.org/Record/008653927")</f>
        <v>http://catalog.hathitrust.org/Record/008653927</v>
      </c>
      <c r="J5701" s="1">
        <v>1817</v>
      </c>
      <c r="K5701" t="s">
        <v>16161</v>
      </c>
      <c r="L5701" t="s">
        <v>19694</v>
      </c>
    </row>
    <row r="5702" spans="1:12">
      <c r="A5702" t="s">
        <v>7359</v>
      </c>
      <c r="B5702" s="1" t="s">
        <v>7360</v>
      </c>
      <c r="D5702">
        <v>1</v>
      </c>
      <c r="G5702" t="str">
        <f>HYPERLINK("http://babel.hathitrust.org/cgi/pt?id=nyp.33433082515606")</f>
        <v>http://babel.hathitrust.org/cgi/pt?id=nyp.33433082515606</v>
      </c>
      <c r="H5702" t="str">
        <f>HYPERLINK("http://catalog.hathitrust.org/Record/008653929")</f>
        <v>http://catalog.hathitrust.org/Record/008653929</v>
      </c>
      <c r="J5702" s="1">
        <v>1819</v>
      </c>
      <c r="K5702" t="s">
        <v>19693</v>
      </c>
      <c r="L5702" t="s">
        <v>19694</v>
      </c>
    </row>
    <row r="5703" spans="1:12">
      <c r="A5703" t="s">
        <v>7361</v>
      </c>
      <c r="B5703" s="1" t="s">
        <v>7362</v>
      </c>
      <c r="F5703">
        <v>1</v>
      </c>
      <c r="G5703" t="str">
        <f>HYPERLINK("http://babel.hathitrust.org/cgi/pt?id=hvd.32044102845807")</f>
        <v>http://babel.hathitrust.org/cgi/pt?id=hvd.32044102845807</v>
      </c>
      <c r="H5703" t="str">
        <f>HYPERLINK("http://catalog.hathitrust.org/Record/008653930")</f>
        <v>http://catalog.hathitrust.org/Record/008653930</v>
      </c>
      <c r="J5703" s="1">
        <v>1829</v>
      </c>
      <c r="K5703" t="s">
        <v>19693</v>
      </c>
      <c r="L5703" t="s">
        <v>19694</v>
      </c>
    </row>
    <row r="5704" spans="1:12">
      <c r="A5704" t="s">
        <v>7363</v>
      </c>
      <c r="B5704" s="1" t="s">
        <v>7362</v>
      </c>
      <c r="F5704">
        <v>1</v>
      </c>
      <c r="G5704" t="str">
        <f>HYPERLINK("http://babel.hathitrust.org/cgi/pt?id=nyp.33433082515796")</f>
        <v>http://babel.hathitrust.org/cgi/pt?id=nyp.33433082515796</v>
      </c>
      <c r="H5704" t="str">
        <f>HYPERLINK("http://catalog.hathitrust.org/Record/008653930")</f>
        <v>http://catalog.hathitrust.org/Record/008653930</v>
      </c>
      <c r="J5704" s="1">
        <v>1829</v>
      </c>
      <c r="K5704" t="s">
        <v>19693</v>
      </c>
      <c r="L5704" t="s">
        <v>19694</v>
      </c>
    </row>
    <row r="5705" spans="1:12">
      <c r="A5705" t="s">
        <v>7237</v>
      </c>
      <c r="B5705" s="1" t="s">
        <v>7238</v>
      </c>
      <c r="D5705">
        <v>1</v>
      </c>
      <c r="G5705" t="str">
        <f>HYPERLINK("http://babel.hathitrust.org/cgi/pt?id=nyp.33433082515788")</f>
        <v>http://babel.hathitrust.org/cgi/pt?id=nyp.33433082515788</v>
      </c>
      <c r="H5705" t="str">
        <f>HYPERLINK("http://catalog.hathitrust.org/Record/008653931")</f>
        <v>http://catalog.hathitrust.org/Record/008653931</v>
      </c>
      <c r="J5705" s="1">
        <v>1829</v>
      </c>
      <c r="K5705" t="s">
        <v>19693</v>
      </c>
      <c r="L5705" t="s">
        <v>19694</v>
      </c>
    </row>
    <row r="5706" spans="1:12">
      <c r="A5706" t="s">
        <v>7239</v>
      </c>
      <c r="B5706" s="1" t="s">
        <v>7240</v>
      </c>
      <c r="D5706">
        <v>1</v>
      </c>
      <c r="G5706" t="str">
        <f>HYPERLINK("http://babel.hathitrust.org/cgi/pt?id=nyp.33433082515812")</f>
        <v>http://babel.hathitrust.org/cgi/pt?id=nyp.33433082515812</v>
      </c>
      <c r="H5706" t="str">
        <f>HYPERLINK("http://catalog.hathitrust.org/Record/008653932")</f>
        <v>http://catalog.hathitrust.org/Record/008653932</v>
      </c>
      <c r="J5706" s="1">
        <v>1832</v>
      </c>
      <c r="K5706" t="s">
        <v>7241</v>
      </c>
      <c r="L5706" t="s">
        <v>19694</v>
      </c>
    </row>
    <row r="5707" spans="1:12">
      <c r="A5707" t="s">
        <v>7242</v>
      </c>
      <c r="B5707" s="1" t="s">
        <v>7243</v>
      </c>
      <c r="F5707">
        <v>1</v>
      </c>
      <c r="G5707" t="str">
        <f>HYPERLINK("http://babel.hathitrust.org/cgi/pt?id=nyp.33433082515556")</f>
        <v>http://babel.hathitrust.org/cgi/pt?id=nyp.33433082515556</v>
      </c>
      <c r="H5707" t="str">
        <f>HYPERLINK("http://catalog.hathitrust.org/Record/008653933")</f>
        <v>http://catalog.hathitrust.org/Record/008653933</v>
      </c>
      <c r="I5707" s="1" t="s">
        <v>20796</v>
      </c>
      <c r="J5707" s="1">
        <v>1819</v>
      </c>
      <c r="K5707" t="s">
        <v>19693</v>
      </c>
      <c r="L5707" t="s">
        <v>19694</v>
      </c>
    </row>
    <row r="5708" spans="1:12">
      <c r="A5708" t="s">
        <v>7244</v>
      </c>
      <c r="B5708" s="1" t="s">
        <v>7245</v>
      </c>
      <c r="D5708">
        <v>1</v>
      </c>
      <c r="G5708" t="str">
        <f>HYPERLINK("http://babel.hathitrust.org/cgi/pt?id=nyp.33433082515770")</f>
        <v>http://babel.hathitrust.org/cgi/pt?id=nyp.33433082515770</v>
      </c>
      <c r="H5708" t="str">
        <f>HYPERLINK("http://catalog.hathitrust.org/Record/008653934")</f>
        <v>http://catalog.hathitrust.org/Record/008653934</v>
      </c>
      <c r="J5708" s="1">
        <v>1826</v>
      </c>
      <c r="K5708" t="s">
        <v>7246</v>
      </c>
      <c r="L5708" t="s">
        <v>19694</v>
      </c>
    </row>
    <row r="5709" spans="1:12">
      <c r="A5709" t="s">
        <v>7247</v>
      </c>
      <c r="B5709" s="1" t="s">
        <v>7248</v>
      </c>
      <c r="F5709">
        <v>1</v>
      </c>
      <c r="G5709" t="str">
        <f>HYPERLINK("http://babel.hathitrust.org/cgi/pt?id=nyp.33433082518584")</f>
        <v>http://babel.hathitrust.org/cgi/pt?id=nyp.33433082518584</v>
      </c>
      <c r="H5709" t="str">
        <f>HYPERLINK("http://catalog.hathitrust.org/Record/008653987")</f>
        <v>http://catalog.hathitrust.org/Record/008653987</v>
      </c>
      <c r="J5709" s="1">
        <v>1910</v>
      </c>
      <c r="K5709" t="s">
        <v>7249</v>
      </c>
      <c r="L5709" t="s">
        <v>7250</v>
      </c>
    </row>
    <row r="5710" spans="1:12">
      <c r="A5710" t="s">
        <v>7251</v>
      </c>
      <c r="B5710" s="1" t="s">
        <v>7252</v>
      </c>
      <c r="E5710">
        <v>1</v>
      </c>
      <c r="G5710" t="str">
        <f>HYPERLINK("http://babel.hathitrust.org/cgi/pt?id=nyp.33433082521497")</f>
        <v>http://babel.hathitrust.org/cgi/pt?id=nyp.33433082521497</v>
      </c>
      <c r="H5710" t="str">
        <f>HYPERLINK("http://catalog.hathitrust.org/Record/008654005")</f>
        <v>http://catalog.hathitrust.org/Record/008654005</v>
      </c>
      <c r="J5710" s="1">
        <v>1895</v>
      </c>
      <c r="K5710" t="s">
        <v>7253</v>
      </c>
      <c r="L5710" t="s">
        <v>15226</v>
      </c>
    </row>
    <row r="5711" spans="1:12">
      <c r="A5711" t="s">
        <v>7254</v>
      </c>
      <c r="B5711" s="1" t="s">
        <v>7255</v>
      </c>
      <c r="F5711">
        <v>1</v>
      </c>
      <c r="G5711" t="str">
        <f>HYPERLINK("http://babel.hathitrust.org/cgi/pt?id=nyp.33433082521596")</f>
        <v>http://babel.hathitrust.org/cgi/pt?id=nyp.33433082521596</v>
      </c>
      <c r="H5711" t="str">
        <f>HYPERLINK("http://catalog.hathitrust.org/Record/008654027")</f>
        <v>http://catalog.hathitrust.org/Record/008654027</v>
      </c>
      <c r="J5711" s="1">
        <v>1902</v>
      </c>
      <c r="K5711" t="s">
        <v>7256</v>
      </c>
      <c r="L5711" t="s">
        <v>20960</v>
      </c>
    </row>
    <row r="5712" spans="1:12">
      <c r="A5712" t="s">
        <v>7257</v>
      </c>
      <c r="B5712" s="1" t="s">
        <v>7258</v>
      </c>
      <c r="E5712">
        <v>1</v>
      </c>
      <c r="G5712" t="str">
        <f>HYPERLINK("http://babel.hathitrust.org/cgi/pt?id=nyp.33433082497680")</f>
        <v>http://babel.hathitrust.org/cgi/pt?id=nyp.33433082497680</v>
      </c>
      <c r="H5712" t="str">
        <f>HYPERLINK("http://catalog.hathitrust.org/Record/008654028")</f>
        <v>http://catalog.hathitrust.org/Record/008654028</v>
      </c>
      <c r="I5712" s="1" t="s">
        <v>20796</v>
      </c>
      <c r="J5712" s="1">
        <v>1860</v>
      </c>
      <c r="K5712" t="s">
        <v>7259</v>
      </c>
      <c r="L5712" t="s">
        <v>15050</v>
      </c>
    </row>
    <row r="5713" spans="1:12">
      <c r="A5713" t="s">
        <v>7260</v>
      </c>
      <c r="B5713" s="1" t="s">
        <v>7258</v>
      </c>
      <c r="E5713">
        <v>1</v>
      </c>
      <c r="G5713" t="str">
        <f>HYPERLINK("http://babel.hathitrust.org/cgi/pt?id=nyp.33433082497698")</f>
        <v>http://babel.hathitrust.org/cgi/pt?id=nyp.33433082497698</v>
      </c>
      <c r="H5713" t="str">
        <f>HYPERLINK("http://catalog.hathitrust.org/Record/008654028")</f>
        <v>http://catalog.hathitrust.org/Record/008654028</v>
      </c>
      <c r="I5713" s="1" t="s">
        <v>20799</v>
      </c>
      <c r="J5713" s="1">
        <v>1860</v>
      </c>
      <c r="K5713" t="s">
        <v>7259</v>
      </c>
      <c r="L5713" t="s">
        <v>15050</v>
      </c>
    </row>
    <row r="5714" spans="1:12">
      <c r="A5714" t="s">
        <v>7261</v>
      </c>
      <c r="B5714" s="1" t="s">
        <v>7258</v>
      </c>
      <c r="E5714">
        <v>1</v>
      </c>
      <c r="G5714" t="str">
        <f>HYPERLINK("http://babel.hathitrust.org/cgi/pt?id=nyp.33433082497706")</f>
        <v>http://babel.hathitrust.org/cgi/pt?id=nyp.33433082497706</v>
      </c>
      <c r="H5714" t="str">
        <f>HYPERLINK("http://catalog.hathitrust.org/Record/008654028")</f>
        <v>http://catalog.hathitrust.org/Record/008654028</v>
      </c>
      <c r="I5714" s="1" t="s">
        <v>20801</v>
      </c>
      <c r="J5714" s="1">
        <v>1860</v>
      </c>
      <c r="K5714" t="s">
        <v>7259</v>
      </c>
      <c r="L5714" t="s">
        <v>15050</v>
      </c>
    </row>
    <row r="5715" spans="1:12">
      <c r="A5715" t="s">
        <v>7262</v>
      </c>
      <c r="B5715" s="1" t="s">
        <v>7258</v>
      </c>
      <c r="E5715">
        <v>1</v>
      </c>
      <c r="G5715" t="str">
        <f>HYPERLINK("http://babel.hathitrust.org/cgi/pt?id=nyp.33433082497714")</f>
        <v>http://babel.hathitrust.org/cgi/pt?id=nyp.33433082497714</v>
      </c>
      <c r="H5715" t="str">
        <f>HYPERLINK("http://catalog.hathitrust.org/Record/008654028")</f>
        <v>http://catalog.hathitrust.org/Record/008654028</v>
      </c>
      <c r="I5715" s="1" t="s">
        <v>20803</v>
      </c>
      <c r="J5715" s="1">
        <v>1860</v>
      </c>
      <c r="K5715" t="s">
        <v>7259</v>
      </c>
      <c r="L5715" t="s">
        <v>15050</v>
      </c>
    </row>
    <row r="5716" spans="1:12">
      <c r="A5716" t="s">
        <v>7263</v>
      </c>
      <c r="B5716" s="1" t="s">
        <v>7264</v>
      </c>
      <c r="F5716">
        <v>1</v>
      </c>
      <c r="G5716" t="str">
        <f>HYPERLINK("http://babel.hathitrust.org/cgi/pt?id=nyp.33433082497052")</f>
        <v>http://babel.hathitrust.org/cgi/pt?id=nyp.33433082497052</v>
      </c>
      <c r="H5716" t="str">
        <f>HYPERLINK("http://catalog.hathitrust.org/Record/008654039")</f>
        <v>http://catalog.hathitrust.org/Record/008654039</v>
      </c>
      <c r="J5716" s="1">
        <v>1886</v>
      </c>
      <c r="K5716" t="s">
        <v>15172</v>
      </c>
      <c r="L5716" t="s">
        <v>12738</v>
      </c>
    </row>
    <row r="5717" spans="1:12">
      <c r="A5717" t="s">
        <v>7265</v>
      </c>
      <c r="B5717" s="1" t="s">
        <v>7264</v>
      </c>
      <c r="F5717">
        <v>1</v>
      </c>
      <c r="G5717" t="str">
        <f>HYPERLINK("http://babel.hathitrust.org/cgi/pt?id=uc1.$b393559")</f>
        <v>http://babel.hathitrust.org/cgi/pt?id=uc1.$b393559</v>
      </c>
      <c r="H5717" t="str">
        <f>HYPERLINK("http://catalog.hathitrust.org/Record/008654039")</f>
        <v>http://catalog.hathitrust.org/Record/008654039</v>
      </c>
      <c r="J5717" s="1">
        <v>1886</v>
      </c>
      <c r="K5717" t="s">
        <v>15172</v>
      </c>
      <c r="L5717" t="s">
        <v>12738</v>
      </c>
    </row>
    <row r="5718" spans="1:12">
      <c r="A5718" t="s">
        <v>7266</v>
      </c>
      <c r="B5718" s="1" t="s">
        <v>7264</v>
      </c>
      <c r="F5718">
        <v>1</v>
      </c>
      <c r="G5718" t="str">
        <f>HYPERLINK("http://babel.hathitrust.org/cgi/pt?id=uc2.ark:/13960/t53f4q13p")</f>
        <v>http://babel.hathitrust.org/cgi/pt?id=uc2.ark:/13960/t53f4q13p</v>
      </c>
      <c r="H5718" t="str">
        <f>HYPERLINK("http://catalog.hathitrust.org/Record/008654039")</f>
        <v>http://catalog.hathitrust.org/Record/008654039</v>
      </c>
      <c r="J5718" s="1">
        <v>1886</v>
      </c>
      <c r="K5718" t="s">
        <v>15172</v>
      </c>
      <c r="L5718" t="s">
        <v>12738</v>
      </c>
    </row>
    <row r="5719" spans="1:12">
      <c r="A5719" t="s">
        <v>7267</v>
      </c>
      <c r="B5719" s="1" t="s">
        <v>7268</v>
      </c>
      <c r="F5719">
        <v>1</v>
      </c>
      <c r="G5719" t="str">
        <f>HYPERLINK("http://babel.hathitrust.org/cgi/pt?id=nyp.33433082513031")</f>
        <v>http://babel.hathitrust.org/cgi/pt?id=nyp.33433082513031</v>
      </c>
      <c r="H5719" t="str">
        <f>HYPERLINK("http://catalog.hathitrust.org/Record/008654046")</f>
        <v>http://catalog.hathitrust.org/Record/008654046</v>
      </c>
      <c r="J5719" s="1">
        <v>1891</v>
      </c>
      <c r="K5719" t="s">
        <v>7269</v>
      </c>
      <c r="L5719" t="s">
        <v>10437</v>
      </c>
    </row>
    <row r="5720" spans="1:12">
      <c r="A5720" t="s">
        <v>7270</v>
      </c>
      <c r="B5720" s="1" t="s">
        <v>7271</v>
      </c>
      <c r="D5720">
        <v>1</v>
      </c>
      <c r="G5720" t="str">
        <f>HYPERLINK("http://babel.hathitrust.org/cgi/pt?id=nyp.33433082515671")</f>
        <v>http://babel.hathitrust.org/cgi/pt?id=nyp.33433082515671</v>
      </c>
      <c r="H5720" t="str">
        <f>HYPERLINK("http://catalog.hathitrust.org/Record/008654102")</f>
        <v>http://catalog.hathitrust.org/Record/008654102</v>
      </c>
      <c r="J5720" s="1">
        <v>1839</v>
      </c>
      <c r="K5720" t="s">
        <v>19693</v>
      </c>
      <c r="L5720" t="s">
        <v>19694</v>
      </c>
    </row>
    <row r="5721" spans="1:12">
      <c r="A5721" t="s">
        <v>7272</v>
      </c>
      <c r="B5721" s="1" t="s">
        <v>7273</v>
      </c>
      <c r="D5721">
        <v>1</v>
      </c>
      <c r="G5721" t="str">
        <f>HYPERLINK("http://babel.hathitrust.org/cgi/pt?id=nyp.33433082515697")</f>
        <v>http://babel.hathitrust.org/cgi/pt?id=nyp.33433082515697</v>
      </c>
      <c r="H5721" t="str">
        <f>HYPERLINK("http://catalog.hathitrust.org/Record/008654103")</f>
        <v>http://catalog.hathitrust.org/Record/008654103</v>
      </c>
      <c r="J5721" s="1">
        <v>1849</v>
      </c>
      <c r="K5721" t="s">
        <v>16161</v>
      </c>
      <c r="L5721" t="s">
        <v>19694</v>
      </c>
    </row>
    <row r="5722" spans="1:12">
      <c r="A5722" t="s">
        <v>7274</v>
      </c>
      <c r="B5722" s="1" t="s">
        <v>7273</v>
      </c>
      <c r="F5722">
        <v>1</v>
      </c>
      <c r="G5722" t="str">
        <f>HYPERLINK("http://babel.hathitrust.org/cgi/pt?id=uva.x001023928")</f>
        <v>http://babel.hathitrust.org/cgi/pt?id=uva.x001023928</v>
      </c>
      <c r="H5722" t="str">
        <f>HYPERLINK("http://catalog.hathitrust.org/Record/008654103")</f>
        <v>http://catalog.hathitrust.org/Record/008654103</v>
      </c>
      <c r="J5722" s="1">
        <v>1849</v>
      </c>
      <c r="K5722" t="s">
        <v>16161</v>
      </c>
      <c r="L5722" t="s">
        <v>19694</v>
      </c>
    </row>
    <row r="5723" spans="1:12">
      <c r="A5723" t="s">
        <v>7275</v>
      </c>
      <c r="B5723" s="1" t="s">
        <v>7276</v>
      </c>
      <c r="F5723">
        <v>1</v>
      </c>
      <c r="G5723" t="str">
        <f>HYPERLINK("http://babel.hathitrust.org/cgi/pt?id=ien.35556006124887")</f>
        <v>http://babel.hathitrust.org/cgi/pt?id=ien.35556006124887</v>
      </c>
      <c r="H5723" t="str">
        <f>HYPERLINK("http://catalog.hathitrust.org/Record/008654105")</f>
        <v>http://catalog.hathitrust.org/Record/008654105</v>
      </c>
      <c r="J5723" s="1">
        <v>1854</v>
      </c>
      <c r="K5723" t="s">
        <v>19693</v>
      </c>
      <c r="L5723" t="s">
        <v>19694</v>
      </c>
    </row>
    <row r="5724" spans="1:12">
      <c r="A5724" t="s">
        <v>7277</v>
      </c>
      <c r="B5724" s="1" t="s">
        <v>7276</v>
      </c>
      <c r="F5724">
        <v>1</v>
      </c>
      <c r="G5724" t="str">
        <f>HYPERLINK("http://babel.hathitrust.org/cgi/pt?id=nyp.33433082515713")</f>
        <v>http://babel.hathitrust.org/cgi/pt?id=nyp.33433082515713</v>
      </c>
      <c r="H5724" t="str">
        <f>HYPERLINK("http://catalog.hathitrust.org/Record/008654105")</f>
        <v>http://catalog.hathitrust.org/Record/008654105</v>
      </c>
      <c r="J5724" s="1">
        <v>1854</v>
      </c>
      <c r="K5724" t="s">
        <v>19693</v>
      </c>
      <c r="L5724" t="s">
        <v>19694</v>
      </c>
    </row>
    <row r="5725" spans="1:12">
      <c r="A5725" t="s">
        <v>7278</v>
      </c>
      <c r="B5725" s="1" t="s">
        <v>7279</v>
      </c>
      <c r="D5725">
        <v>1</v>
      </c>
      <c r="G5725" t="str">
        <f>HYPERLINK("http://babel.hathitrust.org/cgi/pt?id=nyp.33433082515721")</f>
        <v>http://babel.hathitrust.org/cgi/pt?id=nyp.33433082515721</v>
      </c>
      <c r="H5725" t="str">
        <f>HYPERLINK("http://catalog.hathitrust.org/Record/008654107")</f>
        <v>http://catalog.hathitrust.org/Record/008654107</v>
      </c>
      <c r="J5725" s="1">
        <v>1860</v>
      </c>
      <c r="K5725" t="s">
        <v>16161</v>
      </c>
      <c r="L5725" t="s">
        <v>19694</v>
      </c>
    </row>
    <row r="5726" spans="1:12">
      <c r="A5726" t="s">
        <v>7280</v>
      </c>
      <c r="B5726" s="1" t="s">
        <v>7281</v>
      </c>
      <c r="D5726">
        <v>1</v>
      </c>
      <c r="G5726" t="str">
        <f>HYPERLINK("http://babel.hathitrust.org/cgi/pt?id=nyp.33433082515804")</f>
        <v>http://babel.hathitrust.org/cgi/pt?id=nyp.33433082515804</v>
      </c>
      <c r="H5726" t="str">
        <f>HYPERLINK("http://catalog.hathitrust.org/Record/008654114")</f>
        <v>http://catalog.hathitrust.org/Record/008654114</v>
      </c>
      <c r="J5726" s="1">
        <v>1866</v>
      </c>
      <c r="K5726" t="s">
        <v>7282</v>
      </c>
      <c r="L5726" t="s">
        <v>19694</v>
      </c>
    </row>
    <row r="5727" spans="1:12">
      <c r="A5727" t="s">
        <v>7283</v>
      </c>
      <c r="B5727" s="1" t="s">
        <v>7284</v>
      </c>
      <c r="D5727">
        <v>1</v>
      </c>
      <c r="G5727" t="str">
        <f>HYPERLINK("http://babel.hathitrust.org/cgi/pt?id=nyp.33433082515762")</f>
        <v>http://babel.hathitrust.org/cgi/pt?id=nyp.33433082515762</v>
      </c>
      <c r="H5727" t="str">
        <f>HYPERLINK("http://catalog.hathitrust.org/Record/008654115")</f>
        <v>http://catalog.hathitrust.org/Record/008654115</v>
      </c>
      <c r="J5727" s="1">
        <v>1911</v>
      </c>
      <c r="K5727" t="s">
        <v>7285</v>
      </c>
      <c r="L5727" t="s">
        <v>19694</v>
      </c>
    </row>
    <row r="5728" spans="1:12">
      <c r="A5728" t="s">
        <v>7286</v>
      </c>
      <c r="B5728" s="1" t="s">
        <v>7287</v>
      </c>
      <c r="E5728">
        <v>1</v>
      </c>
      <c r="F5728">
        <v>1</v>
      </c>
      <c r="G5728" t="str">
        <f>HYPERLINK("http://babel.hathitrust.org/cgi/pt?id=nyp.33433082527494")</f>
        <v>http://babel.hathitrust.org/cgi/pt?id=nyp.33433082527494</v>
      </c>
      <c r="H5728" t="str">
        <f>HYPERLINK("http://catalog.hathitrust.org/Record/008654117")</f>
        <v>http://catalog.hathitrust.org/Record/008654117</v>
      </c>
      <c r="J5728" s="1">
        <v>1847</v>
      </c>
      <c r="K5728" t="s">
        <v>7288</v>
      </c>
      <c r="L5728" t="s">
        <v>7289</v>
      </c>
    </row>
    <row r="5729" spans="1:12">
      <c r="A5729" t="s">
        <v>7290</v>
      </c>
      <c r="B5729" s="1" t="s">
        <v>7291</v>
      </c>
      <c r="F5729">
        <v>1</v>
      </c>
      <c r="G5729" t="str">
        <f>HYPERLINK("http://babel.hathitrust.org/cgi/pt?id=hvd.hn5x8e")</f>
        <v>http://babel.hathitrust.org/cgi/pt?id=hvd.hn5x8e</v>
      </c>
      <c r="H5729" t="str">
        <f>HYPERLINK("http://catalog.hathitrust.org/Record/008654123")</f>
        <v>http://catalog.hathitrust.org/Record/008654123</v>
      </c>
      <c r="J5729" s="1">
        <v>1844</v>
      </c>
      <c r="K5729" t="s">
        <v>7195</v>
      </c>
      <c r="L5729" t="s">
        <v>11439</v>
      </c>
    </row>
    <row r="5730" spans="1:12">
      <c r="A5730" t="s">
        <v>7196</v>
      </c>
      <c r="B5730" s="1" t="s">
        <v>7291</v>
      </c>
      <c r="F5730">
        <v>1</v>
      </c>
      <c r="G5730" t="str">
        <f>HYPERLINK("http://babel.hathitrust.org/cgi/pt?id=nyp.33433082515820")</f>
        <v>http://babel.hathitrust.org/cgi/pt?id=nyp.33433082515820</v>
      </c>
      <c r="H5730" t="str">
        <f>HYPERLINK("http://catalog.hathitrust.org/Record/008654123")</f>
        <v>http://catalog.hathitrust.org/Record/008654123</v>
      </c>
      <c r="J5730" s="1">
        <v>1844</v>
      </c>
      <c r="K5730" t="s">
        <v>7195</v>
      </c>
      <c r="L5730" t="s">
        <v>11439</v>
      </c>
    </row>
    <row r="5731" spans="1:12">
      <c r="A5731" t="s">
        <v>7197</v>
      </c>
      <c r="B5731" s="1" t="s">
        <v>7198</v>
      </c>
      <c r="F5731">
        <v>1</v>
      </c>
      <c r="G5731" t="str">
        <f>HYPERLINK("http://babel.hathitrust.org/cgi/pt?id=nyp.33433082511548")</f>
        <v>http://babel.hathitrust.org/cgi/pt?id=nyp.33433082511548</v>
      </c>
      <c r="H5731" t="str">
        <f>HYPERLINK("http://catalog.hathitrust.org/Record/008654125")</f>
        <v>http://catalog.hathitrust.org/Record/008654125</v>
      </c>
      <c r="J5731" s="1">
        <v>1858</v>
      </c>
      <c r="K5731" t="s">
        <v>7199</v>
      </c>
      <c r="L5731" t="s">
        <v>11439</v>
      </c>
    </row>
    <row r="5732" spans="1:12">
      <c r="A5732" t="s">
        <v>7200</v>
      </c>
      <c r="B5732" s="1" t="s">
        <v>7201</v>
      </c>
      <c r="F5732">
        <v>1</v>
      </c>
      <c r="G5732" t="str">
        <f>HYPERLINK("http://babel.hathitrust.org/cgi/pt?id=nyp.33433082502380")</f>
        <v>http://babel.hathitrust.org/cgi/pt?id=nyp.33433082502380</v>
      </c>
      <c r="H5732" t="str">
        <f>HYPERLINK("http://catalog.hathitrust.org/Record/008654131")</f>
        <v>http://catalog.hathitrust.org/Record/008654131</v>
      </c>
      <c r="J5732" s="1">
        <v>1896</v>
      </c>
      <c r="K5732" t="s">
        <v>7202</v>
      </c>
      <c r="L5732" t="s">
        <v>7203</v>
      </c>
    </row>
    <row r="5733" spans="1:12">
      <c r="A5733" t="s">
        <v>7204</v>
      </c>
      <c r="B5733" s="1" t="s">
        <v>7205</v>
      </c>
      <c r="F5733">
        <v>1</v>
      </c>
      <c r="G5733" t="str">
        <f>HYPERLINK("http://babel.hathitrust.org/cgi/pt?id=nyp.33433082502372")</f>
        <v>http://babel.hathitrust.org/cgi/pt?id=nyp.33433082502372</v>
      </c>
      <c r="H5733" t="str">
        <f>HYPERLINK("http://catalog.hathitrust.org/Record/008654134")</f>
        <v>http://catalog.hathitrust.org/Record/008654134</v>
      </c>
      <c r="J5733" s="1">
        <v>1899</v>
      </c>
      <c r="K5733" t="s">
        <v>7206</v>
      </c>
      <c r="L5733" t="s">
        <v>7203</v>
      </c>
    </row>
    <row r="5734" spans="1:12">
      <c r="A5734" t="s">
        <v>7207</v>
      </c>
      <c r="B5734" s="1" t="s">
        <v>7208</v>
      </c>
      <c r="E5734">
        <v>1</v>
      </c>
      <c r="F5734">
        <v>1</v>
      </c>
      <c r="G5734" t="str">
        <f>HYPERLINK("http://babel.hathitrust.org/cgi/pt?id=nyp.33433082502331")</f>
        <v>http://babel.hathitrust.org/cgi/pt?id=nyp.33433082502331</v>
      </c>
      <c r="H5734" t="str">
        <f>HYPERLINK("http://catalog.hathitrust.org/Record/008654136")</f>
        <v>http://catalog.hathitrust.org/Record/008654136</v>
      </c>
      <c r="J5734" s="1">
        <v>1900</v>
      </c>
      <c r="K5734" t="s">
        <v>7209</v>
      </c>
      <c r="L5734" t="s">
        <v>18982</v>
      </c>
    </row>
    <row r="5735" spans="1:12">
      <c r="A5735" t="s">
        <v>7210</v>
      </c>
      <c r="B5735" s="1" t="s">
        <v>7211</v>
      </c>
      <c r="F5735">
        <v>1</v>
      </c>
      <c r="G5735" t="str">
        <f>HYPERLINK("http://babel.hathitrust.org/cgi/pt?id=nyp.33433082502299")</f>
        <v>http://babel.hathitrust.org/cgi/pt?id=nyp.33433082502299</v>
      </c>
      <c r="H5735" t="str">
        <f>HYPERLINK("http://catalog.hathitrust.org/Record/008654139")</f>
        <v>http://catalog.hathitrust.org/Record/008654139</v>
      </c>
      <c r="J5735" s="1">
        <v>1893</v>
      </c>
      <c r="K5735" t="s">
        <v>7212</v>
      </c>
      <c r="L5735" t="s">
        <v>14663</v>
      </c>
    </row>
    <row r="5736" spans="1:12">
      <c r="A5736" t="s">
        <v>7213</v>
      </c>
      <c r="B5736" s="1" t="s">
        <v>7214</v>
      </c>
      <c r="F5736">
        <v>1</v>
      </c>
      <c r="G5736" t="str">
        <f>HYPERLINK("http://babel.hathitrust.org/cgi/pt?id=nyp.33433082511514")</f>
        <v>http://babel.hathitrust.org/cgi/pt?id=nyp.33433082511514</v>
      </c>
      <c r="H5736" t="str">
        <f>HYPERLINK("http://catalog.hathitrust.org/Record/008654141")</f>
        <v>http://catalog.hathitrust.org/Record/008654141</v>
      </c>
      <c r="J5736" s="1">
        <v>1912</v>
      </c>
      <c r="K5736" t="s">
        <v>7215</v>
      </c>
      <c r="L5736" t="s">
        <v>11082</v>
      </c>
    </row>
    <row r="5737" spans="1:12">
      <c r="A5737" t="s">
        <v>7216</v>
      </c>
      <c r="B5737" s="1" t="s">
        <v>7217</v>
      </c>
      <c r="F5737">
        <v>1</v>
      </c>
      <c r="G5737" t="str">
        <f>HYPERLINK("http://babel.hathitrust.org/cgi/pt?id=hvd.32044102769999")</f>
        <v>http://babel.hathitrust.org/cgi/pt?id=hvd.32044102769999</v>
      </c>
      <c r="H5737" t="str">
        <f>HYPERLINK("http://catalog.hathitrust.org/Record/008654145")</f>
        <v>http://catalog.hathitrust.org/Record/008654145</v>
      </c>
      <c r="J5737" s="1">
        <v>1866</v>
      </c>
      <c r="K5737" t="s">
        <v>7218</v>
      </c>
      <c r="L5737" t="s">
        <v>7219</v>
      </c>
    </row>
    <row r="5738" spans="1:12">
      <c r="A5738" t="s">
        <v>7220</v>
      </c>
      <c r="B5738" s="1" t="s">
        <v>7217</v>
      </c>
      <c r="F5738">
        <v>1</v>
      </c>
      <c r="G5738" t="str">
        <f>HYPERLINK("http://babel.hathitrust.org/cgi/pt?id=nyp.33433082502349")</f>
        <v>http://babel.hathitrust.org/cgi/pt?id=nyp.33433082502349</v>
      </c>
      <c r="H5738" t="str">
        <f>HYPERLINK("http://catalog.hathitrust.org/Record/008654145")</f>
        <v>http://catalog.hathitrust.org/Record/008654145</v>
      </c>
      <c r="J5738" s="1">
        <v>1866</v>
      </c>
      <c r="K5738" t="s">
        <v>7218</v>
      </c>
      <c r="L5738" t="s">
        <v>7219</v>
      </c>
    </row>
    <row r="5739" spans="1:12">
      <c r="A5739" t="s">
        <v>7221</v>
      </c>
      <c r="B5739" s="1" t="s">
        <v>7222</v>
      </c>
      <c r="F5739">
        <v>1</v>
      </c>
      <c r="G5739" t="str">
        <f>HYPERLINK("http://babel.hathitrust.org/cgi/pt?id=nyp.33433082502315")</f>
        <v>http://babel.hathitrust.org/cgi/pt?id=nyp.33433082502315</v>
      </c>
      <c r="H5739" t="str">
        <f>HYPERLINK("http://catalog.hathitrust.org/Record/008654151")</f>
        <v>http://catalog.hathitrust.org/Record/008654151</v>
      </c>
      <c r="J5739" s="1">
        <v>1861</v>
      </c>
      <c r="K5739" t="s">
        <v>7223</v>
      </c>
      <c r="L5739" t="s">
        <v>17034</v>
      </c>
    </row>
    <row r="5740" spans="1:12">
      <c r="A5740" t="s">
        <v>7224</v>
      </c>
      <c r="B5740" s="1" t="s">
        <v>7225</v>
      </c>
      <c r="F5740">
        <v>1</v>
      </c>
      <c r="G5740" t="str">
        <f>HYPERLINK("http://babel.hathitrust.org/cgi/pt?id=nyp.33433082502414")</f>
        <v>http://babel.hathitrust.org/cgi/pt?id=nyp.33433082502414</v>
      </c>
      <c r="H5740" t="str">
        <f>HYPERLINK("http://catalog.hathitrust.org/Record/008654156")</f>
        <v>http://catalog.hathitrust.org/Record/008654156</v>
      </c>
      <c r="J5740" s="1">
        <v>1915</v>
      </c>
      <c r="K5740" t="s">
        <v>7226</v>
      </c>
      <c r="L5740" t="s">
        <v>20448</v>
      </c>
    </row>
    <row r="5741" spans="1:12">
      <c r="A5741" t="s">
        <v>7227</v>
      </c>
      <c r="B5741" s="1" t="s">
        <v>7228</v>
      </c>
      <c r="F5741">
        <v>1</v>
      </c>
      <c r="G5741" t="str">
        <f>HYPERLINK("http://babel.hathitrust.org/cgi/pt?id=nyp.33433082502422")</f>
        <v>http://babel.hathitrust.org/cgi/pt?id=nyp.33433082502422</v>
      </c>
      <c r="H5741" t="str">
        <f>HYPERLINK("http://catalog.hathitrust.org/Record/008654158")</f>
        <v>http://catalog.hathitrust.org/Record/008654158</v>
      </c>
      <c r="J5741" s="1">
        <v>1870</v>
      </c>
      <c r="K5741" t="s">
        <v>7229</v>
      </c>
      <c r="L5741" t="s">
        <v>7230</v>
      </c>
    </row>
    <row r="5742" spans="1:12">
      <c r="A5742" t="s">
        <v>7231</v>
      </c>
      <c r="B5742" s="1" t="s">
        <v>7232</v>
      </c>
      <c r="F5742">
        <v>1</v>
      </c>
      <c r="G5742" t="str">
        <f>HYPERLINK("http://babel.hathitrust.org/cgi/pt?id=nyp.33433082512454")</f>
        <v>http://babel.hathitrust.org/cgi/pt?id=nyp.33433082512454</v>
      </c>
      <c r="H5742" t="str">
        <f>HYPERLINK("http://catalog.hathitrust.org/Record/008654162")</f>
        <v>http://catalog.hathitrust.org/Record/008654162</v>
      </c>
      <c r="J5742" s="1">
        <v>1872</v>
      </c>
      <c r="K5742" t="s">
        <v>7233</v>
      </c>
      <c r="L5742" t="s">
        <v>11794</v>
      </c>
    </row>
    <row r="5743" spans="1:12">
      <c r="A5743" t="s">
        <v>7234</v>
      </c>
      <c r="B5743" s="1" t="s">
        <v>7235</v>
      </c>
      <c r="F5743">
        <v>1</v>
      </c>
      <c r="G5743" t="str">
        <f>HYPERLINK("http://babel.hathitrust.org/cgi/pt?id=nyp.33433082512447")</f>
        <v>http://babel.hathitrust.org/cgi/pt?id=nyp.33433082512447</v>
      </c>
      <c r="H5743" t="str">
        <f>HYPERLINK("http://catalog.hathitrust.org/Record/008654164")</f>
        <v>http://catalog.hathitrust.org/Record/008654164</v>
      </c>
      <c r="J5743" s="1">
        <v>1883</v>
      </c>
      <c r="K5743" t="s">
        <v>7236</v>
      </c>
      <c r="L5743" t="s">
        <v>11794</v>
      </c>
    </row>
    <row r="5744" spans="1:12">
      <c r="A5744" t="s">
        <v>7153</v>
      </c>
      <c r="B5744" s="1" t="s">
        <v>7154</v>
      </c>
      <c r="F5744">
        <v>1</v>
      </c>
      <c r="G5744" t="str">
        <f>HYPERLINK("http://babel.hathitrust.org/cgi/pt?id=nyp.33433082512439")</f>
        <v>http://babel.hathitrust.org/cgi/pt?id=nyp.33433082512439</v>
      </c>
      <c r="H5744" t="str">
        <f>HYPERLINK("http://catalog.hathitrust.org/Record/008654167")</f>
        <v>http://catalog.hathitrust.org/Record/008654167</v>
      </c>
      <c r="J5744" s="1">
        <v>1892</v>
      </c>
      <c r="K5744" t="s">
        <v>7236</v>
      </c>
      <c r="L5744" t="s">
        <v>11794</v>
      </c>
    </row>
    <row r="5745" spans="1:12">
      <c r="A5745" t="s">
        <v>7155</v>
      </c>
      <c r="B5745" s="1" t="s">
        <v>7156</v>
      </c>
      <c r="F5745">
        <v>1</v>
      </c>
      <c r="G5745" t="str">
        <f>HYPERLINK("http://babel.hathitrust.org/cgi/pt?id=nyp.33433082512025")</f>
        <v>http://babel.hathitrust.org/cgi/pt?id=nyp.33433082512025</v>
      </c>
      <c r="H5745" t="str">
        <f>HYPERLINK("http://catalog.hathitrust.org/Record/008654169")</f>
        <v>http://catalog.hathitrust.org/Record/008654169</v>
      </c>
      <c r="J5745" s="1">
        <v>1836</v>
      </c>
      <c r="K5745" t="s">
        <v>7157</v>
      </c>
    </row>
    <row r="5746" spans="1:12">
      <c r="A5746" t="s">
        <v>7158</v>
      </c>
      <c r="B5746" s="1" t="s">
        <v>7159</v>
      </c>
      <c r="F5746">
        <v>1</v>
      </c>
      <c r="G5746" t="str">
        <f>HYPERLINK("http://babel.hathitrust.org/cgi/pt?id=nyp.33433082512355")</f>
        <v>http://babel.hathitrust.org/cgi/pt?id=nyp.33433082512355</v>
      </c>
      <c r="H5746" t="str">
        <f>HYPERLINK("http://catalog.hathitrust.org/Record/008654172")</f>
        <v>http://catalog.hathitrust.org/Record/008654172</v>
      </c>
      <c r="J5746" s="1">
        <v>1911</v>
      </c>
      <c r="K5746" t="s">
        <v>7160</v>
      </c>
      <c r="L5746" t="s">
        <v>9454</v>
      </c>
    </row>
    <row r="5747" spans="1:12">
      <c r="A5747" t="s">
        <v>7161</v>
      </c>
      <c r="B5747" s="1" t="s">
        <v>7162</v>
      </c>
      <c r="F5747">
        <v>1</v>
      </c>
      <c r="G5747" t="str">
        <f>HYPERLINK("http://babel.hathitrust.org/cgi/pt?id=nyp.33433082512348")</f>
        <v>http://babel.hathitrust.org/cgi/pt?id=nyp.33433082512348</v>
      </c>
      <c r="H5747" t="str">
        <f>HYPERLINK("http://catalog.hathitrust.org/Record/008654174")</f>
        <v>http://catalog.hathitrust.org/Record/008654174</v>
      </c>
      <c r="J5747" s="1">
        <v>1899</v>
      </c>
      <c r="K5747" t="s">
        <v>7163</v>
      </c>
      <c r="L5747" t="s">
        <v>17075</v>
      </c>
    </row>
    <row r="5748" spans="1:12">
      <c r="A5748" t="s">
        <v>7164</v>
      </c>
      <c r="B5748" s="1" t="s">
        <v>7165</v>
      </c>
      <c r="F5748">
        <v>1</v>
      </c>
      <c r="G5748" t="str">
        <f>HYPERLINK("http://babel.hathitrust.org/cgi/pt?id=nyp.33433082511357")</f>
        <v>http://babel.hathitrust.org/cgi/pt?id=nyp.33433082511357</v>
      </c>
      <c r="H5748" t="str">
        <f>HYPERLINK("http://catalog.hathitrust.org/Record/008654178")</f>
        <v>http://catalog.hathitrust.org/Record/008654178</v>
      </c>
      <c r="J5748" s="1">
        <v>1893</v>
      </c>
      <c r="K5748" t="s">
        <v>7166</v>
      </c>
      <c r="L5748" t="s">
        <v>15365</v>
      </c>
    </row>
    <row r="5749" spans="1:12">
      <c r="A5749" t="s">
        <v>7167</v>
      </c>
      <c r="B5749" s="1" t="s">
        <v>7168</v>
      </c>
      <c r="F5749">
        <v>1</v>
      </c>
      <c r="G5749" t="str">
        <f>HYPERLINK("http://babel.hathitrust.org/cgi/pt?id=nyp.33433082511290")</f>
        <v>http://babel.hathitrust.org/cgi/pt?id=nyp.33433082511290</v>
      </c>
      <c r="H5749" t="str">
        <f>HYPERLINK("http://catalog.hathitrust.org/Record/008654181")</f>
        <v>http://catalog.hathitrust.org/Record/008654181</v>
      </c>
      <c r="J5749" s="1">
        <v>1910</v>
      </c>
      <c r="K5749" t="s">
        <v>7169</v>
      </c>
      <c r="L5749" t="s">
        <v>13294</v>
      </c>
    </row>
    <row r="5750" spans="1:12">
      <c r="A5750" t="s">
        <v>7170</v>
      </c>
      <c r="B5750" s="1" t="s">
        <v>7171</v>
      </c>
      <c r="F5750">
        <v>1</v>
      </c>
      <c r="G5750" t="str">
        <f>HYPERLINK("http://babel.hathitrust.org/cgi/pt?id=nyp.33433082523121")</f>
        <v>http://babel.hathitrust.org/cgi/pt?id=nyp.33433082523121</v>
      </c>
      <c r="H5750" t="str">
        <f>HYPERLINK("http://catalog.hathitrust.org/Record/008654182")</f>
        <v>http://catalog.hathitrust.org/Record/008654182</v>
      </c>
      <c r="J5750" s="1">
        <v>1918</v>
      </c>
      <c r="K5750" t="s">
        <v>7172</v>
      </c>
      <c r="L5750" t="s">
        <v>7173</v>
      </c>
    </row>
    <row r="5751" spans="1:12">
      <c r="A5751" t="s">
        <v>7174</v>
      </c>
      <c r="B5751" s="1" t="s">
        <v>7175</v>
      </c>
      <c r="E5751">
        <v>1</v>
      </c>
      <c r="F5751">
        <v>1</v>
      </c>
      <c r="G5751" t="str">
        <f>HYPERLINK("http://babel.hathitrust.org/cgi/pt?id=nyp.33433082511324")</f>
        <v>http://babel.hathitrust.org/cgi/pt?id=nyp.33433082511324</v>
      </c>
      <c r="H5751" t="str">
        <f>HYPERLINK("http://catalog.hathitrust.org/Record/008654185")</f>
        <v>http://catalog.hathitrust.org/Record/008654185</v>
      </c>
      <c r="I5751" s="1" t="s">
        <v>20799</v>
      </c>
      <c r="J5751" s="1">
        <v>1900</v>
      </c>
      <c r="K5751" t="s">
        <v>7176</v>
      </c>
      <c r="L5751" t="s">
        <v>13839</v>
      </c>
    </row>
    <row r="5752" spans="1:12">
      <c r="A5752" t="s">
        <v>7177</v>
      </c>
      <c r="B5752" s="1" t="s">
        <v>7175</v>
      </c>
      <c r="E5752">
        <v>1</v>
      </c>
      <c r="F5752">
        <v>1</v>
      </c>
      <c r="G5752" t="str">
        <f>HYPERLINK("http://babel.hathitrust.org/cgi/pt?id=nyp.33433082511332")</f>
        <v>http://babel.hathitrust.org/cgi/pt?id=nyp.33433082511332</v>
      </c>
      <c r="H5752" t="str">
        <f>HYPERLINK("http://catalog.hathitrust.org/Record/008654185")</f>
        <v>http://catalog.hathitrust.org/Record/008654185</v>
      </c>
      <c r="I5752" s="1" t="s">
        <v>20796</v>
      </c>
      <c r="J5752" s="1">
        <v>1900</v>
      </c>
      <c r="K5752" t="s">
        <v>7176</v>
      </c>
      <c r="L5752" t="s">
        <v>13839</v>
      </c>
    </row>
    <row r="5753" spans="1:12">
      <c r="A5753" t="s">
        <v>7178</v>
      </c>
      <c r="B5753" s="1" t="s">
        <v>7179</v>
      </c>
      <c r="F5753">
        <v>1</v>
      </c>
      <c r="G5753" t="str">
        <f>HYPERLINK("http://babel.hathitrust.org/cgi/pt?id=nyp.33433082511712")</f>
        <v>http://babel.hathitrust.org/cgi/pt?id=nyp.33433082511712</v>
      </c>
      <c r="H5753" t="str">
        <f>HYPERLINK("http://catalog.hathitrust.org/Record/008654187")</f>
        <v>http://catalog.hathitrust.org/Record/008654187</v>
      </c>
      <c r="J5753" s="1">
        <v>1803</v>
      </c>
      <c r="K5753" t="s">
        <v>7180</v>
      </c>
      <c r="L5753" t="s">
        <v>15375</v>
      </c>
    </row>
    <row r="5754" spans="1:12">
      <c r="A5754" t="s">
        <v>7181</v>
      </c>
      <c r="B5754" s="1" t="s">
        <v>7182</v>
      </c>
      <c r="F5754">
        <v>1</v>
      </c>
      <c r="G5754" t="str">
        <f>HYPERLINK("http://babel.hathitrust.org/cgi/pt?id=nyp.33433082523071")</f>
        <v>http://babel.hathitrust.org/cgi/pt?id=nyp.33433082523071</v>
      </c>
      <c r="H5754" t="str">
        <f>HYPERLINK("http://catalog.hathitrust.org/Record/008654188")</f>
        <v>http://catalog.hathitrust.org/Record/008654188</v>
      </c>
      <c r="J5754" s="1">
        <v>1900</v>
      </c>
      <c r="K5754" t="s">
        <v>7183</v>
      </c>
      <c r="L5754" t="s">
        <v>16804</v>
      </c>
    </row>
    <row r="5755" spans="1:12">
      <c r="A5755" t="s">
        <v>7184</v>
      </c>
      <c r="B5755" s="1" t="s">
        <v>7185</v>
      </c>
      <c r="F5755">
        <v>1</v>
      </c>
      <c r="G5755" t="str">
        <f>HYPERLINK("http://babel.hathitrust.org/cgi/pt?id=nyp.33433082511381")</f>
        <v>http://babel.hathitrust.org/cgi/pt?id=nyp.33433082511381</v>
      </c>
      <c r="H5755" t="str">
        <f>HYPERLINK("http://catalog.hathitrust.org/Record/008654189")</f>
        <v>http://catalog.hathitrust.org/Record/008654189</v>
      </c>
      <c r="J5755" s="1">
        <v>1825</v>
      </c>
      <c r="K5755" t="s">
        <v>7186</v>
      </c>
      <c r="L5755" t="s">
        <v>15375</v>
      </c>
    </row>
    <row r="5756" spans="1:12">
      <c r="A5756" t="s">
        <v>7187</v>
      </c>
      <c r="B5756" s="1" t="s">
        <v>7188</v>
      </c>
      <c r="F5756">
        <v>1</v>
      </c>
      <c r="G5756" t="str">
        <f>HYPERLINK("http://babel.hathitrust.org/cgi/pt?id=nyp.33433082511639")</f>
        <v>http://babel.hathitrust.org/cgi/pt?id=nyp.33433082511639</v>
      </c>
      <c r="H5756" t="str">
        <f>HYPERLINK("http://catalog.hathitrust.org/Record/008654192")</f>
        <v>http://catalog.hathitrust.org/Record/008654192</v>
      </c>
      <c r="J5756" s="1">
        <v>1838</v>
      </c>
      <c r="K5756" t="s">
        <v>7189</v>
      </c>
      <c r="L5756" t="s">
        <v>14096</v>
      </c>
    </row>
    <row r="5757" spans="1:12">
      <c r="A5757" t="s">
        <v>7190</v>
      </c>
      <c r="B5757" s="1" t="s">
        <v>7191</v>
      </c>
      <c r="E5757">
        <v>1</v>
      </c>
      <c r="F5757">
        <v>1</v>
      </c>
      <c r="G5757" t="str">
        <f>HYPERLINK("http://babel.hathitrust.org/cgi/pt?id=nyp.33433082511621")</f>
        <v>http://babel.hathitrust.org/cgi/pt?id=nyp.33433082511621</v>
      </c>
      <c r="H5757" t="str">
        <f>HYPERLINK("http://catalog.hathitrust.org/Record/008654199")</f>
        <v>http://catalog.hathitrust.org/Record/008654199</v>
      </c>
      <c r="J5757" s="1">
        <v>1886</v>
      </c>
      <c r="K5757" t="s">
        <v>7192</v>
      </c>
      <c r="L5757" t="s">
        <v>13209</v>
      </c>
    </row>
    <row r="5758" spans="1:12">
      <c r="A5758" t="s">
        <v>7193</v>
      </c>
      <c r="B5758" s="1" t="s">
        <v>7194</v>
      </c>
      <c r="F5758">
        <v>1</v>
      </c>
      <c r="G5758" t="str">
        <f>HYPERLINK("http://babel.hathitrust.org/cgi/pt?id=nyp.33433082523386")</f>
        <v>http://babel.hathitrust.org/cgi/pt?id=nyp.33433082523386</v>
      </c>
      <c r="H5758" t="str">
        <f>HYPERLINK("http://catalog.hathitrust.org/Record/008654200")</f>
        <v>http://catalog.hathitrust.org/Record/008654200</v>
      </c>
      <c r="J5758" s="1">
        <v>1850</v>
      </c>
      <c r="K5758" t="s">
        <v>7120</v>
      </c>
      <c r="L5758" t="s">
        <v>13538</v>
      </c>
    </row>
    <row r="5759" spans="1:12">
      <c r="A5759" t="s">
        <v>7121</v>
      </c>
      <c r="B5759" s="1" t="s">
        <v>7122</v>
      </c>
      <c r="F5759">
        <v>1</v>
      </c>
      <c r="G5759" t="str">
        <f>HYPERLINK("http://babel.hathitrust.org/cgi/pt?id=nyp.33433082511613")</f>
        <v>http://babel.hathitrust.org/cgi/pt?id=nyp.33433082511613</v>
      </c>
      <c r="H5759" t="str">
        <f>HYPERLINK("http://catalog.hathitrust.org/Record/008654201")</f>
        <v>http://catalog.hathitrust.org/Record/008654201</v>
      </c>
      <c r="J5759" s="1">
        <v>1894</v>
      </c>
      <c r="K5759" t="s">
        <v>7123</v>
      </c>
      <c r="L5759" t="s">
        <v>13209</v>
      </c>
    </row>
    <row r="5760" spans="1:12">
      <c r="A5760" t="s">
        <v>7124</v>
      </c>
      <c r="B5760" s="1" t="s">
        <v>7125</v>
      </c>
      <c r="F5760">
        <v>1</v>
      </c>
      <c r="G5760" t="str">
        <f>HYPERLINK("http://babel.hathitrust.org/cgi/pt?id=nyp.33433082511654")</f>
        <v>http://babel.hathitrust.org/cgi/pt?id=nyp.33433082511654</v>
      </c>
      <c r="H5760" t="str">
        <f>HYPERLINK("http://catalog.hathitrust.org/Record/008654203")</f>
        <v>http://catalog.hathitrust.org/Record/008654203</v>
      </c>
      <c r="J5760" s="1">
        <v>1900</v>
      </c>
      <c r="K5760" t="s">
        <v>12471</v>
      </c>
      <c r="L5760" t="s">
        <v>16950</v>
      </c>
    </row>
    <row r="5761" spans="1:12">
      <c r="A5761" t="s">
        <v>7126</v>
      </c>
      <c r="B5761" s="1" t="s">
        <v>7127</v>
      </c>
      <c r="F5761">
        <v>1</v>
      </c>
      <c r="G5761" t="str">
        <f>HYPERLINK("http://babel.hathitrust.org/cgi/pt?id=nyp.33433082504527")</f>
        <v>http://babel.hathitrust.org/cgi/pt?id=nyp.33433082504527</v>
      </c>
      <c r="H5761" t="str">
        <f>HYPERLINK("http://catalog.hathitrust.org/Record/008654205")</f>
        <v>http://catalog.hathitrust.org/Record/008654205</v>
      </c>
      <c r="J5761" s="1">
        <v>1897</v>
      </c>
      <c r="K5761" t="s">
        <v>7128</v>
      </c>
    </row>
    <row r="5762" spans="1:12">
      <c r="A5762" t="s">
        <v>7129</v>
      </c>
      <c r="B5762" s="1" t="s">
        <v>7130</v>
      </c>
      <c r="F5762">
        <v>1</v>
      </c>
      <c r="G5762" t="str">
        <f>HYPERLINK("http://babel.hathitrust.org/cgi/pt?id=nyp.33433082511696")</f>
        <v>http://babel.hathitrust.org/cgi/pt?id=nyp.33433082511696</v>
      </c>
      <c r="H5762" t="str">
        <f>HYPERLINK("http://catalog.hathitrust.org/Record/008654207")</f>
        <v>http://catalog.hathitrust.org/Record/008654207</v>
      </c>
      <c r="J5762" s="1">
        <v>1894</v>
      </c>
      <c r="K5762" t="s">
        <v>7131</v>
      </c>
      <c r="L5762" t="s">
        <v>14556</v>
      </c>
    </row>
    <row r="5763" spans="1:12">
      <c r="A5763" t="s">
        <v>7132</v>
      </c>
      <c r="B5763" s="1" t="s">
        <v>7133</v>
      </c>
      <c r="F5763">
        <v>1</v>
      </c>
      <c r="G5763" t="str">
        <f>HYPERLINK("http://babel.hathitrust.org/cgi/pt?id=nyp.33433082504584")</f>
        <v>http://babel.hathitrust.org/cgi/pt?id=nyp.33433082504584</v>
      </c>
      <c r="H5763" t="str">
        <f>HYPERLINK("http://catalog.hathitrust.org/Record/008654210")</f>
        <v>http://catalog.hathitrust.org/Record/008654210</v>
      </c>
      <c r="J5763" s="1">
        <v>1878</v>
      </c>
      <c r="K5763" t="s">
        <v>7134</v>
      </c>
      <c r="L5763" t="s">
        <v>16761</v>
      </c>
    </row>
    <row r="5764" spans="1:12">
      <c r="A5764" t="s">
        <v>7135</v>
      </c>
      <c r="B5764" s="1" t="s">
        <v>7136</v>
      </c>
      <c r="F5764">
        <v>1</v>
      </c>
      <c r="G5764" t="str">
        <f>HYPERLINK("http://babel.hathitrust.org/cgi/pt?id=nyp.33433082504642")</f>
        <v>http://babel.hathitrust.org/cgi/pt?id=nyp.33433082504642</v>
      </c>
      <c r="H5764" t="str">
        <f>HYPERLINK("http://catalog.hathitrust.org/Record/008654212")</f>
        <v>http://catalog.hathitrust.org/Record/008654212</v>
      </c>
      <c r="J5764" s="1">
        <v>1913</v>
      </c>
      <c r="K5764" t="s">
        <v>13883</v>
      </c>
      <c r="L5764" t="s">
        <v>7137</v>
      </c>
    </row>
    <row r="5765" spans="1:12">
      <c r="A5765" t="s">
        <v>7138</v>
      </c>
      <c r="B5765" s="1" t="s">
        <v>7139</v>
      </c>
      <c r="F5765">
        <v>1</v>
      </c>
      <c r="G5765" t="str">
        <f>HYPERLINK("http://babel.hathitrust.org/cgi/pt?id=nyp.33433082504725")</f>
        <v>http://babel.hathitrust.org/cgi/pt?id=nyp.33433082504725</v>
      </c>
      <c r="H5765" t="str">
        <f>HYPERLINK("http://catalog.hathitrust.org/Record/008654228")</f>
        <v>http://catalog.hathitrust.org/Record/008654228</v>
      </c>
      <c r="J5765" s="1">
        <v>1913</v>
      </c>
      <c r="K5765" t="s">
        <v>7140</v>
      </c>
      <c r="L5765" t="s">
        <v>12423</v>
      </c>
    </row>
    <row r="5766" spans="1:12">
      <c r="A5766" t="s">
        <v>7141</v>
      </c>
      <c r="B5766" s="1" t="s">
        <v>7142</v>
      </c>
      <c r="F5766">
        <v>1</v>
      </c>
      <c r="G5766" t="str">
        <f>HYPERLINK("http://babel.hathitrust.org/cgi/pt?id=nyp.33433082522859")</f>
        <v>http://babel.hathitrust.org/cgi/pt?id=nyp.33433082522859</v>
      </c>
      <c r="H5766" t="str">
        <f>HYPERLINK("http://catalog.hathitrust.org/Record/008654247")</f>
        <v>http://catalog.hathitrust.org/Record/008654247</v>
      </c>
      <c r="J5766" s="1">
        <v>1858</v>
      </c>
      <c r="K5766" t="s">
        <v>7143</v>
      </c>
      <c r="L5766" t="s">
        <v>7144</v>
      </c>
    </row>
    <row r="5767" spans="1:12">
      <c r="A5767" t="s">
        <v>7145</v>
      </c>
      <c r="B5767" s="1" t="s">
        <v>7146</v>
      </c>
      <c r="E5767">
        <v>1</v>
      </c>
      <c r="F5767">
        <v>1</v>
      </c>
      <c r="G5767" t="str">
        <f>HYPERLINK("http://babel.hathitrust.org/cgi/pt?id=nyp.33433082523170")</f>
        <v>http://babel.hathitrust.org/cgi/pt?id=nyp.33433082523170</v>
      </c>
      <c r="H5767" t="str">
        <f>HYPERLINK("http://catalog.hathitrust.org/Record/008654258")</f>
        <v>http://catalog.hathitrust.org/Record/008654258</v>
      </c>
      <c r="J5767" s="1">
        <v>1845</v>
      </c>
      <c r="K5767" t="s">
        <v>7147</v>
      </c>
      <c r="L5767" t="s">
        <v>13304</v>
      </c>
    </row>
    <row r="5768" spans="1:12">
      <c r="A5768" t="s">
        <v>7148</v>
      </c>
      <c r="B5768" s="1" t="s">
        <v>7149</v>
      </c>
      <c r="F5768">
        <v>1</v>
      </c>
      <c r="G5768" t="str">
        <f>HYPERLINK("http://babel.hathitrust.org/cgi/pt?id=nyp.33433082497144")</f>
        <v>http://babel.hathitrust.org/cgi/pt?id=nyp.33433082497144</v>
      </c>
      <c r="H5768" t="str">
        <f>HYPERLINK("http://catalog.hathitrust.org/Record/008654265")</f>
        <v>http://catalog.hathitrust.org/Record/008654265</v>
      </c>
      <c r="J5768" s="1">
        <v>1911</v>
      </c>
      <c r="K5768" t="s">
        <v>7150</v>
      </c>
      <c r="L5768" t="s">
        <v>19505</v>
      </c>
    </row>
    <row r="5769" spans="1:12">
      <c r="A5769" t="s">
        <v>7151</v>
      </c>
      <c r="B5769" s="1" t="s">
        <v>7152</v>
      </c>
      <c r="F5769">
        <v>1</v>
      </c>
      <c r="G5769" t="str">
        <f>HYPERLINK("http://babel.hathitrust.org/cgi/pt?id=nyp.33433082523220")</f>
        <v>http://babel.hathitrust.org/cgi/pt?id=nyp.33433082523220</v>
      </c>
      <c r="H5769" t="str">
        <f>HYPERLINK("http://catalog.hathitrust.org/Record/008654292")</f>
        <v>http://catalog.hathitrust.org/Record/008654292</v>
      </c>
      <c r="I5769" s="1" t="s">
        <v>20796</v>
      </c>
      <c r="J5769" s="1">
        <v>1759</v>
      </c>
      <c r="K5769" t="s">
        <v>7087</v>
      </c>
      <c r="L5769" t="s">
        <v>14903</v>
      </c>
    </row>
    <row r="5770" spans="1:12">
      <c r="A5770" t="s">
        <v>7088</v>
      </c>
      <c r="B5770" s="1" t="s">
        <v>7152</v>
      </c>
      <c r="F5770">
        <v>1</v>
      </c>
      <c r="G5770" t="str">
        <f>HYPERLINK("http://babel.hathitrust.org/cgi/pt?id=nyp.33433082523238")</f>
        <v>http://babel.hathitrust.org/cgi/pt?id=nyp.33433082523238</v>
      </c>
      <c r="H5770" t="str">
        <f>HYPERLINK("http://catalog.hathitrust.org/Record/008654292")</f>
        <v>http://catalog.hathitrust.org/Record/008654292</v>
      </c>
      <c r="I5770" s="1" t="s">
        <v>20799</v>
      </c>
      <c r="J5770" s="1">
        <v>1759</v>
      </c>
      <c r="K5770" t="s">
        <v>7087</v>
      </c>
      <c r="L5770" t="s">
        <v>14903</v>
      </c>
    </row>
    <row r="5771" spans="1:12">
      <c r="A5771" t="s">
        <v>7089</v>
      </c>
      <c r="B5771" s="1" t="s">
        <v>7090</v>
      </c>
      <c r="E5771">
        <v>1</v>
      </c>
      <c r="F5771">
        <v>1</v>
      </c>
      <c r="G5771" t="str">
        <f>HYPERLINK("http://babel.hathitrust.org/cgi/pt?id=hvd.hwhiu9")</f>
        <v>http://babel.hathitrust.org/cgi/pt?id=hvd.hwhiu9</v>
      </c>
      <c r="H5771" t="str">
        <f>HYPERLINK("http://catalog.hathitrust.org/Record/008654302")</f>
        <v>http://catalog.hathitrust.org/Record/008654302</v>
      </c>
      <c r="J5771" s="1">
        <v>1832</v>
      </c>
      <c r="K5771" t="s">
        <v>7091</v>
      </c>
      <c r="L5771" t="s">
        <v>20454</v>
      </c>
    </row>
    <row r="5772" spans="1:12">
      <c r="A5772" t="s">
        <v>7092</v>
      </c>
      <c r="B5772" s="1" t="s">
        <v>7090</v>
      </c>
      <c r="F5772">
        <v>1</v>
      </c>
      <c r="G5772" t="str">
        <f>HYPERLINK("http://babel.hathitrust.org/cgi/pt?id=nyp.33433082522925")</f>
        <v>http://babel.hathitrust.org/cgi/pt?id=nyp.33433082522925</v>
      </c>
      <c r="H5772" t="str">
        <f>HYPERLINK("http://catalog.hathitrust.org/Record/008654302")</f>
        <v>http://catalog.hathitrust.org/Record/008654302</v>
      </c>
      <c r="J5772" s="1">
        <v>1832</v>
      </c>
      <c r="K5772" t="s">
        <v>7091</v>
      </c>
      <c r="L5772" t="s">
        <v>20454</v>
      </c>
    </row>
    <row r="5773" spans="1:12">
      <c r="A5773" t="s">
        <v>7093</v>
      </c>
      <c r="B5773" s="1" t="s">
        <v>7094</v>
      </c>
      <c r="E5773">
        <v>1</v>
      </c>
      <c r="F5773">
        <v>1</v>
      </c>
      <c r="G5773" t="str">
        <f>HYPERLINK("http://babel.hathitrust.org/cgi/pt?id=nyp.33433082522917")</f>
        <v>http://babel.hathitrust.org/cgi/pt?id=nyp.33433082522917</v>
      </c>
      <c r="H5773" t="str">
        <f>HYPERLINK("http://catalog.hathitrust.org/Record/008654304")</f>
        <v>http://catalog.hathitrust.org/Record/008654304</v>
      </c>
      <c r="J5773" s="1">
        <v>1886</v>
      </c>
      <c r="K5773" t="s">
        <v>7095</v>
      </c>
      <c r="L5773" t="s">
        <v>20629</v>
      </c>
    </row>
    <row r="5774" spans="1:12">
      <c r="A5774" t="s">
        <v>7096</v>
      </c>
      <c r="B5774" s="1" t="s">
        <v>7097</v>
      </c>
      <c r="F5774">
        <v>1</v>
      </c>
      <c r="G5774" t="str">
        <f>HYPERLINK("http://babel.hathitrust.org/cgi/pt?id=nyp.33433082523188")</f>
        <v>http://babel.hathitrust.org/cgi/pt?id=nyp.33433082523188</v>
      </c>
      <c r="H5774" t="str">
        <f>HYPERLINK("http://catalog.hathitrust.org/Record/008654322")</f>
        <v>http://catalog.hathitrust.org/Record/008654322</v>
      </c>
      <c r="J5774" s="1">
        <v>1845</v>
      </c>
      <c r="K5774" t="s">
        <v>7098</v>
      </c>
      <c r="L5774" t="s">
        <v>11060</v>
      </c>
    </row>
    <row r="5775" spans="1:12">
      <c r="A5775" t="s">
        <v>7099</v>
      </c>
      <c r="B5775" s="1" t="s">
        <v>7100</v>
      </c>
      <c r="F5775">
        <v>1</v>
      </c>
      <c r="G5775" t="str">
        <f>HYPERLINK("http://babel.hathitrust.org/cgi/pt?id=nyp.33433082522941")</f>
        <v>http://babel.hathitrust.org/cgi/pt?id=nyp.33433082522941</v>
      </c>
      <c r="H5775" t="str">
        <f>HYPERLINK("http://catalog.hathitrust.org/Record/008654323")</f>
        <v>http://catalog.hathitrust.org/Record/008654323</v>
      </c>
      <c r="J5775" s="1">
        <v>1904</v>
      </c>
      <c r="K5775" t="s">
        <v>7101</v>
      </c>
      <c r="L5775" t="s">
        <v>7102</v>
      </c>
    </row>
    <row r="5776" spans="1:12">
      <c r="A5776" t="s">
        <v>7103</v>
      </c>
      <c r="B5776" s="1" t="s">
        <v>7104</v>
      </c>
      <c r="F5776">
        <v>1</v>
      </c>
      <c r="G5776" t="str">
        <f>HYPERLINK("http://babel.hathitrust.org/cgi/pt?id=nyp.33433082511670")</f>
        <v>http://babel.hathitrust.org/cgi/pt?id=nyp.33433082511670</v>
      </c>
      <c r="H5776" t="str">
        <f>HYPERLINK("http://catalog.hathitrust.org/Record/008654326")</f>
        <v>http://catalog.hathitrust.org/Record/008654326</v>
      </c>
      <c r="J5776" s="1">
        <v>1827</v>
      </c>
      <c r="K5776" t="s">
        <v>7105</v>
      </c>
      <c r="L5776" t="s">
        <v>7106</v>
      </c>
    </row>
    <row r="5777" spans="1:12">
      <c r="A5777" t="s">
        <v>7107</v>
      </c>
      <c r="B5777" s="1" t="s">
        <v>7108</v>
      </c>
      <c r="F5777">
        <v>1</v>
      </c>
      <c r="G5777" t="str">
        <f>HYPERLINK("http://babel.hathitrust.org/cgi/pt?id=nyp.33433082522867")</f>
        <v>http://babel.hathitrust.org/cgi/pt?id=nyp.33433082522867</v>
      </c>
      <c r="H5777" t="str">
        <f>HYPERLINK("http://catalog.hathitrust.org/Record/008654327")</f>
        <v>http://catalog.hathitrust.org/Record/008654327</v>
      </c>
      <c r="J5777" s="1">
        <v>1859</v>
      </c>
      <c r="K5777" t="s">
        <v>7109</v>
      </c>
      <c r="L5777" t="s">
        <v>12717</v>
      </c>
    </row>
    <row r="5778" spans="1:12">
      <c r="A5778" t="s">
        <v>7110</v>
      </c>
      <c r="B5778" s="1" t="s">
        <v>7111</v>
      </c>
      <c r="F5778">
        <v>1</v>
      </c>
      <c r="G5778" t="str">
        <f>HYPERLINK("http://babel.hathitrust.org/cgi/pt?id=nyp.33433082511720")</f>
        <v>http://babel.hathitrust.org/cgi/pt?id=nyp.33433082511720</v>
      </c>
      <c r="H5778" t="str">
        <f>HYPERLINK("http://catalog.hathitrust.org/Record/008654328")</f>
        <v>http://catalog.hathitrust.org/Record/008654328</v>
      </c>
      <c r="J5778" s="1">
        <v>1829</v>
      </c>
      <c r="K5778" t="s">
        <v>7112</v>
      </c>
      <c r="L5778" t="s">
        <v>7106</v>
      </c>
    </row>
    <row r="5779" spans="1:12">
      <c r="A5779" t="s">
        <v>7113</v>
      </c>
      <c r="B5779" s="1" t="s">
        <v>7114</v>
      </c>
      <c r="F5779">
        <v>1</v>
      </c>
      <c r="G5779" t="str">
        <f>HYPERLINK("http://babel.hathitrust.org/cgi/pt?id=nyp.33433082522883")</f>
        <v>http://babel.hathitrust.org/cgi/pt?id=nyp.33433082522883</v>
      </c>
      <c r="H5779" t="str">
        <f>HYPERLINK("http://catalog.hathitrust.org/Record/008654329")</f>
        <v>http://catalog.hathitrust.org/Record/008654329</v>
      </c>
      <c r="J5779" s="1">
        <v>1841</v>
      </c>
      <c r="K5779" t="s">
        <v>12716</v>
      </c>
      <c r="L5779" t="s">
        <v>12717</v>
      </c>
    </row>
    <row r="5780" spans="1:12">
      <c r="A5780" t="s">
        <v>7115</v>
      </c>
      <c r="B5780" s="1" t="s">
        <v>7116</v>
      </c>
      <c r="F5780">
        <v>1</v>
      </c>
      <c r="G5780" t="str">
        <f>HYPERLINK("http://babel.hathitrust.org/cgi/pt?id=hvd.32044102845906")</f>
        <v>http://babel.hathitrust.org/cgi/pt?id=hvd.32044102845906</v>
      </c>
      <c r="H5780" t="str">
        <f>HYPERLINK("http://catalog.hathitrust.org/Record/008654330")</f>
        <v>http://catalog.hathitrust.org/Record/008654330</v>
      </c>
      <c r="J5780" s="1">
        <v>1843</v>
      </c>
      <c r="K5780" t="s">
        <v>7117</v>
      </c>
      <c r="L5780" t="s">
        <v>7106</v>
      </c>
    </row>
    <row r="5781" spans="1:12">
      <c r="A5781" t="s">
        <v>7118</v>
      </c>
      <c r="B5781" s="1" t="s">
        <v>7116</v>
      </c>
      <c r="F5781">
        <v>1</v>
      </c>
      <c r="G5781" t="str">
        <f>HYPERLINK("http://babel.hathitrust.org/cgi/pt?id=nyp.33433082511605")</f>
        <v>http://babel.hathitrust.org/cgi/pt?id=nyp.33433082511605</v>
      </c>
      <c r="H5781" t="str">
        <f>HYPERLINK("http://catalog.hathitrust.org/Record/008654330")</f>
        <v>http://catalog.hathitrust.org/Record/008654330</v>
      </c>
      <c r="J5781" s="1">
        <v>1843</v>
      </c>
      <c r="K5781" t="s">
        <v>7117</v>
      </c>
      <c r="L5781" t="s">
        <v>7106</v>
      </c>
    </row>
    <row r="5782" spans="1:12">
      <c r="A5782" t="s">
        <v>7119</v>
      </c>
      <c r="B5782" s="1" t="s">
        <v>7054</v>
      </c>
      <c r="F5782">
        <v>1</v>
      </c>
      <c r="G5782" t="str">
        <f>HYPERLINK("http://babel.hathitrust.org/cgi/pt?id=nyp.33433082511597")</f>
        <v>http://babel.hathitrust.org/cgi/pt?id=nyp.33433082511597</v>
      </c>
      <c r="H5782" t="str">
        <f>HYPERLINK("http://catalog.hathitrust.org/Record/008654331")</f>
        <v>http://catalog.hathitrust.org/Record/008654331</v>
      </c>
      <c r="J5782" s="1">
        <v>1852</v>
      </c>
      <c r="K5782" t="s">
        <v>7055</v>
      </c>
      <c r="L5782" t="s">
        <v>7106</v>
      </c>
    </row>
    <row r="5783" spans="1:12">
      <c r="A5783" t="s">
        <v>7056</v>
      </c>
      <c r="B5783" s="1" t="s">
        <v>7057</v>
      </c>
      <c r="F5783">
        <v>1</v>
      </c>
      <c r="G5783" t="str">
        <f>HYPERLINK("http://babel.hathitrust.org/cgi/pt?id=nyp.33433082511589")</f>
        <v>http://babel.hathitrust.org/cgi/pt?id=nyp.33433082511589</v>
      </c>
      <c r="H5783" t="str">
        <f>HYPERLINK("http://catalog.hathitrust.org/Record/008654335")</f>
        <v>http://catalog.hathitrust.org/Record/008654335</v>
      </c>
      <c r="J5783" s="1">
        <v>1845</v>
      </c>
      <c r="K5783" t="s">
        <v>7058</v>
      </c>
      <c r="L5783" t="s">
        <v>15292</v>
      </c>
    </row>
    <row r="5784" spans="1:12">
      <c r="A5784" t="s">
        <v>7059</v>
      </c>
      <c r="B5784" s="1" t="s">
        <v>7060</v>
      </c>
      <c r="F5784">
        <v>1</v>
      </c>
      <c r="G5784" t="str">
        <f>HYPERLINK("http://babel.hathitrust.org/cgi/pt?id=hvd.32044102846003")</f>
        <v>http://babel.hathitrust.org/cgi/pt?id=hvd.32044102846003</v>
      </c>
      <c r="H5784" t="str">
        <f>HYPERLINK("http://catalog.hathitrust.org/Record/008654336")</f>
        <v>http://catalog.hathitrust.org/Record/008654336</v>
      </c>
      <c r="J5784" s="1">
        <v>1851</v>
      </c>
      <c r="K5784" t="s">
        <v>7061</v>
      </c>
      <c r="L5784" t="s">
        <v>15292</v>
      </c>
    </row>
    <row r="5785" spans="1:12">
      <c r="A5785" t="s">
        <v>7062</v>
      </c>
      <c r="B5785" s="1" t="s">
        <v>7060</v>
      </c>
      <c r="F5785">
        <v>1</v>
      </c>
      <c r="G5785" t="str">
        <f>HYPERLINK("http://babel.hathitrust.org/cgi/pt?id=nyp.33433082511431")</f>
        <v>http://babel.hathitrust.org/cgi/pt?id=nyp.33433082511431</v>
      </c>
      <c r="H5785" t="str">
        <f>HYPERLINK("http://catalog.hathitrust.org/Record/008654336")</f>
        <v>http://catalog.hathitrust.org/Record/008654336</v>
      </c>
      <c r="J5785" s="1">
        <v>1851</v>
      </c>
      <c r="K5785" t="s">
        <v>7061</v>
      </c>
      <c r="L5785" t="s">
        <v>15292</v>
      </c>
    </row>
    <row r="5786" spans="1:12">
      <c r="A5786" t="s">
        <v>7063</v>
      </c>
      <c r="B5786" s="1" t="s">
        <v>7060</v>
      </c>
      <c r="F5786">
        <v>1</v>
      </c>
      <c r="G5786" t="str">
        <f>HYPERLINK("http://babel.hathitrust.org/cgi/pt?id=uva.x000448181")</f>
        <v>http://babel.hathitrust.org/cgi/pt?id=uva.x000448181</v>
      </c>
      <c r="H5786" t="str">
        <f>HYPERLINK("http://catalog.hathitrust.org/Record/008654336")</f>
        <v>http://catalog.hathitrust.org/Record/008654336</v>
      </c>
      <c r="J5786" s="1">
        <v>1851</v>
      </c>
      <c r="K5786" t="s">
        <v>7061</v>
      </c>
      <c r="L5786" t="s">
        <v>15292</v>
      </c>
    </row>
    <row r="5787" spans="1:12">
      <c r="A5787" t="s">
        <v>7064</v>
      </c>
      <c r="B5787" s="1" t="s">
        <v>7065</v>
      </c>
      <c r="F5787">
        <v>1</v>
      </c>
      <c r="G5787" t="str">
        <f>HYPERLINK("http://babel.hathitrust.org/cgi/pt?id=nyp.33433082511423")</f>
        <v>http://babel.hathitrust.org/cgi/pt?id=nyp.33433082511423</v>
      </c>
      <c r="H5787" t="str">
        <f>HYPERLINK("http://catalog.hathitrust.org/Record/008654337")</f>
        <v>http://catalog.hathitrust.org/Record/008654337</v>
      </c>
      <c r="J5787" s="1">
        <v>1852</v>
      </c>
      <c r="K5787" t="s">
        <v>7066</v>
      </c>
      <c r="L5787" t="s">
        <v>15292</v>
      </c>
    </row>
    <row r="5788" spans="1:12">
      <c r="A5788" t="s">
        <v>7067</v>
      </c>
      <c r="B5788" s="1" t="s">
        <v>7065</v>
      </c>
      <c r="F5788">
        <v>1</v>
      </c>
      <c r="G5788" t="str">
        <f>HYPERLINK("http://babel.hathitrust.org/cgi/pt?id=uva.x030732041")</f>
        <v>http://babel.hathitrust.org/cgi/pt?id=uva.x030732041</v>
      </c>
      <c r="H5788" t="str">
        <f>HYPERLINK("http://catalog.hathitrust.org/Record/008654337")</f>
        <v>http://catalog.hathitrust.org/Record/008654337</v>
      </c>
      <c r="J5788" s="1">
        <v>1852</v>
      </c>
      <c r="K5788" t="s">
        <v>7066</v>
      </c>
      <c r="L5788" t="s">
        <v>15292</v>
      </c>
    </row>
    <row r="5789" spans="1:12">
      <c r="A5789" t="s">
        <v>7068</v>
      </c>
      <c r="B5789" s="1" t="s">
        <v>7069</v>
      </c>
      <c r="F5789">
        <v>1</v>
      </c>
      <c r="G5789" t="str">
        <f>HYPERLINK("http://babel.hathitrust.org/cgi/pt?id=nyp.33433082511415")</f>
        <v>http://babel.hathitrust.org/cgi/pt?id=nyp.33433082511415</v>
      </c>
      <c r="H5789" t="str">
        <f>HYPERLINK("http://catalog.hathitrust.org/Record/008654338")</f>
        <v>http://catalog.hathitrust.org/Record/008654338</v>
      </c>
      <c r="J5789" s="1">
        <v>1854</v>
      </c>
      <c r="K5789" t="s">
        <v>7070</v>
      </c>
      <c r="L5789" t="s">
        <v>15292</v>
      </c>
    </row>
    <row r="5790" spans="1:12">
      <c r="A5790" t="s">
        <v>7071</v>
      </c>
      <c r="B5790" s="1" t="s">
        <v>7072</v>
      </c>
      <c r="F5790">
        <v>1</v>
      </c>
      <c r="G5790" t="str">
        <f>HYPERLINK("http://babel.hathitrust.org/cgi/pt?id=hvd.32044097075543")</f>
        <v>http://babel.hathitrust.org/cgi/pt?id=hvd.32044097075543</v>
      </c>
      <c r="H5790" t="str">
        <f>HYPERLINK("http://catalog.hathitrust.org/Record/008654339")</f>
        <v>http://catalog.hathitrust.org/Record/008654339</v>
      </c>
      <c r="J5790" s="1">
        <v>1833</v>
      </c>
      <c r="K5790" t="s">
        <v>11335</v>
      </c>
      <c r="L5790" t="s">
        <v>15292</v>
      </c>
    </row>
    <row r="5791" spans="1:12">
      <c r="A5791" t="s">
        <v>7073</v>
      </c>
      <c r="B5791" s="1" t="s">
        <v>7072</v>
      </c>
      <c r="F5791">
        <v>1</v>
      </c>
      <c r="G5791" t="str">
        <f>HYPERLINK("http://babel.hathitrust.org/cgi/pt?id=nyp.33433082511860")</f>
        <v>http://babel.hathitrust.org/cgi/pt?id=nyp.33433082511860</v>
      </c>
      <c r="H5791" t="str">
        <f>HYPERLINK("http://catalog.hathitrust.org/Record/008654339")</f>
        <v>http://catalog.hathitrust.org/Record/008654339</v>
      </c>
      <c r="J5791" s="1">
        <v>1833</v>
      </c>
      <c r="K5791" t="s">
        <v>11335</v>
      </c>
      <c r="L5791" t="s">
        <v>15292</v>
      </c>
    </row>
    <row r="5792" spans="1:12">
      <c r="A5792" t="s">
        <v>7074</v>
      </c>
      <c r="B5792" s="1" t="s">
        <v>7075</v>
      </c>
      <c r="F5792">
        <v>1</v>
      </c>
      <c r="G5792" t="str">
        <f>HYPERLINK("http://babel.hathitrust.org/cgi/pt?id=nyp.33433082511852")</f>
        <v>http://babel.hathitrust.org/cgi/pt?id=nyp.33433082511852</v>
      </c>
      <c r="H5792" t="str">
        <f>HYPERLINK("http://catalog.hathitrust.org/Record/008654340")</f>
        <v>http://catalog.hathitrust.org/Record/008654340</v>
      </c>
      <c r="J5792" s="1">
        <v>1840</v>
      </c>
      <c r="K5792" t="s">
        <v>11335</v>
      </c>
      <c r="L5792" t="s">
        <v>15292</v>
      </c>
    </row>
    <row r="5793" spans="1:12">
      <c r="A5793" t="s">
        <v>7076</v>
      </c>
      <c r="B5793" s="1" t="s">
        <v>7077</v>
      </c>
      <c r="F5793">
        <v>1</v>
      </c>
      <c r="G5793" t="str">
        <f>HYPERLINK("http://babel.hathitrust.org/cgi/pt?id=nyp.33433082511845")</f>
        <v>http://babel.hathitrust.org/cgi/pt?id=nyp.33433082511845</v>
      </c>
      <c r="H5793" t="str">
        <f>HYPERLINK("http://catalog.hathitrust.org/Record/008654341")</f>
        <v>http://catalog.hathitrust.org/Record/008654341</v>
      </c>
      <c r="J5793" s="1">
        <v>1853</v>
      </c>
      <c r="K5793" t="s">
        <v>11335</v>
      </c>
      <c r="L5793" t="s">
        <v>15292</v>
      </c>
    </row>
    <row r="5794" spans="1:12">
      <c r="A5794" t="s">
        <v>7078</v>
      </c>
      <c r="B5794" s="1" t="s">
        <v>7079</v>
      </c>
      <c r="F5794">
        <v>1</v>
      </c>
      <c r="G5794" t="str">
        <f>HYPERLINK("http://babel.hathitrust.org/cgi/pt?id=nyp.33433082511266")</f>
        <v>http://babel.hathitrust.org/cgi/pt?id=nyp.33433082511266</v>
      </c>
      <c r="H5794" t="str">
        <f>HYPERLINK("http://catalog.hathitrust.org/Record/008654342")</f>
        <v>http://catalog.hathitrust.org/Record/008654342</v>
      </c>
      <c r="J5794" s="1">
        <v>1871</v>
      </c>
      <c r="K5794" t="s">
        <v>11335</v>
      </c>
      <c r="L5794" t="s">
        <v>15292</v>
      </c>
    </row>
    <row r="5795" spans="1:12">
      <c r="A5795" t="s">
        <v>7080</v>
      </c>
      <c r="B5795" s="1" t="s">
        <v>7081</v>
      </c>
      <c r="F5795">
        <v>1</v>
      </c>
      <c r="G5795" t="str">
        <f>HYPERLINK("http://babel.hathitrust.org/cgi/pt?id=hvd.hn1eu9")</f>
        <v>http://babel.hathitrust.org/cgi/pt?id=hvd.hn1eu9</v>
      </c>
      <c r="H5795" t="str">
        <f>HYPERLINK("http://catalog.hathitrust.org/Record/008654350")</f>
        <v>http://catalog.hathitrust.org/Record/008654350</v>
      </c>
      <c r="J5795" s="1">
        <v>1849</v>
      </c>
      <c r="K5795" t="s">
        <v>7082</v>
      </c>
      <c r="L5795" t="s">
        <v>15292</v>
      </c>
    </row>
    <row r="5796" spans="1:12">
      <c r="A5796" t="s">
        <v>7083</v>
      </c>
      <c r="B5796" s="1" t="s">
        <v>7081</v>
      </c>
      <c r="F5796">
        <v>1</v>
      </c>
      <c r="G5796" t="str">
        <f>HYPERLINK("http://babel.hathitrust.org/cgi/pt?id=nyp.33433082528187")</f>
        <v>http://babel.hathitrust.org/cgi/pt?id=nyp.33433082528187</v>
      </c>
      <c r="H5796" t="str">
        <f>HYPERLINK("http://catalog.hathitrust.org/Record/008654350")</f>
        <v>http://catalog.hathitrust.org/Record/008654350</v>
      </c>
      <c r="J5796" s="1">
        <v>1849</v>
      </c>
      <c r="K5796" t="s">
        <v>7082</v>
      </c>
      <c r="L5796" t="s">
        <v>15292</v>
      </c>
    </row>
    <row r="5797" spans="1:12">
      <c r="A5797" t="s">
        <v>7084</v>
      </c>
      <c r="B5797" s="1" t="s">
        <v>7085</v>
      </c>
      <c r="F5797">
        <v>1</v>
      </c>
      <c r="G5797" t="str">
        <f>HYPERLINK("http://babel.hathitrust.org/cgi/pt?id=nyp.33433082522545")</f>
        <v>http://babel.hathitrust.org/cgi/pt?id=nyp.33433082522545</v>
      </c>
      <c r="H5797" t="str">
        <f>HYPERLINK("http://catalog.hathitrust.org/Record/008654351")</f>
        <v>http://catalog.hathitrust.org/Record/008654351</v>
      </c>
      <c r="J5797" s="1">
        <v>1851</v>
      </c>
      <c r="K5797" t="s">
        <v>7086</v>
      </c>
      <c r="L5797" t="s">
        <v>19496</v>
      </c>
    </row>
    <row r="5798" spans="1:12">
      <c r="A5798" t="s">
        <v>7019</v>
      </c>
      <c r="B5798" s="1" t="s">
        <v>7020</v>
      </c>
      <c r="F5798">
        <v>1</v>
      </c>
      <c r="G5798" t="str">
        <f>HYPERLINK("http://babel.hathitrust.org/cgi/pt?id=hvd.hwsk6e")</f>
        <v>http://babel.hathitrust.org/cgi/pt?id=hvd.hwsk6e</v>
      </c>
      <c r="H5798" t="str">
        <f>HYPERLINK("http://catalog.hathitrust.org/Record/008654352")</f>
        <v>http://catalog.hathitrust.org/Record/008654352</v>
      </c>
      <c r="J5798" s="1">
        <v>1856</v>
      </c>
      <c r="K5798" t="s">
        <v>7086</v>
      </c>
      <c r="L5798" t="s">
        <v>19496</v>
      </c>
    </row>
    <row r="5799" spans="1:12">
      <c r="A5799" t="s">
        <v>7021</v>
      </c>
      <c r="B5799" s="1" t="s">
        <v>7020</v>
      </c>
      <c r="F5799">
        <v>1</v>
      </c>
      <c r="G5799" t="str">
        <f>HYPERLINK("http://babel.hathitrust.org/cgi/pt?id=nyp.33433082522552")</f>
        <v>http://babel.hathitrust.org/cgi/pt?id=nyp.33433082522552</v>
      </c>
      <c r="H5799" t="str">
        <f>HYPERLINK("http://catalog.hathitrust.org/Record/008654352")</f>
        <v>http://catalog.hathitrust.org/Record/008654352</v>
      </c>
      <c r="J5799" s="1">
        <v>1856</v>
      </c>
      <c r="K5799" t="s">
        <v>7086</v>
      </c>
      <c r="L5799" t="s">
        <v>19496</v>
      </c>
    </row>
    <row r="5800" spans="1:12">
      <c r="A5800" t="s">
        <v>7022</v>
      </c>
      <c r="B5800" s="1" t="s">
        <v>7023</v>
      </c>
      <c r="F5800">
        <v>1</v>
      </c>
      <c r="G5800" t="str">
        <f>HYPERLINK("http://babel.hathitrust.org/cgi/pt?id=nyp.33433082511761")</f>
        <v>http://babel.hathitrust.org/cgi/pt?id=nyp.33433082511761</v>
      </c>
      <c r="H5800" t="str">
        <f>HYPERLINK("http://catalog.hathitrust.org/Record/008654354")</f>
        <v>http://catalog.hathitrust.org/Record/008654354</v>
      </c>
      <c r="J5800" s="1">
        <v>1864</v>
      </c>
      <c r="K5800" t="s">
        <v>7024</v>
      </c>
      <c r="L5800" t="s">
        <v>17959</v>
      </c>
    </row>
    <row r="5801" spans="1:12">
      <c r="A5801" t="s">
        <v>7025</v>
      </c>
      <c r="B5801" s="1" t="s">
        <v>7026</v>
      </c>
      <c r="F5801">
        <v>1</v>
      </c>
      <c r="G5801" t="str">
        <f>HYPERLINK("http://babel.hathitrust.org/cgi/pt?id=nyp.33433082511506")</f>
        <v>http://babel.hathitrust.org/cgi/pt?id=nyp.33433082511506</v>
      </c>
      <c r="H5801" t="str">
        <f>HYPERLINK("http://catalog.hathitrust.org/Record/008654355")</f>
        <v>http://catalog.hathitrust.org/Record/008654355</v>
      </c>
      <c r="J5801" s="1">
        <v>1865</v>
      </c>
      <c r="K5801" t="s">
        <v>7027</v>
      </c>
      <c r="L5801" t="s">
        <v>17959</v>
      </c>
    </row>
    <row r="5802" spans="1:12">
      <c r="A5802" t="s">
        <v>7028</v>
      </c>
      <c r="B5802" s="1" t="s">
        <v>7029</v>
      </c>
      <c r="F5802">
        <v>1</v>
      </c>
      <c r="G5802" t="str">
        <f>HYPERLINK("http://babel.hathitrust.org/cgi/pt?id=nyp.33433082511498")</f>
        <v>http://babel.hathitrust.org/cgi/pt?id=nyp.33433082511498</v>
      </c>
      <c r="H5802" t="str">
        <f>HYPERLINK("http://catalog.hathitrust.org/Record/008654360")</f>
        <v>http://catalog.hathitrust.org/Record/008654360</v>
      </c>
      <c r="J5802" s="1">
        <v>1889</v>
      </c>
      <c r="K5802" t="s">
        <v>7030</v>
      </c>
      <c r="L5802" t="s">
        <v>17959</v>
      </c>
    </row>
    <row r="5803" spans="1:12">
      <c r="A5803" t="s">
        <v>7031</v>
      </c>
      <c r="B5803" s="1" t="s">
        <v>7032</v>
      </c>
      <c r="F5803">
        <v>1</v>
      </c>
      <c r="G5803" t="str">
        <f>HYPERLINK("http://babel.hathitrust.org/cgi/pt?id=hvd.hn1s4h")</f>
        <v>http://babel.hathitrust.org/cgi/pt?id=hvd.hn1s4h</v>
      </c>
      <c r="H5803" t="str">
        <f>HYPERLINK("http://catalog.hathitrust.org/Record/008654362")</f>
        <v>http://catalog.hathitrust.org/Record/008654362</v>
      </c>
      <c r="J5803" s="1">
        <v>1867</v>
      </c>
      <c r="K5803" t="s">
        <v>7033</v>
      </c>
      <c r="L5803" t="s">
        <v>17959</v>
      </c>
    </row>
    <row r="5804" spans="1:12">
      <c r="A5804" t="s">
        <v>7034</v>
      </c>
      <c r="B5804" s="1" t="s">
        <v>7032</v>
      </c>
      <c r="F5804">
        <v>1</v>
      </c>
      <c r="G5804" t="str">
        <f>HYPERLINK("http://babel.hathitrust.org/cgi/pt?id=nyp.33433082511464")</f>
        <v>http://babel.hathitrust.org/cgi/pt?id=nyp.33433082511464</v>
      </c>
      <c r="H5804" t="str">
        <f>HYPERLINK("http://catalog.hathitrust.org/Record/008654362")</f>
        <v>http://catalog.hathitrust.org/Record/008654362</v>
      </c>
      <c r="J5804" s="1">
        <v>1867</v>
      </c>
      <c r="K5804" t="s">
        <v>7033</v>
      </c>
      <c r="L5804" t="s">
        <v>17959</v>
      </c>
    </row>
    <row r="5805" spans="1:12">
      <c r="A5805" t="s">
        <v>7035</v>
      </c>
      <c r="B5805" s="1" t="s">
        <v>7036</v>
      </c>
      <c r="F5805">
        <v>1</v>
      </c>
      <c r="G5805" t="str">
        <f>HYPERLINK("http://babel.hathitrust.org/cgi/pt?id=hvd.hn1rv5")</f>
        <v>http://babel.hathitrust.org/cgi/pt?id=hvd.hn1rv5</v>
      </c>
      <c r="H5805" t="str">
        <f>HYPERLINK("http://catalog.hathitrust.org/Record/008654363")</f>
        <v>http://catalog.hathitrust.org/Record/008654363</v>
      </c>
      <c r="J5805" s="1">
        <v>1868</v>
      </c>
      <c r="K5805" t="s">
        <v>7037</v>
      </c>
      <c r="L5805" t="s">
        <v>17959</v>
      </c>
    </row>
    <row r="5806" spans="1:12">
      <c r="A5806" t="s">
        <v>7038</v>
      </c>
      <c r="B5806" s="1" t="s">
        <v>7036</v>
      </c>
      <c r="F5806">
        <v>1</v>
      </c>
      <c r="G5806" t="str">
        <f>HYPERLINK("http://babel.hathitrust.org/cgi/pt?id=nyp.33433082511886")</f>
        <v>http://babel.hathitrust.org/cgi/pt?id=nyp.33433082511886</v>
      </c>
      <c r="H5806" t="str">
        <f>HYPERLINK("http://catalog.hathitrust.org/Record/008654363")</f>
        <v>http://catalog.hathitrust.org/Record/008654363</v>
      </c>
      <c r="J5806" s="1">
        <v>1868</v>
      </c>
      <c r="K5806" t="s">
        <v>7037</v>
      </c>
      <c r="L5806" t="s">
        <v>17959</v>
      </c>
    </row>
    <row r="5807" spans="1:12">
      <c r="A5807" t="s">
        <v>7039</v>
      </c>
      <c r="B5807" s="1" t="s">
        <v>7040</v>
      </c>
      <c r="F5807">
        <v>1</v>
      </c>
      <c r="G5807" t="str">
        <f>HYPERLINK("http://babel.hathitrust.org/cgi/pt?id=nyp.33433082511878")</f>
        <v>http://babel.hathitrust.org/cgi/pt?id=nyp.33433082511878</v>
      </c>
      <c r="H5807" t="str">
        <f>HYPERLINK("http://catalog.hathitrust.org/Record/008654364")</f>
        <v>http://catalog.hathitrust.org/Record/008654364</v>
      </c>
      <c r="J5807" s="1">
        <v>1881</v>
      </c>
      <c r="K5807" t="s">
        <v>7041</v>
      </c>
      <c r="L5807" t="s">
        <v>17959</v>
      </c>
    </row>
    <row r="5808" spans="1:12">
      <c r="A5808" t="s">
        <v>7042</v>
      </c>
      <c r="B5808" s="1" t="s">
        <v>7043</v>
      </c>
      <c r="F5808">
        <v>1</v>
      </c>
      <c r="G5808" t="str">
        <f>HYPERLINK("http://babel.hathitrust.org/cgi/pt?id=nyp.33433082528088")</f>
        <v>http://babel.hathitrust.org/cgi/pt?id=nyp.33433082528088</v>
      </c>
      <c r="H5808" t="str">
        <f>HYPERLINK("http://catalog.hathitrust.org/Record/008654365")</f>
        <v>http://catalog.hathitrust.org/Record/008654365</v>
      </c>
      <c r="J5808" s="1">
        <v>1814</v>
      </c>
      <c r="K5808" t="s">
        <v>7044</v>
      </c>
      <c r="L5808" t="s">
        <v>10587</v>
      </c>
    </row>
    <row r="5809" spans="1:12">
      <c r="A5809" t="s">
        <v>7045</v>
      </c>
      <c r="B5809" s="1" t="s">
        <v>7046</v>
      </c>
      <c r="F5809">
        <v>1</v>
      </c>
      <c r="G5809" t="str">
        <f>HYPERLINK("http://babel.hathitrust.org/cgi/pt?id=nyp.33433082528062")</f>
        <v>http://babel.hathitrust.org/cgi/pt?id=nyp.33433082528062</v>
      </c>
      <c r="H5809" t="str">
        <f>HYPERLINK("http://catalog.hathitrust.org/Record/008654366")</f>
        <v>http://catalog.hathitrust.org/Record/008654366</v>
      </c>
      <c r="J5809" s="1">
        <v>1817</v>
      </c>
      <c r="K5809" t="s">
        <v>7047</v>
      </c>
      <c r="L5809" t="s">
        <v>10587</v>
      </c>
    </row>
    <row r="5810" spans="1:12">
      <c r="A5810" t="s">
        <v>7048</v>
      </c>
      <c r="B5810" s="1" t="s">
        <v>7049</v>
      </c>
      <c r="F5810">
        <v>1</v>
      </c>
      <c r="G5810" t="str">
        <f>HYPERLINK("http://babel.hathitrust.org/cgi/pt?id=hvd.32044097056766")</f>
        <v>http://babel.hathitrust.org/cgi/pt?id=hvd.32044097056766</v>
      </c>
      <c r="H5810" t="str">
        <f>HYPERLINK("http://catalog.hathitrust.org/Record/008654367")</f>
        <v>http://catalog.hathitrust.org/Record/008654367</v>
      </c>
      <c r="J5810" s="1">
        <v>1820</v>
      </c>
      <c r="K5810" t="s">
        <v>7050</v>
      </c>
      <c r="L5810" t="s">
        <v>10587</v>
      </c>
    </row>
    <row r="5811" spans="1:12">
      <c r="A5811" t="s">
        <v>7051</v>
      </c>
      <c r="B5811" s="1" t="s">
        <v>7049</v>
      </c>
      <c r="F5811">
        <v>1</v>
      </c>
      <c r="G5811" t="str">
        <f>HYPERLINK("http://babel.hathitrust.org/cgi/pt?id=nyp.33433082528070")</f>
        <v>http://babel.hathitrust.org/cgi/pt?id=nyp.33433082528070</v>
      </c>
      <c r="H5811" t="str">
        <f>HYPERLINK("http://catalog.hathitrust.org/Record/008654367")</f>
        <v>http://catalog.hathitrust.org/Record/008654367</v>
      </c>
      <c r="J5811" s="1">
        <v>1820</v>
      </c>
      <c r="K5811" t="s">
        <v>7050</v>
      </c>
      <c r="L5811" t="s">
        <v>10587</v>
      </c>
    </row>
    <row r="5812" spans="1:12">
      <c r="A5812" t="s">
        <v>7052</v>
      </c>
      <c r="B5812" s="1" t="s">
        <v>7053</v>
      </c>
      <c r="F5812">
        <v>1</v>
      </c>
      <c r="G5812" t="str">
        <f>HYPERLINK("http://babel.hathitrust.org/cgi/pt?id=nyp.33433082528096")</f>
        <v>http://babel.hathitrust.org/cgi/pt?id=nyp.33433082528096</v>
      </c>
      <c r="H5812" t="str">
        <f>HYPERLINK("http://catalog.hathitrust.org/Record/008654368")</f>
        <v>http://catalog.hathitrust.org/Record/008654368</v>
      </c>
      <c r="J5812" s="1">
        <v>1820</v>
      </c>
      <c r="K5812" t="s">
        <v>6988</v>
      </c>
      <c r="L5812" t="s">
        <v>10587</v>
      </c>
    </row>
    <row r="5813" spans="1:12">
      <c r="A5813" t="s">
        <v>6989</v>
      </c>
      <c r="B5813" s="1" t="s">
        <v>6990</v>
      </c>
      <c r="F5813">
        <v>1</v>
      </c>
      <c r="G5813" t="str">
        <f>HYPERLINK("http://babel.hathitrust.org/cgi/pt?id=nyp.33433082528054")</f>
        <v>http://babel.hathitrust.org/cgi/pt?id=nyp.33433082528054</v>
      </c>
      <c r="H5813" t="str">
        <f>HYPERLINK("http://catalog.hathitrust.org/Record/008654369")</f>
        <v>http://catalog.hathitrust.org/Record/008654369</v>
      </c>
      <c r="J5813" s="1">
        <v>1823</v>
      </c>
      <c r="K5813" t="s">
        <v>6991</v>
      </c>
      <c r="L5813" t="s">
        <v>10587</v>
      </c>
    </row>
    <row r="5814" spans="1:12">
      <c r="A5814" t="s">
        <v>6992</v>
      </c>
      <c r="B5814" s="1" t="s">
        <v>6993</v>
      </c>
      <c r="F5814">
        <v>1</v>
      </c>
      <c r="G5814" t="str">
        <f>HYPERLINK("http://babel.hathitrust.org/cgi/pt?id=nyp.33433082522628")</f>
        <v>http://babel.hathitrust.org/cgi/pt?id=nyp.33433082522628</v>
      </c>
      <c r="H5814" t="str">
        <f>HYPERLINK("http://catalog.hathitrust.org/Record/008654372")</f>
        <v>http://catalog.hathitrust.org/Record/008654372</v>
      </c>
      <c r="J5814" s="1">
        <v>1868</v>
      </c>
      <c r="K5814" t="s">
        <v>6994</v>
      </c>
      <c r="L5814" t="s">
        <v>6995</v>
      </c>
    </row>
    <row r="5815" spans="1:12">
      <c r="A5815" t="s">
        <v>6996</v>
      </c>
      <c r="B5815" s="1" t="s">
        <v>6997</v>
      </c>
      <c r="F5815">
        <v>1</v>
      </c>
      <c r="G5815" t="str">
        <f>HYPERLINK("http://babel.hathitrust.org/cgi/pt?id=nyp.33433082522974")</f>
        <v>http://babel.hathitrust.org/cgi/pt?id=nyp.33433082522974</v>
      </c>
      <c r="H5815" t="str">
        <f>HYPERLINK("http://catalog.hathitrust.org/Record/008654384")</f>
        <v>http://catalog.hathitrust.org/Record/008654384</v>
      </c>
      <c r="J5815" s="1">
        <v>1886</v>
      </c>
      <c r="K5815" t="s">
        <v>6998</v>
      </c>
      <c r="L5815" t="s">
        <v>6999</v>
      </c>
    </row>
    <row r="5816" spans="1:12">
      <c r="A5816" t="s">
        <v>7000</v>
      </c>
      <c r="B5816" s="1" t="s">
        <v>7001</v>
      </c>
      <c r="F5816">
        <v>1</v>
      </c>
      <c r="G5816" t="str">
        <f>HYPERLINK("http://babel.hathitrust.org/cgi/pt?id=nyp.33433082512496")</f>
        <v>http://babel.hathitrust.org/cgi/pt?id=nyp.33433082512496</v>
      </c>
      <c r="H5816" t="str">
        <f>HYPERLINK("http://catalog.hathitrust.org/Record/008654388")</f>
        <v>http://catalog.hathitrust.org/Record/008654388</v>
      </c>
      <c r="J5816" s="1">
        <v>1823</v>
      </c>
      <c r="K5816" t="s">
        <v>7002</v>
      </c>
      <c r="L5816" t="s">
        <v>19514</v>
      </c>
    </row>
    <row r="5817" spans="1:12">
      <c r="A5817" t="s">
        <v>7003</v>
      </c>
      <c r="B5817" s="1" t="s">
        <v>7004</v>
      </c>
      <c r="F5817">
        <v>1</v>
      </c>
      <c r="G5817" t="str">
        <f>HYPERLINK("http://babel.hathitrust.org/cgi/pt?id=nyp.33433082522594")</f>
        <v>http://babel.hathitrust.org/cgi/pt?id=nyp.33433082522594</v>
      </c>
      <c r="H5817" t="str">
        <f>HYPERLINK("http://catalog.hathitrust.org/Record/008654391")</f>
        <v>http://catalog.hathitrust.org/Record/008654391</v>
      </c>
      <c r="J5817" s="1">
        <v>1888</v>
      </c>
      <c r="K5817" t="s">
        <v>7005</v>
      </c>
      <c r="L5817" t="s">
        <v>7006</v>
      </c>
    </row>
    <row r="5818" spans="1:12">
      <c r="A5818" t="s">
        <v>7007</v>
      </c>
      <c r="B5818" s="1" t="s">
        <v>7008</v>
      </c>
      <c r="F5818">
        <v>1</v>
      </c>
      <c r="G5818" t="str">
        <f>HYPERLINK("http://babel.hathitrust.org/cgi/pt?id=nyp.33433082522669")</f>
        <v>http://babel.hathitrust.org/cgi/pt?id=nyp.33433082522669</v>
      </c>
      <c r="H5818" t="str">
        <f>HYPERLINK("http://catalog.hathitrust.org/Record/008654444")</f>
        <v>http://catalog.hathitrust.org/Record/008654444</v>
      </c>
      <c r="J5818" s="1">
        <v>1895</v>
      </c>
      <c r="K5818" t="s">
        <v>7009</v>
      </c>
      <c r="L5818" t="s">
        <v>7173</v>
      </c>
    </row>
    <row r="5819" spans="1:12">
      <c r="A5819" t="s">
        <v>7010</v>
      </c>
      <c r="B5819" s="1" t="s">
        <v>7011</v>
      </c>
      <c r="F5819">
        <v>1</v>
      </c>
      <c r="G5819" t="str">
        <f>HYPERLINK("http://babel.hathitrust.org/cgi/pt?id=nyp.33433082522750")</f>
        <v>http://babel.hathitrust.org/cgi/pt?id=nyp.33433082522750</v>
      </c>
      <c r="H5819" t="str">
        <f>HYPERLINK("http://catalog.hathitrust.org/Record/008654448")</f>
        <v>http://catalog.hathitrust.org/Record/008654448</v>
      </c>
      <c r="J5819" s="1">
        <v>1879</v>
      </c>
      <c r="K5819" t="s">
        <v>7012</v>
      </c>
      <c r="L5819" t="s">
        <v>16681</v>
      </c>
    </row>
    <row r="5820" spans="1:12">
      <c r="A5820" t="s">
        <v>7013</v>
      </c>
      <c r="B5820" s="1" t="s">
        <v>7014</v>
      </c>
      <c r="F5820">
        <v>1</v>
      </c>
      <c r="G5820" t="str">
        <f>HYPERLINK("http://babel.hathitrust.org/cgi/pt?id=nyp.33433082522537")</f>
        <v>http://babel.hathitrust.org/cgi/pt?id=nyp.33433082522537</v>
      </c>
      <c r="H5820" t="str">
        <f>HYPERLINK("http://catalog.hathitrust.org/Record/008654450")</f>
        <v>http://catalog.hathitrust.org/Record/008654450</v>
      </c>
      <c r="J5820" s="1">
        <v>1908</v>
      </c>
      <c r="K5820" t="s">
        <v>7015</v>
      </c>
      <c r="L5820" t="s">
        <v>7016</v>
      </c>
    </row>
    <row r="5821" spans="1:12">
      <c r="A5821" t="s">
        <v>7017</v>
      </c>
      <c r="B5821" s="1" t="s">
        <v>7018</v>
      </c>
      <c r="E5821">
        <v>1</v>
      </c>
      <c r="F5821">
        <v>1</v>
      </c>
      <c r="G5821" t="str">
        <f>HYPERLINK("http://babel.hathitrust.org/cgi/pt?id=nyp.33433082522990")</f>
        <v>http://babel.hathitrust.org/cgi/pt?id=nyp.33433082522990</v>
      </c>
      <c r="H5821" t="str">
        <f>HYPERLINK("http://catalog.hathitrust.org/Record/008654455")</f>
        <v>http://catalog.hathitrust.org/Record/008654455</v>
      </c>
      <c r="J5821" s="1">
        <v>1878</v>
      </c>
      <c r="K5821" t="s">
        <v>6955</v>
      </c>
      <c r="L5821" t="s">
        <v>6956</v>
      </c>
    </row>
    <row r="5822" spans="1:12">
      <c r="A5822" t="s">
        <v>6957</v>
      </c>
      <c r="B5822" s="1" t="s">
        <v>6958</v>
      </c>
      <c r="E5822">
        <v>1</v>
      </c>
      <c r="F5822">
        <v>1</v>
      </c>
      <c r="G5822" t="str">
        <f>HYPERLINK("http://babel.hathitrust.org/cgi/pt?id=hvd.32044019028323")</f>
        <v>http://babel.hathitrust.org/cgi/pt?id=hvd.32044019028323</v>
      </c>
      <c r="H5822" t="str">
        <f>HYPERLINK("http://catalog.hathitrust.org/Record/008654456")</f>
        <v>http://catalog.hathitrust.org/Record/008654456</v>
      </c>
      <c r="J5822" s="1">
        <v>1845</v>
      </c>
      <c r="K5822" t="s">
        <v>6959</v>
      </c>
      <c r="L5822" t="s">
        <v>16692</v>
      </c>
    </row>
    <row r="5823" spans="1:12">
      <c r="A5823" t="s">
        <v>6960</v>
      </c>
      <c r="B5823" s="1" t="s">
        <v>6958</v>
      </c>
      <c r="F5823">
        <v>1</v>
      </c>
      <c r="G5823" t="str">
        <f>HYPERLINK("http://babel.hathitrust.org/cgi/pt?id=hvd.32044105427553")</f>
        <v>http://babel.hathitrust.org/cgi/pt?id=hvd.32044105427553</v>
      </c>
      <c r="H5823" t="str">
        <f>HYPERLINK("http://catalog.hathitrust.org/Record/008654456")</f>
        <v>http://catalog.hathitrust.org/Record/008654456</v>
      </c>
      <c r="J5823" s="1">
        <v>1845</v>
      </c>
      <c r="K5823" t="s">
        <v>6959</v>
      </c>
      <c r="L5823" t="s">
        <v>16692</v>
      </c>
    </row>
    <row r="5824" spans="1:12">
      <c r="A5824" t="s">
        <v>6961</v>
      </c>
      <c r="B5824" s="1" t="s">
        <v>6958</v>
      </c>
      <c r="F5824">
        <v>1</v>
      </c>
      <c r="G5824" t="str">
        <f>HYPERLINK("http://babel.hathitrust.org/cgi/pt?id=nyp.33433066604756")</f>
        <v>http://babel.hathitrust.org/cgi/pt?id=nyp.33433066604756</v>
      </c>
      <c r="H5824" t="str">
        <f>HYPERLINK("http://catalog.hathitrust.org/Record/008654456")</f>
        <v>http://catalog.hathitrust.org/Record/008654456</v>
      </c>
      <c r="J5824" s="1">
        <v>1845</v>
      </c>
      <c r="K5824" t="s">
        <v>6959</v>
      </c>
      <c r="L5824" t="s">
        <v>16692</v>
      </c>
    </row>
    <row r="5825" spans="1:12">
      <c r="A5825" t="s">
        <v>6962</v>
      </c>
      <c r="B5825" s="1" t="s">
        <v>6963</v>
      </c>
      <c r="E5825">
        <v>1</v>
      </c>
      <c r="G5825" t="str">
        <f>HYPERLINK("http://babel.hathitrust.org/cgi/pt?id=nyp.33433066604723")</f>
        <v>http://babel.hathitrust.org/cgi/pt?id=nyp.33433066604723</v>
      </c>
      <c r="H5825" t="str">
        <f>HYPERLINK("http://catalog.hathitrust.org/Record/008654458")</f>
        <v>http://catalog.hathitrust.org/Record/008654458</v>
      </c>
      <c r="J5825" s="1">
        <v>1852</v>
      </c>
      <c r="K5825" t="s">
        <v>6964</v>
      </c>
      <c r="L5825" t="s">
        <v>20043</v>
      </c>
    </row>
    <row r="5826" spans="1:12">
      <c r="A5826" t="s">
        <v>6965</v>
      </c>
      <c r="B5826" s="1" t="s">
        <v>6966</v>
      </c>
      <c r="F5826">
        <v>1</v>
      </c>
      <c r="G5826" t="str">
        <f>HYPERLINK("http://babel.hathitrust.org/cgi/pt?id=nyp.33433082513924")</f>
        <v>http://babel.hathitrust.org/cgi/pt?id=nyp.33433082513924</v>
      </c>
      <c r="H5826" t="str">
        <f>HYPERLINK("http://catalog.hathitrust.org/Record/008654467")</f>
        <v>http://catalog.hathitrust.org/Record/008654467</v>
      </c>
      <c r="J5826" s="1">
        <v>1811</v>
      </c>
      <c r="K5826" t="s">
        <v>6967</v>
      </c>
      <c r="L5826" t="s">
        <v>6968</v>
      </c>
    </row>
    <row r="5827" spans="1:12">
      <c r="A5827" t="s">
        <v>6969</v>
      </c>
      <c r="B5827" s="1" t="s">
        <v>6970</v>
      </c>
      <c r="F5827">
        <v>1</v>
      </c>
      <c r="G5827" t="str">
        <f>HYPERLINK("http://babel.hathitrust.org/cgi/pt?id=hvd.hwnqc2")</f>
        <v>http://babel.hathitrust.org/cgi/pt?id=hvd.hwnqc2</v>
      </c>
      <c r="H5827" t="str">
        <f>HYPERLINK("http://catalog.hathitrust.org/Record/008654476")</f>
        <v>http://catalog.hathitrust.org/Record/008654476</v>
      </c>
      <c r="J5827" s="1">
        <v>1830</v>
      </c>
      <c r="K5827" t="s">
        <v>6971</v>
      </c>
      <c r="L5827" t="s">
        <v>12679</v>
      </c>
    </row>
    <row r="5828" spans="1:12">
      <c r="A5828" t="s">
        <v>6972</v>
      </c>
      <c r="B5828" s="1" t="s">
        <v>6970</v>
      </c>
      <c r="F5828">
        <v>1</v>
      </c>
      <c r="G5828" t="str">
        <f>HYPERLINK("http://babel.hathitrust.org/cgi/pt?id=njp.32101063584310")</f>
        <v>http://babel.hathitrust.org/cgi/pt?id=njp.32101063584310</v>
      </c>
      <c r="H5828" t="str">
        <f>HYPERLINK("http://catalog.hathitrust.org/Record/008654476")</f>
        <v>http://catalog.hathitrust.org/Record/008654476</v>
      </c>
      <c r="J5828" s="1">
        <v>1830</v>
      </c>
      <c r="K5828" t="s">
        <v>6971</v>
      </c>
      <c r="L5828" t="s">
        <v>12679</v>
      </c>
    </row>
    <row r="5829" spans="1:12">
      <c r="A5829" t="s">
        <v>6973</v>
      </c>
      <c r="B5829" s="1" t="s">
        <v>6970</v>
      </c>
      <c r="F5829">
        <v>1</v>
      </c>
      <c r="G5829" t="str">
        <f>HYPERLINK("http://babel.hathitrust.org/cgi/pt?id=nyp.33433066604657")</f>
        <v>http://babel.hathitrust.org/cgi/pt?id=nyp.33433066604657</v>
      </c>
      <c r="H5829" t="str">
        <f>HYPERLINK("http://catalog.hathitrust.org/Record/008654476")</f>
        <v>http://catalog.hathitrust.org/Record/008654476</v>
      </c>
      <c r="J5829" s="1">
        <v>1830</v>
      </c>
      <c r="K5829" t="s">
        <v>6971</v>
      </c>
      <c r="L5829" t="s">
        <v>12679</v>
      </c>
    </row>
    <row r="5830" spans="1:12">
      <c r="A5830" t="s">
        <v>6974</v>
      </c>
      <c r="B5830" s="1" t="s">
        <v>6975</v>
      </c>
      <c r="F5830">
        <v>1</v>
      </c>
      <c r="G5830" t="str">
        <f>HYPERLINK("http://babel.hathitrust.org/cgi/pt?id=ien.35556006195317")</f>
        <v>http://babel.hathitrust.org/cgi/pt?id=ien.35556006195317</v>
      </c>
      <c r="H5830" t="str">
        <f>HYPERLINK("http://catalog.hathitrust.org/Record/008654479")</f>
        <v>http://catalog.hathitrust.org/Record/008654479</v>
      </c>
      <c r="J5830" s="1">
        <v>1835</v>
      </c>
      <c r="K5830" t="s">
        <v>6976</v>
      </c>
      <c r="L5830" t="s">
        <v>12679</v>
      </c>
    </row>
    <row r="5831" spans="1:12">
      <c r="A5831" t="s">
        <v>6977</v>
      </c>
      <c r="B5831" s="1" t="s">
        <v>6975</v>
      </c>
      <c r="F5831">
        <v>1</v>
      </c>
      <c r="G5831" t="str">
        <f>HYPERLINK("http://babel.hathitrust.org/cgi/pt?id=nyp.33433066604640")</f>
        <v>http://babel.hathitrust.org/cgi/pt?id=nyp.33433066604640</v>
      </c>
      <c r="H5831" t="str">
        <f>HYPERLINK("http://catalog.hathitrust.org/Record/008654479")</f>
        <v>http://catalog.hathitrust.org/Record/008654479</v>
      </c>
      <c r="J5831" s="1">
        <v>1835</v>
      </c>
      <c r="K5831" t="s">
        <v>6976</v>
      </c>
      <c r="L5831" t="s">
        <v>12679</v>
      </c>
    </row>
    <row r="5832" spans="1:12">
      <c r="A5832" t="s">
        <v>6978</v>
      </c>
      <c r="B5832" s="1" t="s">
        <v>6979</v>
      </c>
      <c r="F5832">
        <v>1</v>
      </c>
      <c r="G5832" t="str">
        <f>HYPERLINK("http://babel.hathitrust.org/cgi/pt?id=nyp.33433066604632")</f>
        <v>http://babel.hathitrust.org/cgi/pt?id=nyp.33433066604632</v>
      </c>
      <c r="H5832" t="str">
        <f>HYPERLINK("http://catalog.hathitrust.org/Record/008654481")</f>
        <v>http://catalog.hathitrust.org/Record/008654481</v>
      </c>
      <c r="J5832" s="1">
        <v>1854</v>
      </c>
      <c r="K5832" t="s">
        <v>6976</v>
      </c>
      <c r="L5832" t="s">
        <v>12679</v>
      </c>
    </row>
    <row r="5833" spans="1:12">
      <c r="A5833" t="s">
        <v>6980</v>
      </c>
      <c r="B5833" s="1" t="s">
        <v>6981</v>
      </c>
      <c r="E5833">
        <v>1</v>
      </c>
      <c r="F5833">
        <v>1</v>
      </c>
      <c r="G5833" t="str">
        <f>HYPERLINK("http://babel.hathitrust.org/cgi/pt?id=nyp.33433066604624")</f>
        <v>http://babel.hathitrust.org/cgi/pt?id=nyp.33433066604624</v>
      </c>
      <c r="H5833" t="str">
        <f>HYPERLINK("http://catalog.hathitrust.org/Record/008654483")</f>
        <v>http://catalog.hathitrust.org/Record/008654483</v>
      </c>
      <c r="J5833" s="1">
        <v>1871</v>
      </c>
      <c r="K5833" t="s">
        <v>6982</v>
      </c>
      <c r="L5833" t="s">
        <v>11525</v>
      </c>
    </row>
    <row r="5834" spans="1:12">
      <c r="A5834" t="s">
        <v>6983</v>
      </c>
      <c r="B5834" s="1" t="s">
        <v>6984</v>
      </c>
      <c r="F5834">
        <v>1</v>
      </c>
      <c r="G5834" t="str">
        <f>HYPERLINK("http://babel.hathitrust.org/cgi/pt?id=hvd.hw1xq8")</f>
        <v>http://babel.hathitrust.org/cgi/pt?id=hvd.hw1xq8</v>
      </c>
      <c r="H5834" t="str">
        <f>HYPERLINK("http://catalog.hathitrust.org/Record/008654484")</f>
        <v>http://catalog.hathitrust.org/Record/008654484</v>
      </c>
      <c r="J5834" s="1">
        <v>1844</v>
      </c>
      <c r="K5834" t="s">
        <v>18884</v>
      </c>
      <c r="L5834" t="s">
        <v>18885</v>
      </c>
    </row>
    <row r="5835" spans="1:12">
      <c r="A5835" t="s">
        <v>6985</v>
      </c>
      <c r="B5835" s="1" t="s">
        <v>6984</v>
      </c>
      <c r="F5835">
        <v>1</v>
      </c>
      <c r="G5835" t="str">
        <f>HYPERLINK("http://babel.hathitrust.org/cgi/pt?id=nyp.33433082513874")</f>
        <v>http://babel.hathitrust.org/cgi/pt?id=nyp.33433082513874</v>
      </c>
      <c r="H5835" t="str">
        <f>HYPERLINK("http://catalog.hathitrust.org/Record/008654484")</f>
        <v>http://catalog.hathitrust.org/Record/008654484</v>
      </c>
      <c r="J5835" s="1">
        <v>1844</v>
      </c>
      <c r="K5835" t="s">
        <v>18884</v>
      </c>
      <c r="L5835" t="s">
        <v>18885</v>
      </c>
    </row>
    <row r="5836" spans="1:12">
      <c r="A5836" t="s">
        <v>6986</v>
      </c>
      <c r="B5836" s="1" t="s">
        <v>6987</v>
      </c>
      <c r="F5836">
        <v>1</v>
      </c>
      <c r="G5836" t="str">
        <f>HYPERLINK("http://babel.hathitrust.org/cgi/pt?id=nyp.33433066604616")</f>
        <v>http://babel.hathitrust.org/cgi/pt?id=nyp.33433066604616</v>
      </c>
      <c r="H5836" t="str">
        <f>HYPERLINK("http://catalog.hathitrust.org/Record/008654488")</f>
        <v>http://catalog.hathitrust.org/Record/008654488</v>
      </c>
      <c r="J5836" s="1">
        <v>1879</v>
      </c>
      <c r="K5836" t="s">
        <v>6920</v>
      </c>
      <c r="L5836" t="s">
        <v>16848</v>
      </c>
    </row>
    <row r="5837" spans="1:12">
      <c r="A5837" t="s">
        <v>6921</v>
      </c>
      <c r="B5837" s="1" t="s">
        <v>6922</v>
      </c>
      <c r="F5837">
        <v>1</v>
      </c>
      <c r="G5837" t="str">
        <f>HYPERLINK("http://babel.hathitrust.org/cgi/pt?id=nyp.33433082513932")</f>
        <v>http://babel.hathitrust.org/cgi/pt?id=nyp.33433082513932</v>
      </c>
      <c r="H5837" t="str">
        <f>HYPERLINK("http://catalog.hathitrust.org/Record/008654489")</f>
        <v>http://catalog.hathitrust.org/Record/008654489</v>
      </c>
      <c r="J5837" s="1">
        <v>1911</v>
      </c>
      <c r="K5837" t="s">
        <v>6923</v>
      </c>
      <c r="L5837" t="s">
        <v>18885</v>
      </c>
    </row>
    <row r="5838" spans="1:12">
      <c r="A5838" t="s">
        <v>6924</v>
      </c>
      <c r="B5838" s="1" t="s">
        <v>6925</v>
      </c>
      <c r="F5838">
        <v>1</v>
      </c>
      <c r="G5838" t="str">
        <f>HYPERLINK("http://babel.hathitrust.org/cgi/pt?id=hvd.hw2izf")</f>
        <v>http://babel.hathitrust.org/cgi/pt?id=hvd.hw2izf</v>
      </c>
      <c r="H5838" t="str">
        <f>HYPERLINK("http://catalog.hathitrust.org/Record/008654510")</f>
        <v>http://catalog.hathitrust.org/Record/008654510</v>
      </c>
      <c r="J5838" s="1">
        <v>1853</v>
      </c>
      <c r="K5838" t="s">
        <v>6926</v>
      </c>
      <c r="L5838" t="s">
        <v>6927</v>
      </c>
    </row>
    <row r="5839" spans="1:12">
      <c r="A5839" t="s">
        <v>6928</v>
      </c>
      <c r="B5839" s="1" t="s">
        <v>6925</v>
      </c>
      <c r="F5839">
        <v>1</v>
      </c>
      <c r="G5839" t="str">
        <f>HYPERLINK("http://babel.hathitrust.org/cgi/pt?id=nyp.33433066604582")</f>
        <v>http://babel.hathitrust.org/cgi/pt?id=nyp.33433066604582</v>
      </c>
      <c r="H5839" t="str">
        <f>HYPERLINK("http://catalog.hathitrust.org/Record/008654510")</f>
        <v>http://catalog.hathitrust.org/Record/008654510</v>
      </c>
      <c r="J5839" s="1">
        <v>1853</v>
      </c>
      <c r="K5839" t="s">
        <v>6926</v>
      </c>
      <c r="L5839" t="s">
        <v>6927</v>
      </c>
    </row>
    <row r="5840" spans="1:12">
      <c r="A5840" t="s">
        <v>6929</v>
      </c>
      <c r="B5840" s="1" t="s">
        <v>6930</v>
      </c>
      <c r="F5840">
        <v>1</v>
      </c>
      <c r="G5840" t="str">
        <f>HYPERLINK("http://babel.hathitrust.org/cgi/pt?id=nyp.33433082523568")</f>
        <v>http://babel.hathitrust.org/cgi/pt?id=nyp.33433082523568</v>
      </c>
      <c r="H5840" t="str">
        <f>HYPERLINK("http://catalog.hathitrust.org/Record/008654541")</f>
        <v>http://catalog.hathitrust.org/Record/008654541</v>
      </c>
      <c r="J5840" s="1">
        <v>1822</v>
      </c>
      <c r="K5840" t="s">
        <v>6931</v>
      </c>
      <c r="L5840" t="s">
        <v>20960</v>
      </c>
    </row>
    <row r="5841" spans="1:12">
      <c r="A5841" t="s">
        <v>6932</v>
      </c>
      <c r="B5841" s="1" t="s">
        <v>6933</v>
      </c>
      <c r="F5841">
        <v>1</v>
      </c>
      <c r="G5841" t="str">
        <f>HYPERLINK("http://babel.hathitrust.org/cgi/pt?id=hvd.hwhik4")</f>
        <v>http://babel.hathitrust.org/cgi/pt?id=hvd.hwhik4</v>
      </c>
      <c r="H5841" t="str">
        <f>HYPERLINK("http://catalog.hathitrust.org/Record/008654607")</f>
        <v>http://catalog.hathitrust.org/Record/008654607</v>
      </c>
      <c r="J5841" s="1">
        <v>1834</v>
      </c>
      <c r="K5841" t="s">
        <v>18884</v>
      </c>
      <c r="L5841" t="s">
        <v>18885</v>
      </c>
    </row>
    <row r="5842" spans="1:12">
      <c r="A5842" t="s">
        <v>6934</v>
      </c>
      <c r="B5842" s="1" t="s">
        <v>6933</v>
      </c>
      <c r="F5842">
        <v>1</v>
      </c>
      <c r="G5842" t="str">
        <f>HYPERLINK("http://babel.hathitrust.org/cgi/pt?id=nyp.33433082523592")</f>
        <v>http://babel.hathitrust.org/cgi/pt?id=nyp.33433082523592</v>
      </c>
      <c r="H5842" t="str">
        <f>HYPERLINK("http://catalog.hathitrust.org/Record/008654607")</f>
        <v>http://catalog.hathitrust.org/Record/008654607</v>
      </c>
      <c r="J5842" s="1">
        <v>1834</v>
      </c>
      <c r="K5842" t="s">
        <v>18884</v>
      </c>
      <c r="L5842" t="s">
        <v>18885</v>
      </c>
    </row>
    <row r="5843" spans="1:12">
      <c r="A5843" t="s">
        <v>6935</v>
      </c>
      <c r="B5843" s="1" t="s">
        <v>6936</v>
      </c>
      <c r="F5843">
        <v>1</v>
      </c>
      <c r="G5843" t="str">
        <f>HYPERLINK("http://babel.hathitrust.org/cgi/pt?id=nyp.33433082511449")</f>
        <v>http://babel.hathitrust.org/cgi/pt?id=nyp.33433082511449</v>
      </c>
      <c r="H5843" t="str">
        <f>HYPERLINK("http://catalog.hathitrust.org/Record/008654609")</f>
        <v>http://catalog.hathitrust.org/Record/008654609</v>
      </c>
      <c r="J5843" s="1">
        <v>1900</v>
      </c>
      <c r="K5843" t="s">
        <v>6937</v>
      </c>
      <c r="L5843" t="s">
        <v>10807</v>
      </c>
    </row>
    <row r="5844" spans="1:12">
      <c r="A5844" t="s">
        <v>6938</v>
      </c>
      <c r="B5844" s="1" t="s">
        <v>6939</v>
      </c>
      <c r="E5844">
        <v>1</v>
      </c>
      <c r="F5844">
        <v>1</v>
      </c>
      <c r="G5844" t="str">
        <f>HYPERLINK("http://babel.hathitrust.org/cgi/pt?id=nyp.33433082512017")</f>
        <v>http://babel.hathitrust.org/cgi/pt?id=nyp.33433082512017</v>
      </c>
      <c r="H5844" t="str">
        <f>HYPERLINK("http://catalog.hathitrust.org/Record/008654612")</f>
        <v>http://catalog.hathitrust.org/Record/008654612</v>
      </c>
      <c r="J5844" s="1">
        <v>1906</v>
      </c>
      <c r="K5844" t="s">
        <v>6940</v>
      </c>
      <c r="L5844" t="s">
        <v>6941</v>
      </c>
    </row>
    <row r="5845" spans="1:12">
      <c r="A5845" t="s">
        <v>6942</v>
      </c>
      <c r="B5845" s="1" t="s">
        <v>6943</v>
      </c>
      <c r="E5845">
        <v>1</v>
      </c>
      <c r="F5845">
        <v>1</v>
      </c>
      <c r="G5845" t="str">
        <f>HYPERLINK("http://babel.hathitrust.org/cgi/pt?id=nyp.33433082512330")</f>
        <v>http://babel.hathitrust.org/cgi/pt?id=nyp.33433082512330</v>
      </c>
      <c r="H5845" t="str">
        <f>HYPERLINK("http://catalog.hathitrust.org/Record/008654617")</f>
        <v>http://catalog.hathitrust.org/Record/008654617</v>
      </c>
      <c r="J5845" s="1">
        <v>1905</v>
      </c>
      <c r="K5845" t="s">
        <v>6944</v>
      </c>
      <c r="L5845" t="s">
        <v>6945</v>
      </c>
    </row>
    <row r="5846" spans="1:12">
      <c r="A5846" t="s">
        <v>6946</v>
      </c>
      <c r="B5846" s="1" t="s">
        <v>6947</v>
      </c>
      <c r="F5846">
        <v>1</v>
      </c>
      <c r="G5846" t="str">
        <f>HYPERLINK("http://babel.hathitrust.org/cgi/pt?id=nyp.33433082511936")</f>
        <v>http://babel.hathitrust.org/cgi/pt?id=nyp.33433082511936</v>
      </c>
      <c r="H5846" t="str">
        <f>HYPERLINK("http://catalog.hathitrust.org/Record/008654625")</f>
        <v>http://catalog.hathitrust.org/Record/008654625</v>
      </c>
      <c r="J5846" s="1">
        <v>1810</v>
      </c>
      <c r="K5846" t="s">
        <v>6948</v>
      </c>
      <c r="L5846" t="s">
        <v>20960</v>
      </c>
    </row>
    <row r="5847" spans="1:12">
      <c r="A5847" t="s">
        <v>6949</v>
      </c>
      <c r="B5847" s="1" t="s">
        <v>6947</v>
      </c>
      <c r="F5847">
        <v>1</v>
      </c>
      <c r="G5847" t="str">
        <f>HYPERLINK("http://babel.hathitrust.org/cgi/pt?id=nyp.33433082511944")</f>
        <v>http://babel.hathitrust.org/cgi/pt?id=nyp.33433082511944</v>
      </c>
      <c r="H5847" t="str">
        <f>HYPERLINK("http://catalog.hathitrust.org/Record/008654625")</f>
        <v>http://catalog.hathitrust.org/Record/008654625</v>
      </c>
      <c r="J5847" s="1">
        <v>1810</v>
      </c>
      <c r="K5847" t="s">
        <v>6948</v>
      </c>
      <c r="L5847" t="s">
        <v>20960</v>
      </c>
    </row>
    <row r="5848" spans="1:12">
      <c r="A5848" t="s">
        <v>6950</v>
      </c>
      <c r="B5848" s="1" t="s">
        <v>6951</v>
      </c>
      <c r="F5848">
        <v>1</v>
      </c>
      <c r="G5848" t="str">
        <f>HYPERLINK("http://babel.hathitrust.org/cgi/pt?id=nyp.33433082511837")</f>
        <v>http://babel.hathitrust.org/cgi/pt?id=nyp.33433082511837</v>
      </c>
      <c r="H5848" t="str">
        <f>HYPERLINK("http://catalog.hathitrust.org/Record/008654628")</f>
        <v>http://catalog.hathitrust.org/Record/008654628</v>
      </c>
      <c r="J5848" s="1">
        <v>1833</v>
      </c>
      <c r="K5848" t="s">
        <v>6952</v>
      </c>
      <c r="L5848" t="s">
        <v>16039</v>
      </c>
    </row>
    <row r="5849" spans="1:12">
      <c r="A5849" t="s">
        <v>6953</v>
      </c>
      <c r="B5849" s="1" t="s">
        <v>6954</v>
      </c>
      <c r="F5849">
        <v>1</v>
      </c>
      <c r="G5849" t="str">
        <f>HYPERLINK("http://babel.hathitrust.org/cgi/pt?id=nyp.33433082511829")</f>
        <v>http://babel.hathitrust.org/cgi/pt?id=nyp.33433082511829</v>
      </c>
      <c r="H5849" t="str">
        <f>HYPERLINK("http://catalog.hathitrust.org/Record/008654629")</f>
        <v>http://catalog.hathitrust.org/Record/008654629</v>
      </c>
      <c r="J5849" s="1">
        <v>1841</v>
      </c>
      <c r="K5849" t="s">
        <v>6870</v>
      </c>
      <c r="L5849" t="s">
        <v>16039</v>
      </c>
    </row>
    <row r="5850" spans="1:12">
      <c r="A5850" t="s">
        <v>6871</v>
      </c>
      <c r="B5850" s="1" t="s">
        <v>6872</v>
      </c>
      <c r="F5850">
        <v>1</v>
      </c>
      <c r="G5850" t="str">
        <f>HYPERLINK("http://babel.hathitrust.org/cgi/pt?id=nyp.33433082523303")</f>
        <v>http://babel.hathitrust.org/cgi/pt?id=nyp.33433082523303</v>
      </c>
      <c r="H5850" t="str">
        <f>HYPERLINK("http://catalog.hathitrust.org/Record/008654643")</f>
        <v>http://catalog.hathitrust.org/Record/008654643</v>
      </c>
      <c r="J5850" s="1">
        <v>1885</v>
      </c>
      <c r="K5850" t="s">
        <v>6873</v>
      </c>
      <c r="L5850" t="s">
        <v>6874</v>
      </c>
    </row>
    <row r="5851" spans="1:12">
      <c r="A5851" t="s">
        <v>6875</v>
      </c>
      <c r="B5851" s="1" t="s">
        <v>6876</v>
      </c>
      <c r="F5851">
        <v>1</v>
      </c>
      <c r="G5851" t="str">
        <f>HYPERLINK("http://babel.hathitrust.org/cgi/pt?id=nyp.33433082511795")</f>
        <v>http://babel.hathitrust.org/cgi/pt?id=nyp.33433082511795</v>
      </c>
      <c r="H5851" t="str">
        <f>HYPERLINK("http://catalog.hathitrust.org/Record/008654651")</f>
        <v>http://catalog.hathitrust.org/Record/008654651</v>
      </c>
      <c r="J5851" s="1">
        <v>1906</v>
      </c>
      <c r="K5851" t="s">
        <v>6877</v>
      </c>
      <c r="L5851" t="s">
        <v>6878</v>
      </c>
    </row>
    <row r="5852" spans="1:12">
      <c r="A5852" t="s">
        <v>6879</v>
      </c>
      <c r="B5852" s="1" t="s">
        <v>6880</v>
      </c>
      <c r="F5852">
        <v>1</v>
      </c>
      <c r="G5852" t="str">
        <f>HYPERLINK("http://babel.hathitrust.org/cgi/pt?id=nyp.33433082511787")</f>
        <v>http://babel.hathitrust.org/cgi/pt?id=nyp.33433082511787</v>
      </c>
      <c r="H5852" t="str">
        <f>HYPERLINK("http://catalog.hathitrust.org/Record/008654653")</f>
        <v>http://catalog.hathitrust.org/Record/008654653</v>
      </c>
      <c r="J5852" s="1">
        <v>1888</v>
      </c>
      <c r="K5852" t="s">
        <v>6881</v>
      </c>
    </row>
    <row r="5853" spans="1:12">
      <c r="A5853" t="s">
        <v>6882</v>
      </c>
      <c r="B5853" s="1" t="s">
        <v>6883</v>
      </c>
      <c r="F5853">
        <v>1</v>
      </c>
      <c r="G5853" t="str">
        <f>HYPERLINK("http://babel.hathitrust.org/cgi/pt?id=nyp.33433082512413")</f>
        <v>http://babel.hathitrust.org/cgi/pt?id=nyp.33433082512413</v>
      </c>
      <c r="H5853" t="str">
        <f>HYPERLINK("http://catalog.hathitrust.org/Record/008654661")</f>
        <v>http://catalog.hathitrust.org/Record/008654661</v>
      </c>
      <c r="J5853" s="1">
        <v>1866</v>
      </c>
      <c r="K5853" t="s">
        <v>17144</v>
      </c>
      <c r="L5853" t="s">
        <v>17145</v>
      </c>
    </row>
    <row r="5854" spans="1:12">
      <c r="A5854" t="s">
        <v>6884</v>
      </c>
      <c r="B5854" s="1" t="s">
        <v>6885</v>
      </c>
      <c r="F5854">
        <v>1</v>
      </c>
      <c r="G5854" t="str">
        <f>HYPERLINK("http://babel.hathitrust.org/cgi/pt?id=nyp.33433082512405")</f>
        <v>http://babel.hathitrust.org/cgi/pt?id=nyp.33433082512405</v>
      </c>
      <c r="H5854" t="str">
        <f>HYPERLINK("http://catalog.hathitrust.org/Record/008654666")</f>
        <v>http://catalog.hathitrust.org/Record/008654666</v>
      </c>
      <c r="J5854" s="1">
        <v>1897</v>
      </c>
      <c r="K5854" t="s">
        <v>6886</v>
      </c>
      <c r="L5854" t="s">
        <v>6887</v>
      </c>
    </row>
    <row r="5855" spans="1:12">
      <c r="A5855" t="s">
        <v>6888</v>
      </c>
      <c r="B5855" s="1" t="s">
        <v>6889</v>
      </c>
      <c r="E5855">
        <v>1</v>
      </c>
      <c r="F5855">
        <v>1</v>
      </c>
      <c r="G5855" t="str">
        <f>HYPERLINK("http://babel.hathitrust.org/cgi/pt?id=nyp.33433082512264")</f>
        <v>http://babel.hathitrust.org/cgi/pt?id=nyp.33433082512264</v>
      </c>
      <c r="H5855" t="str">
        <f>HYPERLINK("http://catalog.hathitrust.org/Record/008654688")</f>
        <v>http://catalog.hathitrust.org/Record/008654688</v>
      </c>
      <c r="J5855" s="1">
        <v>1896</v>
      </c>
      <c r="K5855" t="s">
        <v>6890</v>
      </c>
      <c r="L5855" t="s">
        <v>18982</v>
      </c>
    </row>
    <row r="5856" spans="1:12">
      <c r="A5856" t="s">
        <v>6891</v>
      </c>
      <c r="B5856" s="1" t="s">
        <v>6892</v>
      </c>
      <c r="E5856">
        <v>1</v>
      </c>
      <c r="F5856">
        <v>1</v>
      </c>
      <c r="G5856" t="str">
        <f>HYPERLINK("http://babel.hathitrust.org/cgi/pt?id=nyp.33433082512504")</f>
        <v>http://babel.hathitrust.org/cgi/pt?id=nyp.33433082512504</v>
      </c>
      <c r="H5856" t="str">
        <f>HYPERLINK("http://catalog.hathitrust.org/Record/008654689")</f>
        <v>http://catalog.hathitrust.org/Record/008654689</v>
      </c>
      <c r="J5856" s="1">
        <v>1897</v>
      </c>
      <c r="K5856" t="s">
        <v>6893</v>
      </c>
      <c r="L5856" t="s">
        <v>18982</v>
      </c>
    </row>
    <row r="5857" spans="1:12">
      <c r="A5857" t="s">
        <v>6894</v>
      </c>
      <c r="B5857" s="1" t="s">
        <v>6895</v>
      </c>
      <c r="E5857">
        <v>1</v>
      </c>
      <c r="F5857">
        <v>1</v>
      </c>
      <c r="G5857" t="str">
        <f>HYPERLINK("http://babel.hathitrust.org/cgi/pt?id=nyp.33433082512009")</f>
        <v>http://babel.hathitrust.org/cgi/pt?id=nyp.33433082512009</v>
      </c>
      <c r="H5857" t="str">
        <f>HYPERLINK("http://catalog.hathitrust.org/Record/008654690")</f>
        <v>http://catalog.hathitrust.org/Record/008654690</v>
      </c>
      <c r="J5857" s="1">
        <v>1899</v>
      </c>
      <c r="K5857" t="s">
        <v>6896</v>
      </c>
      <c r="L5857" t="s">
        <v>18982</v>
      </c>
    </row>
    <row r="5858" spans="1:12">
      <c r="A5858" t="s">
        <v>6897</v>
      </c>
      <c r="B5858" s="1" t="s">
        <v>6898</v>
      </c>
      <c r="F5858">
        <v>1</v>
      </c>
      <c r="G5858" t="str">
        <f>HYPERLINK("http://babel.hathitrust.org/cgi/pt?id=nyp.33433082512108")</f>
        <v>http://babel.hathitrust.org/cgi/pt?id=nyp.33433082512108</v>
      </c>
      <c r="H5858" t="str">
        <f>HYPERLINK("http://catalog.hathitrust.org/Record/008654693")</f>
        <v>http://catalog.hathitrust.org/Record/008654693</v>
      </c>
      <c r="J5858" s="1">
        <v>1920</v>
      </c>
      <c r="K5858" t="s">
        <v>6899</v>
      </c>
      <c r="L5858" t="s">
        <v>6900</v>
      </c>
    </row>
    <row r="5859" spans="1:12">
      <c r="A5859" t="s">
        <v>6901</v>
      </c>
      <c r="B5859" s="1" t="s">
        <v>6902</v>
      </c>
      <c r="F5859">
        <v>1</v>
      </c>
      <c r="G5859" t="str">
        <f>HYPERLINK("http://babel.hathitrust.org/cgi/pt?id=nyp.33433082512140")</f>
        <v>http://babel.hathitrust.org/cgi/pt?id=nyp.33433082512140</v>
      </c>
      <c r="H5859" t="str">
        <f>HYPERLINK("http://catalog.hathitrust.org/Record/008654705")</f>
        <v>http://catalog.hathitrust.org/Record/008654705</v>
      </c>
      <c r="J5859" s="1">
        <v>1894</v>
      </c>
      <c r="K5859" t="s">
        <v>6903</v>
      </c>
      <c r="L5859" t="s">
        <v>20448</v>
      </c>
    </row>
    <row r="5860" spans="1:12">
      <c r="A5860" t="s">
        <v>6904</v>
      </c>
      <c r="B5860" s="1" t="s">
        <v>6905</v>
      </c>
      <c r="F5860">
        <v>1</v>
      </c>
      <c r="G5860" t="str">
        <f>HYPERLINK("http://babel.hathitrust.org/cgi/pt?id=nyp.33433082512132")</f>
        <v>http://babel.hathitrust.org/cgi/pt?id=nyp.33433082512132</v>
      </c>
      <c r="H5860" t="str">
        <f>HYPERLINK("http://catalog.hathitrust.org/Record/008654706")</f>
        <v>http://catalog.hathitrust.org/Record/008654706</v>
      </c>
      <c r="J5860" s="1">
        <v>1895</v>
      </c>
      <c r="K5860" t="s">
        <v>6903</v>
      </c>
      <c r="L5860" t="s">
        <v>20448</v>
      </c>
    </row>
    <row r="5861" spans="1:12">
      <c r="A5861" t="s">
        <v>6906</v>
      </c>
      <c r="B5861" s="1" t="s">
        <v>6907</v>
      </c>
      <c r="F5861">
        <v>1</v>
      </c>
      <c r="G5861" t="str">
        <f>HYPERLINK("http://babel.hathitrust.org/cgi/pt?id=nyp.33433082512223")</f>
        <v>http://babel.hathitrust.org/cgi/pt?id=nyp.33433082512223</v>
      </c>
      <c r="H5861" t="str">
        <f>HYPERLINK("http://catalog.hathitrust.org/Record/008654707")</f>
        <v>http://catalog.hathitrust.org/Record/008654707</v>
      </c>
      <c r="J5861" s="1">
        <v>1896</v>
      </c>
      <c r="K5861" t="s">
        <v>6903</v>
      </c>
      <c r="L5861" t="s">
        <v>20448</v>
      </c>
    </row>
    <row r="5862" spans="1:12">
      <c r="A5862" t="s">
        <v>6908</v>
      </c>
      <c r="B5862" s="1" t="s">
        <v>6909</v>
      </c>
      <c r="F5862">
        <v>1</v>
      </c>
      <c r="G5862" t="str">
        <f>HYPERLINK("http://babel.hathitrust.org/cgi/pt?id=nyp.33433082513577")</f>
        <v>http://babel.hathitrust.org/cgi/pt?id=nyp.33433082513577</v>
      </c>
      <c r="H5862" t="str">
        <f>HYPERLINK("http://catalog.hathitrust.org/Record/008654709")</f>
        <v>http://catalog.hathitrust.org/Record/008654709</v>
      </c>
      <c r="J5862" s="1">
        <v>1920</v>
      </c>
      <c r="K5862" t="s">
        <v>6910</v>
      </c>
      <c r="L5862" t="s">
        <v>13108</v>
      </c>
    </row>
    <row r="5863" spans="1:12">
      <c r="A5863" t="s">
        <v>6911</v>
      </c>
      <c r="B5863" s="1" t="s">
        <v>6912</v>
      </c>
      <c r="E5863">
        <v>1</v>
      </c>
      <c r="F5863">
        <v>1</v>
      </c>
      <c r="G5863" t="str">
        <f>HYPERLINK("http://babel.hathitrust.org/cgi/pt?id=nyp.33433082513510")</f>
        <v>http://babel.hathitrust.org/cgi/pt?id=nyp.33433082513510</v>
      </c>
      <c r="H5863" t="str">
        <f>HYPERLINK("http://catalog.hathitrust.org/Record/008654714")</f>
        <v>http://catalog.hathitrust.org/Record/008654714</v>
      </c>
      <c r="J5863" s="1">
        <v>1904</v>
      </c>
      <c r="K5863" t="s">
        <v>6913</v>
      </c>
      <c r="L5863" t="s">
        <v>6914</v>
      </c>
    </row>
    <row r="5864" spans="1:12">
      <c r="A5864" t="s">
        <v>6915</v>
      </c>
      <c r="B5864" s="1" t="s">
        <v>6916</v>
      </c>
      <c r="F5864">
        <v>1</v>
      </c>
      <c r="G5864" t="str">
        <f>HYPERLINK("http://babel.hathitrust.org/cgi/pt?id=nyp.33433082512199")</f>
        <v>http://babel.hathitrust.org/cgi/pt?id=nyp.33433082512199</v>
      </c>
      <c r="H5864" t="str">
        <f>HYPERLINK("http://catalog.hathitrust.org/Record/008654715")</f>
        <v>http://catalog.hathitrust.org/Record/008654715</v>
      </c>
      <c r="J5864" s="1">
        <v>1905</v>
      </c>
      <c r="K5864" t="s">
        <v>6917</v>
      </c>
      <c r="L5864" t="s">
        <v>6918</v>
      </c>
    </row>
    <row r="5865" spans="1:12">
      <c r="A5865" t="s">
        <v>6919</v>
      </c>
      <c r="B5865" s="1" t="s">
        <v>6812</v>
      </c>
      <c r="F5865">
        <v>1</v>
      </c>
      <c r="G5865" t="str">
        <f>HYPERLINK("http://babel.hathitrust.org/cgi/pt?id=nyp.33433082512090")</f>
        <v>http://babel.hathitrust.org/cgi/pt?id=nyp.33433082512090</v>
      </c>
      <c r="H5865" t="str">
        <f>HYPERLINK("http://catalog.hathitrust.org/Record/008654716")</f>
        <v>http://catalog.hathitrust.org/Record/008654716</v>
      </c>
      <c r="J5865" s="1">
        <v>1893</v>
      </c>
      <c r="K5865" t="s">
        <v>17074</v>
      </c>
      <c r="L5865" t="s">
        <v>17075</v>
      </c>
    </row>
    <row r="5866" spans="1:12">
      <c r="A5866" t="s">
        <v>6813</v>
      </c>
      <c r="B5866" s="1" t="s">
        <v>6814</v>
      </c>
      <c r="F5866">
        <v>1</v>
      </c>
      <c r="G5866" t="str">
        <f>HYPERLINK("http://babel.hathitrust.org/cgi/pt?id=nyp.33433082512082")</f>
        <v>http://babel.hathitrust.org/cgi/pt?id=nyp.33433082512082</v>
      </c>
      <c r="H5866" t="str">
        <f>HYPERLINK("http://catalog.hathitrust.org/Record/008654717")</f>
        <v>http://catalog.hathitrust.org/Record/008654717</v>
      </c>
      <c r="J5866" s="1">
        <v>1893</v>
      </c>
      <c r="K5866" t="s">
        <v>6815</v>
      </c>
      <c r="L5866" t="s">
        <v>17075</v>
      </c>
    </row>
    <row r="5867" spans="1:12">
      <c r="A5867" t="s">
        <v>6816</v>
      </c>
      <c r="B5867" s="1" t="s">
        <v>6817</v>
      </c>
      <c r="E5867">
        <v>1</v>
      </c>
      <c r="G5867" t="str">
        <f>HYPERLINK("http://babel.hathitrust.org/cgi/pt?id=nyp.33433082512041")</f>
        <v>http://babel.hathitrust.org/cgi/pt?id=nyp.33433082512041</v>
      </c>
      <c r="H5867" t="str">
        <f>HYPERLINK("http://catalog.hathitrust.org/Record/008654723")</f>
        <v>http://catalog.hathitrust.org/Record/008654723</v>
      </c>
      <c r="J5867" s="1">
        <v>1908</v>
      </c>
      <c r="K5867" t="s">
        <v>6818</v>
      </c>
      <c r="L5867" t="s">
        <v>6819</v>
      </c>
    </row>
    <row r="5868" spans="1:12">
      <c r="A5868" t="s">
        <v>6820</v>
      </c>
      <c r="B5868" s="1" t="s">
        <v>6821</v>
      </c>
      <c r="F5868">
        <v>1</v>
      </c>
      <c r="G5868" t="str">
        <f>HYPERLINK("http://babel.hathitrust.org/cgi/pt?id=nyp.33433082512066")</f>
        <v>http://babel.hathitrust.org/cgi/pt?id=nyp.33433082512066</v>
      </c>
      <c r="H5868" t="str">
        <f>HYPERLINK("http://catalog.hathitrust.org/Record/008654736")</f>
        <v>http://catalog.hathitrust.org/Record/008654736</v>
      </c>
      <c r="J5868" s="1">
        <v>1907</v>
      </c>
      <c r="K5868" t="s">
        <v>6822</v>
      </c>
      <c r="L5868" t="s">
        <v>6823</v>
      </c>
    </row>
    <row r="5869" spans="1:12">
      <c r="A5869" t="s">
        <v>6824</v>
      </c>
      <c r="B5869" s="1" t="s">
        <v>6825</v>
      </c>
      <c r="F5869">
        <v>1</v>
      </c>
      <c r="G5869" t="str">
        <f>HYPERLINK("http://babel.hathitrust.org/cgi/pt?id=nyp.33433082513551")</f>
        <v>http://babel.hathitrust.org/cgi/pt?id=nyp.33433082513551</v>
      </c>
      <c r="H5869" t="str">
        <f>HYPERLINK("http://catalog.hathitrust.org/Record/008654739")</f>
        <v>http://catalog.hathitrust.org/Record/008654739</v>
      </c>
      <c r="J5869" s="1">
        <v>1898</v>
      </c>
      <c r="K5869" t="s">
        <v>6826</v>
      </c>
      <c r="L5869" t="s">
        <v>6827</v>
      </c>
    </row>
    <row r="5870" spans="1:12">
      <c r="A5870" t="s">
        <v>6828</v>
      </c>
      <c r="B5870" s="1" t="s">
        <v>6829</v>
      </c>
      <c r="F5870">
        <v>1</v>
      </c>
      <c r="G5870" t="str">
        <f>HYPERLINK("http://babel.hathitrust.org/cgi/pt?id=nyp.33433082513676")</f>
        <v>http://babel.hathitrust.org/cgi/pt?id=nyp.33433082513676</v>
      </c>
      <c r="H5870" t="str">
        <f>HYPERLINK("http://catalog.hathitrust.org/Record/008654748")</f>
        <v>http://catalog.hathitrust.org/Record/008654748</v>
      </c>
      <c r="J5870" s="1">
        <v>1902</v>
      </c>
      <c r="K5870" t="s">
        <v>6830</v>
      </c>
      <c r="L5870" t="s">
        <v>16984</v>
      </c>
    </row>
    <row r="5871" spans="1:12">
      <c r="A5871" t="s">
        <v>6831</v>
      </c>
      <c r="B5871" s="1" t="s">
        <v>6832</v>
      </c>
      <c r="F5871">
        <v>1</v>
      </c>
      <c r="G5871" t="str">
        <f>HYPERLINK("http://babel.hathitrust.org/cgi/pt?id=nyp.33433082513643")</f>
        <v>http://babel.hathitrust.org/cgi/pt?id=nyp.33433082513643</v>
      </c>
      <c r="H5871" t="str">
        <f>HYPERLINK("http://catalog.hathitrust.org/Record/008654759")</f>
        <v>http://catalog.hathitrust.org/Record/008654759</v>
      </c>
      <c r="J5871" s="1">
        <v>1920</v>
      </c>
      <c r="K5871" t="s">
        <v>6833</v>
      </c>
      <c r="L5871" t="s">
        <v>14052</v>
      </c>
    </row>
    <row r="5872" spans="1:12">
      <c r="A5872" t="s">
        <v>6834</v>
      </c>
      <c r="B5872" s="1" t="s">
        <v>6835</v>
      </c>
      <c r="F5872">
        <v>1</v>
      </c>
      <c r="G5872" t="str">
        <f>HYPERLINK("http://babel.hathitrust.org/cgi/pt?id=hvd.32044102845963")</f>
        <v>http://babel.hathitrust.org/cgi/pt?id=hvd.32044102845963</v>
      </c>
      <c r="H5872" t="str">
        <f>HYPERLINK("http://catalog.hathitrust.org/Record/008654768")</f>
        <v>http://catalog.hathitrust.org/Record/008654768</v>
      </c>
      <c r="J5872" s="1">
        <v>1848</v>
      </c>
      <c r="K5872" t="s">
        <v>6836</v>
      </c>
      <c r="L5872" t="s">
        <v>16039</v>
      </c>
    </row>
    <row r="5873" spans="1:12">
      <c r="A5873" t="s">
        <v>6837</v>
      </c>
      <c r="B5873" s="1" t="s">
        <v>6835</v>
      </c>
      <c r="F5873">
        <v>1</v>
      </c>
      <c r="G5873" t="str">
        <f>HYPERLINK("http://babel.hathitrust.org/cgi/pt?id=nyp.33433082511811")</f>
        <v>http://babel.hathitrust.org/cgi/pt?id=nyp.33433082511811</v>
      </c>
      <c r="H5873" t="str">
        <f>HYPERLINK("http://catalog.hathitrust.org/Record/008654768")</f>
        <v>http://catalog.hathitrust.org/Record/008654768</v>
      </c>
      <c r="J5873" s="1">
        <v>1848</v>
      </c>
      <c r="K5873" t="s">
        <v>6836</v>
      </c>
      <c r="L5873" t="s">
        <v>16039</v>
      </c>
    </row>
    <row r="5874" spans="1:12">
      <c r="A5874" t="s">
        <v>6838</v>
      </c>
      <c r="B5874" s="1" t="s">
        <v>6839</v>
      </c>
      <c r="F5874">
        <v>1</v>
      </c>
      <c r="G5874" t="str">
        <f>HYPERLINK("http://babel.hathitrust.org/cgi/pt?id=nyp.33433082513304")</f>
        <v>http://babel.hathitrust.org/cgi/pt?id=nyp.33433082513304</v>
      </c>
      <c r="H5874" t="str">
        <f>HYPERLINK("http://catalog.hathitrust.org/Record/008654865")</f>
        <v>http://catalog.hathitrust.org/Record/008654865</v>
      </c>
      <c r="J5874" s="1">
        <v>1897</v>
      </c>
      <c r="K5874" t="s">
        <v>6840</v>
      </c>
      <c r="L5874" t="s">
        <v>7509</v>
      </c>
    </row>
    <row r="5875" spans="1:12">
      <c r="A5875" t="s">
        <v>6841</v>
      </c>
      <c r="B5875" s="1" t="s">
        <v>6839</v>
      </c>
      <c r="F5875">
        <v>1</v>
      </c>
      <c r="G5875" t="str">
        <f>HYPERLINK("http://babel.hathitrust.org/cgi/pt?id=nyp.33433082513759")</f>
        <v>http://babel.hathitrust.org/cgi/pt?id=nyp.33433082513759</v>
      </c>
      <c r="H5875" t="str">
        <f>HYPERLINK("http://catalog.hathitrust.org/Record/008654865")</f>
        <v>http://catalog.hathitrust.org/Record/008654865</v>
      </c>
      <c r="J5875" s="1">
        <v>1897</v>
      </c>
      <c r="K5875" t="s">
        <v>6840</v>
      </c>
      <c r="L5875" t="s">
        <v>7509</v>
      </c>
    </row>
    <row r="5876" spans="1:12">
      <c r="A5876" t="s">
        <v>6842</v>
      </c>
      <c r="B5876" s="1" t="s">
        <v>6843</v>
      </c>
      <c r="F5876">
        <v>1</v>
      </c>
      <c r="G5876" t="str">
        <f>HYPERLINK("http://babel.hathitrust.org/cgi/pt?id=nyp.33433082502885")</f>
        <v>http://babel.hathitrust.org/cgi/pt?id=nyp.33433082502885</v>
      </c>
      <c r="H5876" t="str">
        <f>HYPERLINK("http://catalog.hathitrust.org/Record/008654871")</f>
        <v>http://catalog.hathitrust.org/Record/008654871</v>
      </c>
      <c r="J5876" s="1">
        <v>1843</v>
      </c>
      <c r="K5876" t="s">
        <v>6844</v>
      </c>
      <c r="L5876" t="s">
        <v>6845</v>
      </c>
    </row>
    <row r="5877" spans="1:12">
      <c r="A5877" t="s">
        <v>6846</v>
      </c>
      <c r="B5877" s="1" t="s">
        <v>6847</v>
      </c>
      <c r="F5877">
        <v>1</v>
      </c>
      <c r="G5877" t="str">
        <f>HYPERLINK("http://babel.hathitrust.org/cgi/pt?id=nyp.33433082503818")</f>
        <v>http://babel.hathitrust.org/cgi/pt?id=nyp.33433082503818</v>
      </c>
      <c r="H5877" t="str">
        <f>HYPERLINK("http://catalog.hathitrust.org/Record/008654910")</f>
        <v>http://catalog.hathitrust.org/Record/008654910</v>
      </c>
      <c r="J5877" s="1">
        <v>1910</v>
      </c>
      <c r="K5877" t="s">
        <v>6848</v>
      </c>
      <c r="L5877" t="s">
        <v>6849</v>
      </c>
    </row>
    <row r="5878" spans="1:12">
      <c r="A5878" t="s">
        <v>6850</v>
      </c>
      <c r="B5878" s="1" t="s">
        <v>6851</v>
      </c>
      <c r="F5878">
        <v>1</v>
      </c>
      <c r="G5878" t="str">
        <f>HYPERLINK("http://babel.hathitrust.org/cgi/pt?id=nyp.33433082503917")</f>
        <v>http://babel.hathitrust.org/cgi/pt?id=nyp.33433082503917</v>
      </c>
      <c r="H5878" t="str">
        <f>HYPERLINK("http://catalog.hathitrust.org/Record/008654918")</f>
        <v>http://catalog.hathitrust.org/Record/008654918</v>
      </c>
      <c r="J5878" s="1">
        <v>1918</v>
      </c>
      <c r="K5878" t="s">
        <v>7215</v>
      </c>
      <c r="L5878" t="s">
        <v>11082</v>
      </c>
    </row>
    <row r="5879" spans="1:12">
      <c r="A5879" t="s">
        <v>6852</v>
      </c>
      <c r="B5879" s="1" t="s">
        <v>6853</v>
      </c>
      <c r="D5879">
        <v>1</v>
      </c>
      <c r="G5879" t="str">
        <f>HYPERLINK("http://babel.hathitrust.org/cgi/pt?id=nyp.33433082502877")</f>
        <v>http://babel.hathitrust.org/cgi/pt?id=nyp.33433082502877</v>
      </c>
      <c r="H5879" t="str">
        <f>HYPERLINK("http://catalog.hathitrust.org/Record/008654921")</f>
        <v>http://catalog.hathitrust.org/Record/008654921</v>
      </c>
      <c r="I5879" s="1" t="s">
        <v>20701</v>
      </c>
      <c r="J5879" s="1">
        <v>1852</v>
      </c>
      <c r="K5879" t="s">
        <v>19953</v>
      </c>
      <c r="L5879" t="s">
        <v>20256</v>
      </c>
    </row>
    <row r="5880" spans="1:12">
      <c r="A5880" t="s">
        <v>6854</v>
      </c>
      <c r="B5880" s="1" t="s">
        <v>6855</v>
      </c>
      <c r="F5880">
        <v>1</v>
      </c>
      <c r="G5880" t="str">
        <f>HYPERLINK("http://babel.hathitrust.org/cgi/pt?id=nyp.33433082508312")</f>
        <v>http://babel.hathitrust.org/cgi/pt?id=nyp.33433082508312</v>
      </c>
      <c r="H5880" t="str">
        <f>HYPERLINK("http://catalog.hathitrust.org/Record/008654926")</f>
        <v>http://catalog.hathitrust.org/Record/008654926</v>
      </c>
      <c r="J5880" s="1">
        <v>1814</v>
      </c>
      <c r="K5880" t="s">
        <v>6856</v>
      </c>
    </row>
    <row r="5881" spans="1:12">
      <c r="A5881" t="s">
        <v>6857</v>
      </c>
      <c r="B5881" s="1" t="s">
        <v>6858</v>
      </c>
      <c r="D5881">
        <v>1</v>
      </c>
      <c r="G5881" t="str">
        <f>HYPERLINK("http://babel.hathitrust.org/cgi/pt?id=nyp.33433082510086")</f>
        <v>http://babel.hathitrust.org/cgi/pt?id=nyp.33433082510086</v>
      </c>
      <c r="H5881" t="str">
        <f>HYPERLINK("http://catalog.hathitrust.org/Record/008654994")</f>
        <v>http://catalog.hathitrust.org/Record/008654994</v>
      </c>
      <c r="I5881" s="1" t="s">
        <v>20796</v>
      </c>
      <c r="J5881" s="1">
        <v>1762</v>
      </c>
      <c r="K5881" t="s">
        <v>15472</v>
      </c>
      <c r="L5881" t="s">
        <v>15473</v>
      </c>
    </row>
    <row r="5882" spans="1:12">
      <c r="A5882" t="s">
        <v>6859</v>
      </c>
      <c r="B5882" s="1" t="s">
        <v>6858</v>
      </c>
      <c r="D5882">
        <v>1</v>
      </c>
      <c r="G5882" t="str">
        <f>HYPERLINK("http://babel.hathitrust.org/cgi/pt?id=nyp.33433082510094")</f>
        <v>http://babel.hathitrust.org/cgi/pt?id=nyp.33433082510094</v>
      </c>
      <c r="H5882" t="str">
        <f>HYPERLINK("http://catalog.hathitrust.org/Record/008654994")</f>
        <v>http://catalog.hathitrust.org/Record/008654994</v>
      </c>
      <c r="I5882" s="1" t="s">
        <v>20801</v>
      </c>
      <c r="J5882" s="1">
        <v>1762</v>
      </c>
      <c r="K5882" t="s">
        <v>15472</v>
      </c>
      <c r="L5882" t="s">
        <v>15473</v>
      </c>
    </row>
    <row r="5883" spans="1:12">
      <c r="A5883" t="s">
        <v>6860</v>
      </c>
      <c r="B5883" s="1" t="s">
        <v>6858</v>
      </c>
      <c r="D5883">
        <v>1</v>
      </c>
      <c r="G5883" t="str">
        <f>HYPERLINK("http://babel.hathitrust.org/cgi/pt?id=nyp.33433082510102")</f>
        <v>http://babel.hathitrust.org/cgi/pt?id=nyp.33433082510102</v>
      </c>
      <c r="H5883" t="str">
        <f>HYPERLINK("http://catalog.hathitrust.org/Record/008654994")</f>
        <v>http://catalog.hathitrust.org/Record/008654994</v>
      </c>
      <c r="I5883" s="1" t="s">
        <v>20799</v>
      </c>
      <c r="J5883" s="1">
        <v>1762</v>
      </c>
      <c r="K5883" t="s">
        <v>15472</v>
      </c>
      <c r="L5883" t="s">
        <v>15473</v>
      </c>
    </row>
    <row r="5884" spans="1:12">
      <c r="A5884" t="s">
        <v>6861</v>
      </c>
      <c r="B5884" s="1" t="s">
        <v>6862</v>
      </c>
      <c r="D5884">
        <v>1</v>
      </c>
      <c r="G5884" t="str">
        <f>HYPERLINK("http://babel.hathitrust.org/cgi/pt?id=hvd.hxjhxr")</f>
        <v>http://babel.hathitrust.org/cgi/pt?id=hvd.hxjhxr</v>
      </c>
      <c r="H5884" t="str">
        <f>HYPERLINK("http://catalog.hathitrust.org/Record/008654997")</f>
        <v>http://catalog.hathitrust.org/Record/008654997</v>
      </c>
      <c r="J5884" s="1">
        <v>1808</v>
      </c>
      <c r="K5884" t="s">
        <v>6863</v>
      </c>
      <c r="L5884" t="s">
        <v>6864</v>
      </c>
    </row>
    <row r="5885" spans="1:12">
      <c r="A5885" t="s">
        <v>6865</v>
      </c>
      <c r="B5885" s="1" t="s">
        <v>6866</v>
      </c>
      <c r="F5885">
        <v>1</v>
      </c>
      <c r="G5885" t="str">
        <f>HYPERLINK("http://babel.hathitrust.org/cgi/pt?id=nyp.33433082502919")</f>
        <v>http://babel.hathitrust.org/cgi/pt?id=nyp.33433082502919</v>
      </c>
      <c r="H5885" t="str">
        <f>HYPERLINK("http://catalog.hathitrust.org/Record/008655333")</f>
        <v>http://catalog.hathitrust.org/Record/008655333</v>
      </c>
      <c r="J5885" s="1">
        <v>1902</v>
      </c>
      <c r="K5885" t="s">
        <v>6867</v>
      </c>
      <c r="L5885" t="s">
        <v>16449</v>
      </c>
    </row>
    <row r="5886" spans="1:12">
      <c r="A5886" t="s">
        <v>6868</v>
      </c>
      <c r="B5886" s="1" t="s">
        <v>6869</v>
      </c>
      <c r="F5886">
        <v>1</v>
      </c>
      <c r="G5886" t="str">
        <f>HYPERLINK("http://babel.hathitrust.org/cgi/pt?id=nyp.33433082299425")</f>
        <v>http://babel.hathitrust.org/cgi/pt?id=nyp.33433082299425</v>
      </c>
      <c r="H5886" t="str">
        <f>HYPERLINK("http://catalog.hathitrust.org/Record/008655496")</f>
        <v>http://catalog.hathitrust.org/Record/008655496</v>
      </c>
      <c r="J5886" s="1">
        <v>1901</v>
      </c>
      <c r="K5886" t="s">
        <v>6744</v>
      </c>
      <c r="L5886" t="s">
        <v>6745</v>
      </c>
    </row>
    <row r="5887" spans="1:12">
      <c r="A5887" t="s">
        <v>6746</v>
      </c>
      <c r="B5887" s="1" t="s">
        <v>6747</v>
      </c>
      <c r="D5887">
        <v>1</v>
      </c>
      <c r="G5887" t="str">
        <f>HYPERLINK("http://babel.hathitrust.org/cgi/pt?id=nyp.33433082502950")</f>
        <v>http://babel.hathitrust.org/cgi/pt?id=nyp.33433082502950</v>
      </c>
      <c r="H5887" t="str">
        <f>HYPERLINK("http://catalog.hathitrust.org/Record/008655592")</f>
        <v>http://catalog.hathitrust.org/Record/008655592</v>
      </c>
      <c r="J5887" s="1">
        <v>1831</v>
      </c>
      <c r="K5887" t="s">
        <v>6748</v>
      </c>
      <c r="L5887" t="s">
        <v>15473</v>
      </c>
    </row>
    <row r="5888" spans="1:12">
      <c r="A5888" t="s">
        <v>6749</v>
      </c>
      <c r="B5888" s="1" t="s">
        <v>6750</v>
      </c>
      <c r="D5888">
        <v>1</v>
      </c>
      <c r="G5888" t="str">
        <f>HYPERLINK("http://babel.hathitrust.org/cgi/pt?id=nyp.33433082502984")</f>
        <v>http://babel.hathitrust.org/cgi/pt?id=nyp.33433082502984</v>
      </c>
      <c r="H5888" t="str">
        <f>HYPERLINK("http://catalog.hathitrust.org/Record/008655598")</f>
        <v>http://catalog.hathitrust.org/Record/008655598</v>
      </c>
      <c r="J5888" s="1">
        <v>1772</v>
      </c>
      <c r="K5888" t="s">
        <v>15472</v>
      </c>
      <c r="L5888" t="s">
        <v>15473</v>
      </c>
    </row>
    <row r="5889" spans="1:12">
      <c r="A5889" t="s">
        <v>6751</v>
      </c>
      <c r="B5889" s="1" t="s">
        <v>6752</v>
      </c>
      <c r="D5889">
        <v>1</v>
      </c>
      <c r="G5889" t="str">
        <f>HYPERLINK("http://babel.hathitrust.org/cgi/pt?id=nyp.33433082502778")</f>
        <v>http://babel.hathitrust.org/cgi/pt?id=nyp.33433082502778</v>
      </c>
      <c r="H5889" t="str">
        <f>HYPERLINK("http://catalog.hathitrust.org/Record/008655606")</f>
        <v>http://catalog.hathitrust.org/Record/008655606</v>
      </c>
      <c r="I5889" s="1" t="s">
        <v>20796</v>
      </c>
      <c r="J5889" s="1">
        <v>1816</v>
      </c>
      <c r="K5889" t="s">
        <v>9889</v>
      </c>
      <c r="L5889" t="s">
        <v>15473</v>
      </c>
    </row>
    <row r="5890" spans="1:12">
      <c r="A5890" t="s">
        <v>6753</v>
      </c>
      <c r="B5890" s="1" t="s">
        <v>6752</v>
      </c>
      <c r="D5890">
        <v>1</v>
      </c>
      <c r="G5890" t="str">
        <f>HYPERLINK("http://babel.hathitrust.org/cgi/pt?id=nyp.33433082502786")</f>
        <v>http://babel.hathitrust.org/cgi/pt?id=nyp.33433082502786</v>
      </c>
      <c r="H5890" t="str">
        <f>HYPERLINK("http://catalog.hathitrust.org/Record/008655606")</f>
        <v>http://catalog.hathitrust.org/Record/008655606</v>
      </c>
      <c r="I5890" s="1" t="s">
        <v>20799</v>
      </c>
      <c r="J5890" s="1">
        <v>1816</v>
      </c>
      <c r="K5890" t="s">
        <v>9889</v>
      </c>
      <c r="L5890" t="s">
        <v>15473</v>
      </c>
    </row>
    <row r="5891" spans="1:12">
      <c r="A5891" t="s">
        <v>6754</v>
      </c>
      <c r="B5891" s="1" t="s">
        <v>6755</v>
      </c>
      <c r="D5891">
        <v>1</v>
      </c>
      <c r="G5891" t="str">
        <f>HYPERLINK("http://babel.hathitrust.org/cgi/pt?id=nyp.33433082502760")</f>
        <v>http://babel.hathitrust.org/cgi/pt?id=nyp.33433082502760</v>
      </c>
      <c r="H5891" t="str">
        <f>HYPERLINK("http://catalog.hathitrust.org/Record/008655609")</f>
        <v>http://catalog.hathitrust.org/Record/008655609</v>
      </c>
      <c r="J5891" s="1">
        <v>1819</v>
      </c>
      <c r="K5891" t="s">
        <v>9889</v>
      </c>
      <c r="L5891" t="s">
        <v>15473</v>
      </c>
    </row>
    <row r="5892" spans="1:12">
      <c r="A5892" t="s">
        <v>6756</v>
      </c>
      <c r="B5892" s="1" t="s">
        <v>6757</v>
      </c>
      <c r="D5892">
        <v>1</v>
      </c>
      <c r="G5892" t="str">
        <f>HYPERLINK("http://babel.hathitrust.org/cgi/pt?id=nyp.33433082503255")</f>
        <v>http://babel.hathitrust.org/cgi/pt?id=nyp.33433082503255</v>
      </c>
      <c r="H5892" t="str">
        <f>HYPERLINK("http://catalog.hathitrust.org/Record/008655613")</f>
        <v>http://catalog.hathitrust.org/Record/008655613</v>
      </c>
      <c r="J5892" s="1">
        <v>1829</v>
      </c>
      <c r="K5892" t="s">
        <v>15472</v>
      </c>
      <c r="L5892" t="s">
        <v>15473</v>
      </c>
    </row>
    <row r="5893" spans="1:12">
      <c r="A5893" t="s">
        <v>6758</v>
      </c>
      <c r="B5893" s="1" t="s">
        <v>6759</v>
      </c>
      <c r="D5893">
        <v>1</v>
      </c>
      <c r="G5893" t="str">
        <f>HYPERLINK("http://babel.hathitrust.org/cgi/pt?id=nyp.33433082502794")</f>
        <v>http://babel.hathitrust.org/cgi/pt?id=nyp.33433082502794</v>
      </c>
      <c r="H5893" t="str">
        <f>HYPERLINK("http://catalog.hathitrust.org/Record/008655614")</f>
        <v>http://catalog.hathitrust.org/Record/008655614</v>
      </c>
      <c r="J5893" s="1">
        <v>1838</v>
      </c>
      <c r="K5893" t="s">
        <v>9889</v>
      </c>
      <c r="L5893" t="s">
        <v>15473</v>
      </c>
    </row>
    <row r="5894" spans="1:12">
      <c r="A5894" t="s">
        <v>6760</v>
      </c>
      <c r="B5894" s="1" t="s">
        <v>6761</v>
      </c>
      <c r="D5894">
        <v>1</v>
      </c>
      <c r="G5894" t="str">
        <f>HYPERLINK("http://babel.hathitrust.org/cgi/pt?id=nyp.33433082502810")</f>
        <v>http://babel.hathitrust.org/cgi/pt?id=nyp.33433082502810</v>
      </c>
      <c r="H5894" t="str">
        <f>HYPERLINK("http://catalog.hathitrust.org/Record/008655618")</f>
        <v>http://catalog.hathitrust.org/Record/008655618</v>
      </c>
      <c r="J5894" s="1">
        <v>1844</v>
      </c>
      <c r="K5894" t="s">
        <v>9889</v>
      </c>
      <c r="L5894" t="s">
        <v>15473</v>
      </c>
    </row>
    <row r="5895" spans="1:12">
      <c r="A5895" t="s">
        <v>6762</v>
      </c>
      <c r="B5895" s="1" t="s">
        <v>6763</v>
      </c>
      <c r="D5895">
        <v>1</v>
      </c>
      <c r="G5895" t="str">
        <f>HYPERLINK("http://babel.hathitrust.org/cgi/pt?id=nyp.33433082502554")</f>
        <v>http://babel.hathitrust.org/cgi/pt?id=nyp.33433082502554</v>
      </c>
      <c r="H5895" t="str">
        <f>HYPERLINK("http://catalog.hathitrust.org/Record/008655642")</f>
        <v>http://catalog.hathitrust.org/Record/008655642</v>
      </c>
      <c r="J5895" s="1">
        <v>1869</v>
      </c>
      <c r="K5895" t="s">
        <v>9889</v>
      </c>
      <c r="L5895" t="s">
        <v>15473</v>
      </c>
    </row>
    <row r="5896" spans="1:12">
      <c r="A5896" t="s">
        <v>6764</v>
      </c>
      <c r="B5896" s="1" t="s">
        <v>6765</v>
      </c>
      <c r="F5896">
        <v>1</v>
      </c>
      <c r="G5896" t="str">
        <f>HYPERLINK("http://babel.hathitrust.org/cgi/pt?id=nyp.33433082502679")</f>
        <v>http://babel.hathitrust.org/cgi/pt?id=nyp.33433082502679</v>
      </c>
      <c r="H5896" t="str">
        <f>HYPERLINK("http://catalog.hathitrust.org/Record/008655647")</f>
        <v>http://catalog.hathitrust.org/Record/008655647</v>
      </c>
      <c r="J5896" s="1">
        <v>1902</v>
      </c>
      <c r="K5896" t="s">
        <v>6766</v>
      </c>
      <c r="L5896" t="s">
        <v>12376</v>
      </c>
    </row>
    <row r="5897" spans="1:12">
      <c r="A5897" t="s">
        <v>6767</v>
      </c>
      <c r="B5897" s="1" t="s">
        <v>6768</v>
      </c>
      <c r="F5897">
        <v>1</v>
      </c>
      <c r="G5897" t="str">
        <f>HYPERLINK("http://babel.hathitrust.org/cgi/pt?id=nyp.33433076035397")</f>
        <v>http://babel.hathitrust.org/cgi/pt?id=nyp.33433076035397</v>
      </c>
      <c r="H5897" t="str">
        <f>HYPERLINK("http://catalog.hathitrust.org/Record/008655765")</f>
        <v>http://catalog.hathitrust.org/Record/008655765</v>
      </c>
      <c r="J5897" s="1">
        <v>1831</v>
      </c>
      <c r="K5897" t="s">
        <v>6769</v>
      </c>
      <c r="L5897" t="s">
        <v>16495</v>
      </c>
    </row>
    <row r="5898" spans="1:12">
      <c r="A5898" t="s">
        <v>6770</v>
      </c>
      <c r="B5898" s="1" t="s">
        <v>6771</v>
      </c>
      <c r="F5898">
        <v>1</v>
      </c>
      <c r="G5898" t="str">
        <f>HYPERLINK("http://babel.hathitrust.org/cgi/pt?id=nyp.33433082510136")</f>
        <v>http://babel.hathitrust.org/cgi/pt?id=nyp.33433082510136</v>
      </c>
      <c r="H5898" t="str">
        <f>HYPERLINK("http://catalog.hathitrust.org/Record/008655788")</f>
        <v>http://catalog.hathitrust.org/Record/008655788</v>
      </c>
      <c r="I5898" s="1" t="s">
        <v>20799</v>
      </c>
      <c r="J5898" s="1">
        <v>1819</v>
      </c>
      <c r="K5898" t="s">
        <v>15472</v>
      </c>
      <c r="L5898" t="s">
        <v>15473</v>
      </c>
    </row>
    <row r="5899" spans="1:12">
      <c r="A5899" t="s">
        <v>6772</v>
      </c>
      <c r="B5899" s="1" t="s">
        <v>6771</v>
      </c>
      <c r="F5899">
        <v>1</v>
      </c>
      <c r="G5899" t="str">
        <f>HYPERLINK("http://babel.hathitrust.org/cgi/pt?id=nyp.33433082510144")</f>
        <v>http://babel.hathitrust.org/cgi/pt?id=nyp.33433082510144</v>
      </c>
      <c r="H5899" t="str">
        <f>HYPERLINK("http://catalog.hathitrust.org/Record/008655788")</f>
        <v>http://catalog.hathitrust.org/Record/008655788</v>
      </c>
      <c r="I5899" s="1" t="s">
        <v>20796</v>
      </c>
      <c r="J5899" s="1">
        <v>1819</v>
      </c>
      <c r="K5899" t="s">
        <v>15472</v>
      </c>
      <c r="L5899" t="s">
        <v>15473</v>
      </c>
    </row>
    <row r="5900" spans="1:12">
      <c r="A5900" t="s">
        <v>6773</v>
      </c>
      <c r="B5900" s="1" t="s">
        <v>6774</v>
      </c>
      <c r="F5900">
        <v>1</v>
      </c>
      <c r="G5900" t="str">
        <f>HYPERLINK("http://babel.hathitrust.org/cgi/pt?id=nyp.33433082510151")</f>
        <v>http://babel.hathitrust.org/cgi/pt?id=nyp.33433082510151</v>
      </c>
      <c r="H5900" t="str">
        <f>HYPERLINK("http://catalog.hathitrust.org/Record/008655791")</f>
        <v>http://catalog.hathitrust.org/Record/008655791</v>
      </c>
      <c r="I5900" s="1" t="s">
        <v>20799</v>
      </c>
      <c r="J5900" s="1">
        <v>1779</v>
      </c>
      <c r="K5900" t="s">
        <v>6775</v>
      </c>
      <c r="L5900" t="s">
        <v>6776</v>
      </c>
    </row>
    <row r="5901" spans="1:12">
      <c r="A5901" t="s">
        <v>6777</v>
      </c>
      <c r="B5901" s="1" t="s">
        <v>6774</v>
      </c>
      <c r="F5901">
        <v>1</v>
      </c>
      <c r="G5901" t="str">
        <f>HYPERLINK("http://babel.hathitrust.org/cgi/pt?id=nyp.33433082510169")</f>
        <v>http://babel.hathitrust.org/cgi/pt?id=nyp.33433082510169</v>
      </c>
      <c r="H5901" t="str">
        <f>HYPERLINK("http://catalog.hathitrust.org/Record/008655791")</f>
        <v>http://catalog.hathitrust.org/Record/008655791</v>
      </c>
      <c r="I5901" s="1" t="s">
        <v>20796</v>
      </c>
      <c r="J5901" s="1">
        <v>1779</v>
      </c>
      <c r="K5901" t="s">
        <v>6775</v>
      </c>
      <c r="L5901" t="s">
        <v>6776</v>
      </c>
    </row>
    <row r="5902" spans="1:12">
      <c r="A5902" t="s">
        <v>6778</v>
      </c>
      <c r="B5902" s="1" t="s">
        <v>6779</v>
      </c>
      <c r="F5902">
        <v>1</v>
      </c>
      <c r="G5902" t="str">
        <f>HYPERLINK("http://babel.hathitrust.org/cgi/pt?id=nyp.33433082504899")</f>
        <v>http://babel.hathitrust.org/cgi/pt?id=nyp.33433082504899</v>
      </c>
      <c r="H5902" t="str">
        <f>HYPERLINK("http://catalog.hathitrust.org/Record/008655812")</f>
        <v>http://catalog.hathitrust.org/Record/008655812</v>
      </c>
      <c r="J5902" s="1">
        <v>1922</v>
      </c>
      <c r="K5902" t="s">
        <v>6780</v>
      </c>
      <c r="L5902" t="s">
        <v>6781</v>
      </c>
    </row>
    <row r="5903" spans="1:12">
      <c r="A5903" t="s">
        <v>6782</v>
      </c>
      <c r="B5903" s="1" t="s">
        <v>6783</v>
      </c>
      <c r="E5903">
        <v>1</v>
      </c>
      <c r="G5903" t="str">
        <f>HYPERLINK("http://babel.hathitrust.org/cgi/pt?id=nyp.33433082500483")</f>
        <v>http://babel.hathitrust.org/cgi/pt?id=nyp.33433082500483</v>
      </c>
      <c r="H5903" t="str">
        <f>HYPERLINK("http://catalog.hathitrust.org/Record/008656287")</f>
        <v>http://catalog.hathitrust.org/Record/008656287</v>
      </c>
      <c r="J5903" s="1">
        <v>1850</v>
      </c>
      <c r="K5903" t="s">
        <v>20466</v>
      </c>
      <c r="L5903" t="s">
        <v>20467</v>
      </c>
    </row>
    <row r="5904" spans="1:12">
      <c r="A5904" t="s">
        <v>6784</v>
      </c>
      <c r="B5904" s="1" t="s">
        <v>6785</v>
      </c>
      <c r="E5904">
        <v>1</v>
      </c>
      <c r="G5904" t="str">
        <f>HYPERLINK("http://babel.hathitrust.org/cgi/pt?id=nyp.33433082500392")</f>
        <v>http://babel.hathitrust.org/cgi/pt?id=nyp.33433082500392</v>
      </c>
      <c r="H5904" t="str">
        <f>HYPERLINK("http://catalog.hathitrust.org/Record/008656299")</f>
        <v>http://catalog.hathitrust.org/Record/008656299</v>
      </c>
      <c r="J5904" s="1">
        <v>1853</v>
      </c>
      <c r="K5904" t="s">
        <v>20466</v>
      </c>
      <c r="L5904" t="s">
        <v>20467</v>
      </c>
    </row>
    <row r="5905" spans="1:12">
      <c r="A5905" t="s">
        <v>6786</v>
      </c>
      <c r="B5905" s="1" t="s">
        <v>6787</v>
      </c>
      <c r="E5905">
        <v>1</v>
      </c>
      <c r="G5905" t="str">
        <f>HYPERLINK("http://babel.hathitrust.org/cgi/pt?id=hvd.hwkt1s")</f>
        <v>http://babel.hathitrust.org/cgi/pt?id=hvd.hwkt1s</v>
      </c>
      <c r="H5905" t="str">
        <f>HYPERLINK("http://catalog.hathitrust.org/Record/008656302")</f>
        <v>http://catalog.hathitrust.org/Record/008656302</v>
      </c>
      <c r="J5905" s="1">
        <v>1867</v>
      </c>
      <c r="K5905" t="s">
        <v>20466</v>
      </c>
      <c r="L5905" t="s">
        <v>20467</v>
      </c>
    </row>
    <row r="5906" spans="1:12">
      <c r="A5906" t="s">
        <v>6788</v>
      </c>
      <c r="B5906" s="1" t="s">
        <v>6789</v>
      </c>
      <c r="E5906">
        <v>1</v>
      </c>
      <c r="G5906" t="str">
        <f>HYPERLINK("http://babel.hathitrust.org/cgi/pt?id=nyp.33433082500368")</f>
        <v>http://babel.hathitrust.org/cgi/pt?id=nyp.33433082500368</v>
      </c>
      <c r="H5906" t="str">
        <f>HYPERLINK("http://catalog.hathitrust.org/Record/008656303")</f>
        <v>http://catalog.hathitrust.org/Record/008656303</v>
      </c>
      <c r="J5906" s="1">
        <v>1876</v>
      </c>
      <c r="K5906" t="s">
        <v>6790</v>
      </c>
      <c r="L5906" t="s">
        <v>20467</v>
      </c>
    </row>
    <row r="5907" spans="1:12">
      <c r="A5907" t="s">
        <v>6791</v>
      </c>
      <c r="B5907" s="1" t="s">
        <v>6792</v>
      </c>
      <c r="E5907">
        <v>1</v>
      </c>
      <c r="G5907" t="str">
        <f>HYPERLINK("http://babel.hathitrust.org/cgi/pt?id=nyp.33433066638218")</f>
        <v>http://babel.hathitrust.org/cgi/pt?id=nyp.33433066638218</v>
      </c>
      <c r="H5907" t="str">
        <f>HYPERLINK("http://catalog.hathitrust.org/Record/008656316")</f>
        <v>http://catalog.hathitrust.org/Record/008656316</v>
      </c>
      <c r="J5907" s="1">
        <v>1887</v>
      </c>
      <c r="K5907" t="s">
        <v>20466</v>
      </c>
      <c r="L5907" t="s">
        <v>20467</v>
      </c>
    </row>
    <row r="5908" spans="1:12">
      <c r="A5908" t="s">
        <v>6793</v>
      </c>
      <c r="B5908" s="1" t="s">
        <v>6794</v>
      </c>
      <c r="E5908">
        <v>1</v>
      </c>
      <c r="F5908">
        <v>1</v>
      </c>
      <c r="G5908" t="str">
        <f>HYPERLINK("http://babel.hathitrust.org/cgi/pt?id=nyp.33433082503610")</f>
        <v>http://babel.hathitrust.org/cgi/pt?id=nyp.33433082503610</v>
      </c>
      <c r="H5908" t="str">
        <f>HYPERLINK("http://catalog.hathitrust.org/Record/008658025")</f>
        <v>http://catalog.hathitrust.org/Record/008658025</v>
      </c>
      <c r="J5908" s="1">
        <v>1899</v>
      </c>
      <c r="K5908" t="s">
        <v>6795</v>
      </c>
      <c r="L5908" t="s">
        <v>17149</v>
      </c>
    </row>
    <row r="5909" spans="1:12">
      <c r="A5909" t="s">
        <v>6796</v>
      </c>
      <c r="B5909" s="1" t="s">
        <v>6797</v>
      </c>
      <c r="F5909">
        <v>1</v>
      </c>
      <c r="G5909" t="str">
        <f>HYPERLINK("http://babel.hathitrust.org/cgi/pt?id=nyp.33433082518048")</f>
        <v>http://babel.hathitrust.org/cgi/pt?id=nyp.33433082518048</v>
      </c>
      <c r="H5909" t="str">
        <f>HYPERLINK("http://catalog.hathitrust.org/Record/008658409")</f>
        <v>http://catalog.hathitrust.org/Record/008658409</v>
      </c>
      <c r="J5909" s="1">
        <v>1833</v>
      </c>
      <c r="K5909" t="s">
        <v>6798</v>
      </c>
      <c r="L5909" t="s">
        <v>19694</v>
      </c>
    </row>
    <row r="5910" spans="1:12">
      <c r="A5910" t="s">
        <v>6799</v>
      </c>
      <c r="B5910" s="1" t="s">
        <v>6800</v>
      </c>
      <c r="D5910">
        <v>1</v>
      </c>
      <c r="G5910" t="str">
        <f>HYPERLINK("http://babel.hathitrust.org/cgi/pt?id=nyp.33433082506209")</f>
        <v>http://babel.hathitrust.org/cgi/pt?id=nyp.33433082506209</v>
      </c>
      <c r="H5910" t="str">
        <f>HYPERLINK("http://catalog.hathitrust.org/Record/008658411")</f>
        <v>http://catalog.hathitrust.org/Record/008658411</v>
      </c>
      <c r="J5910" s="1">
        <v>1838</v>
      </c>
      <c r="K5910" t="s">
        <v>6801</v>
      </c>
      <c r="L5910" t="s">
        <v>19694</v>
      </c>
    </row>
    <row r="5911" spans="1:12">
      <c r="A5911" t="s">
        <v>6802</v>
      </c>
      <c r="B5911" s="1" t="s">
        <v>6803</v>
      </c>
      <c r="D5911">
        <v>1</v>
      </c>
      <c r="G5911" t="str">
        <f>HYPERLINK("http://babel.hathitrust.org/cgi/pt?id=nyp.33433082515689")</f>
        <v>http://babel.hathitrust.org/cgi/pt?id=nyp.33433082515689</v>
      </c>
      <c r="H5911" t="str">
        <f>HYPERLINK("http://catalog.hathitrust.org/Record/008658413")</f>
        <v>http://catalog.hathitrust.org/Record/008658413</v>
      </c>
      <c r="J5911" s="1">
        <v>1857</v>
      </c>
      <c r="K5911" t="s">
        <v>6804</v>
      </c>
      <c r="L5911" t="s">
        <v>19694</v>
      </c>
    </row>
    <row r="5912" spans="1:12">
      <c r="A5912" t="s">
        <v>6805</v>
      </c>
      <c r="B5912" s="1" t="s">
        <v>6806</v>
      </c>
      <c r="F5912">
        <v>1</v>
      </c>
      <c r="G5912" t="str">
        <f>HYPERLINK("http://babel.hathitrust.org/cgi/pt?id=nyp.33433082502356")</f>
        <v>http://babel.hathitrust.org/cgi/pt?id=nyp.33433082502356</v>
      </c>
      <c r="H5912" t="str">
        <f>HYPERLINK("http://catalog.hathitrust.org/Record/008658418")</f>
        <v>http://catalog.hathitrust.org/Record/008658418</v>
      </c>
      <c r="J5912" s="1">
        <v>1856</v>
      </c>
      <c r="K5912" t="s">
        <v>18409</v>
      </c>
      <c r="L5912" t="s">
        <v>18885</v>
      </c>
    </row>
    <row r="5913" spans="1:12">
      <c r="A5913" t="s">
        <v>6807</v>
      </c>
      <c r="B5913" s="1" t="s">
        <v>6808</v>
      </c>
      <c r="F5913">
        <v>1</v>
      </c>
      <c r="G5913" t="str">
        <f>HYPERLINK("http://babel.hathitrust.org/cgi/pt?id=nyp.33433082511662")</f>
        <v>http://babel.hathitrust.org/cgi/pt?id=nyp.33433082511662</v>
      </c>
      <c r="H5913" t="str">
        <f>HYPERLINK("http://catalog.hathitrust.org/Record/008658423")</f>
        <v>http://catalog.hathitrust.org/Record/008658423</v>
      </c>
      <c r="J5913" s="1">
        <v>1898</v>
      </c>
      <c r="K5913" t="s">
        <v>6809</v>
      </c>
      <c r="L5913" t="s">
        <v>6810</v>
      </c>
    </row>
    <row r="5914" spans="1:12">
      <c r="A5914" t="s">
        <v>6811</v>
      </c>
      <c r="B5914" s="1" t="s">
        <v>6680</v>
      </c>
      <c r="F5914">
        <v>1</v>
      </c>
      <c r="G5914" t="str">
        <f>HYPERLINK("http://babel.hathitrust.org/cgi/pt?id=nyp.33433082511647")</f>
        <v>http://babel.hathitrust.org/cgi/pt?id=nyp.33433082511647</v>
      </c>
      <c r="H5914" t="str">
        <f>HYPERLINK("http://catalog.hathitrust.org/Record/008658424")</f>
        <v>http://catalog.hathitrust.org/Record/008658424</v>
      </c>
      <c r="J5914" s="1">
        <v>1905</v>
      </c>
      <c r="K5914" t="s">
        <v>6809</v>
      </c>
      <c r="L5914" t="s">
        <v>6810</v>
      </c>
    </row>
    <row r="5915" spans="1:12">
      <c r="A5915" t="s">
        <v>6681</v>
      </c>
      <c r="B5915" s="1" t="s">
        <v>6682</v>
      </c>
      <c r="F5915">
        <v>1</v>
      </c>
      <c r="G5915" t="str">
        <f>HYPERLINK("http://babel.hathitrust.org/cgi/pt?id=nyp.33433082511316")</f>
        <v>http://babel.hathitrust.org/cgi/pt?id=nyp.33433082511316</v>
      </c>
      <c r="H5915" t="str">
        <f>HYPERLINK("http://catalog.hathitrust.org/Record/008658430")</f>
        <v>http://catalog.hathitrust.org/Record/008658430</v>
      </c>
      <c r="J5915" s="1">
        <v>1887</v>
      </c>
      <c r="K5915" t="s">
        <v>6683</v>
      </c>
      <c r="L5915" t="s">
        <v>6684</v>
      </c>
    </row>
    <row r="5916" spans="1:12">
      <c r="A5916" t="s">
        <v>6685</v>
      </c>
      <c r="B5916" s="1" t="s">
        <v>6686</v>
      </c>
      <c r="F5916">
        <v>1</v>
      </c>
      <c r="G5916" t="str">
        <f>HYPERLINK("http://babel.hathitrust.org/cgi/pt?id=nyp.33433082512488")</f>
        <v>http://babel.hathitrust.org/cgi/pt?id=nyp.33433082512488</v>
      </c>
      <c r="H5916" t="str">
        <f>HYPERLINK("http://catalog.hathitrust.org/Record/008658432")</f>
        <v>http://catalog.hathitrust.org/Record/008658432</v>
      </c>
      <c r="J5916" s="1">
        <v>1897</v>
      </c>
      <c r="K5916" t="s">
        <v>6687</v>
      </c>
      <c r="L5916" t="s">
        <v>6688</v>
      </c>
    </row>
    <row r="5917" spans="1:12">
      <c r="A5917" t="s">
        <v>6689</v>
      </c>
      <c r="B5917" s="1" t="s">
        <v>6690</v>
      </c>
      <c r="E5917">
        <v>1</v>
      </c>
      <c r="F5917">
        <v>1</v>
      </c>
      <c r="G5917" t="str">
        <f>HYPERLINK("http://babel.hathitrust.org/cgi/pt?id=nyp.33433082512322")</f>
        <v>http://babel.hathitrust.org/cgi/pt?id=nyp.33433082512322</v>
      </c>
      <c r="H5917" t="str">
        <f>HYPERLINK("http://catalog.hathitrust.org/Record/008658438")</f>
        <v>http://catalog.hathitrust.org/Record/008658438</v>
      </c>
      <c r="J5917" s="1">
        <v>1910</v>
      </c>
      <c r="K5917" t="s">
        <v>6944</v>
      </c>
      <c r="L5917" t="s">
        <v>6945</v>
      </c>
    </row>
    <row r="5918" spans="1:12">
      <c r="A5918" t="s">
        <v>6691</v>
      </c>
      <c r="B5918" s="1" t="s">
        <v>6692</v>
      </c>
      <c r="F5918">
        <v>1</v>
      </c>
      <c r="G5918" t="str">
        <f>HYPERLINK("http://babel.hathitrust.org/cgi/pt?id=nyp.33433087360628")</f>
        <v>http://babel.hathitrust.org/cgi/pt?id=nyp.33433087360628</v>
      </c>
      <c r="H5918" t="str">
        <f>HYPERLINK("http://catalog.hathitrust.org/Record/008658553")</f>
        <v>http://catalog.hathitrust.org/Record/008658553</v>
      </c>
      <c r="J5918" s="1">
        <v>1851</v>
      </c>
      <c r="K5918" t="s">
        <v>6693</v>
      </c>
      <c r="L5918" t="s">
        <v>6694</v>
      </c>
    </row>
    <row r="5919" spans="1:12">
      <c r="A5919" t="s">
        <v>6695</v>
      </c>
      <c r="B5919" s="1" t="s">
        <v>6696</v>
      </c>
      <c r="D5919">
        <v>1</v>
      </c>
      <c r="G5919" t="str">
        <f>HYPERLINK("http://babel.hathitrust.org/cgi/pt?id=nyp.33433082502836")</f>
        <v>http://babel.hathitrust.org/cgi/pt?id=nyp.33433082502836</v>
      </c>
      <c r="H5919" t="str">
        <f>HYPERLINK("http://catalog.hathitrust.org/Record/008658631")</f>
        <v>http://catalog.hathitrust.org/Record/008658631</v>
      </c>
      <c r="J5919" s="1">
        <v>1861</v>
      </c>
      <c r="K5919" t="s">
        <v>15472</v>
      </c>
      <c r="L5919" t="s">
        <v>15473</v>
      </c>
    </row>
    <row r="5920" spans="1:12">
      <c r="A5920" t="s">
        <v>6697</v>
      </c>
      <c r="B5920" s="1" t="s">
        <v>6698</v>
      </c>
      <c r="D5920">
        <v>1</v>
      </c>
      <c r="G5920" t="str">
        <f>HYPERLINK("http://babel.hathitrust.org/cgi/pt?id=nyp.33433082502828")</f>
        <v>http://babel.hathitrust.org/cgi/pt?id=nyp.33433082502828</v>
      </c>
      <c r="H5920" t="str">
        <f>HYPERLINK("http://catalog.hathitrust.org/Record/008658885")</f>
        <v>http://catalog.hathitrust.org/Record/008658885</v>
      </c>
      <c r="J5920" s="1">
        <v>1853</v>
      </c>
      <c r="K5920" t="s">
        <v>6699</v>
      </c>
      <c r="L5920" t="s">
        <v>15473</v>
      </c>
    </row>
    <row r="5921" spans="1:12">
      <c r="A5921" t="s">
        <v>6700</v>
      </c>
      <c r="B5921" s="1" t="s">
        <v>6701</v>
      </c>
      <c r="F5921">
        <v>1</v>
      </c>
      <c r="G5921" t="str">
        <f>HYPERLINK("http://babel.hathitrust.org/cgi/pt?id=nyp.33433082515648")</f>
        <v>http://babel.hathitrust.org/cgi/pt?id=nyp.33433082515648</v>
      </c>
      <c r="H5921" t="str">
        <f>HYPERLINK("http://catalog.hathitrust.org/Record/008658890")</f>
        <v>http://catalog.hathitrust.org/Record/008658890</v>
      </c>
      <c r="J5921" s="1">
        <v>1832</v>
      </c>
      <c r="K5921" t="s">
        <v>6702</v>
      </c>
      <c r="L5921" t="s">
        <v>19694</v>
      </c>
    </row>
    <row r="5922" spans="1:12">
      <c r="A5922" t="s">
        <v>6703</v>
      </c>
      <c r="B5922" s="1" t="s">
        <v>6704</v>
      </c>
      <c r="D5922">
        <v>1</v>
      </c>
      <c r="G5922" t="str">
        <f>HYPERLINK("http://babel.hathitrust.org/cgi/pt?id=nyp.33433082515705")</f>
        <v>http://babel.hathitrust.org/cgi/pt?id=nyp.33433082515705</v>
      </c>
      <c r="H5922" t="str">
        <f>HYPERLINK("http://catalog.hathitrust.org/Record/008658894")</f>
        <v>http://catalog.hathitrust.org/Record/008658894</v>
      </c>
      <c r="J5922" s="1">
        <v>1850</v>
      </c>
      <c r="K5922" t="s">
        <v>16161</v>
      </c>
      <c r="L5922" t="s">
        <v>19694</v>
      </c>
    </row>
    <row r="5923" spans="1:12">
      <c r="A5923" t="s">
        <v>6705</v>
      </c>
      <c r="B5923" s="1" t="s">
        <v>6706</v>
      </c>
      <c r="F5923">
        <v>1</v>
      </c>
      <c r="G5923" t="str">
        <f>HYPERLINK("http://babel.hathitrust.org/cgi/pt?id=nyp.33433082502612")</f>
        <v>http://babel.hathitrust.org/cgi/pt?id=nyp.33433082502612</v>
      </c>
      <c r="H5923" t="str">
        <f>HYPERLINK("http://catalog.hathitrust.org/Record/008659134")</f>
        <v>http://catalog.hathitrust.org/Record/008659134</v>
      </c>
      <c r="J5923" s="1">
        <v>1911</v>
      </c>
      <c r="K5923" t="s">
        <v>6707</v>
      </c>
      <c r="L5923" t="s">
        <v>12015</v>
      </c>
    </row>
    <row r="5924" spans="1:12">
      <c r="A5924" t="s">
        <v>6708</v>
      </c>
      <c r="B5924" s="1" t="s">
        <v>6709</v>
      </c>
      <c r="F5924">
        <v>1</v>
      </c>
      <c r="G5924" t="str">
        <f>HYPERLINK("http://babel.hathitrust.org/cgi/pt?id=nyp.33433082504964")</f>
        <v>http://babel.hathitrust.org/cgi/pt?id=nyp.33433082504964</v>
      </c>
      <c r="H5924" t="str">
        <f>HYPERLINK("http://catalog.hathitrust.org/Record/008659157")</f>
        <v>http://catalog.hathitrust.org/Record/008659157</v>
      </c>
      <c r="J5924" s="1">
        <v>1908</v>
      </c>
      <c r="K5924" t="s">
        <v>6710</v>
      </c>
      <c r="L5924" t="s">
        <v>14141</v>
      </c>
    </row>
    <row r="5925" spans="1:12">
      <c r="A5925" t="s">
        <v>6711</v>
      </c>
      <c r="B5925" s="1" t="s">
        <v>6712</v>
      </c>
      <c r="F5925">
        <v>1</v>
      </c>
      <c r="G5925" t="str">
        <f>HYPERLINK("http://babel.hathitrust.org/cgi/pt?id=nyp.33433082502505")</f>
        <v>http://babel.hathitrust.org/cgi/pt?id=nyp.33433082502505</v>
      </c>
      <c r="H5925" t="str">
        <f>HYPERLINK("http://catalog.hathitrust.org/Record/008659170")</f>
        <v>http://catalog.hathitrust.org/Record/008659170</v>
      </c>
      <c r="J5925" s="1">
        <v>1856</v>
      </c>
      <c r="K5925" t="s">
        <v>6713</v>
      </c>
      <c r="L5925" t="s">
        <v>11439</v>
      </c>
    </row>
    <row r="5926" spans="1:12">
      <c r="A5926" t="s">
        <v>6714</v>
      </c>
      <c r="B5926" s="1" t="s">
        <v>6715</v>
      </c>
      <c r="F5926">
        <v>1</v>
      </c>
      <c r="G5926" t="str">
        <f>HYPERLINK("http://babel.hathitrust.org/cgi/pt?id=nyp.33433082511555")</f>
        <v>http://babel.hathitrust.org/cgi/pt?id=nyp.33433082511555</v>
      </c>
      <c r="H5926" t="str">
        <f>HYPERLINK("http://catalog.hathitrust.org/Record/008659177")</f>
        <v>http://catalog.hathitrust.org/Record/008659177</v>
      </c>
      <c r="J5926" s="1">
        <v>1862</v>
      </c>
      <c r="K5926" t="s">
        <v>6716</v>
      </c>
      <c r="L5926" t="s">
        <v>11439</v>
      </c>
    </row>
    <row r="5927" spans="1:12">
      <c r="A5927" t="s">
        <v>6717</v>
      </c>
      <c r="B5927" s="1" t="s">
        <v>6718</v>
      </c>
      <c r="E5927">
        <v>1</v>
      </c>
      <c r="F5927">
        <v>1</v>
      </c>
      <c r="G5927" t="str">
        <f>HYPERLINK("http://babel.hathitrust.org/cgi/pt?id=nyp.33433082502364")</f>
        <v>http://babel.hathitrust.org/cgi/pt?id=nyp.33433082502364</v>
      </c>
      <c r="H5927" t="str">
        <f>HYPERLINK("http://catalog.hathitrust.org/Record/008659199")</f>
        <v>http://catalog.hathitrust.org/Record/008659199</v>
      </c>
      <c r="J5927" s="1">
        <v>1907</v>
      </c>
      <c r="K5927" t="s">
        <v>6719</v>
      </c>
      <c r="L5927" t="s">
        <v>18982</v>
      </c>
    </row>
    <row r="5928" spans="1:12">
      <c r="A5928" t="s">
        <v>6720</v>
      </c>
      <c r="B5928" s="1" t="s">
        <v>6721</v>
      </c>
      <c r="F5928">
        <v>1</v>
      </c>
      <c r="G5928" t="str">
        <f>HYPERLINK("http://babel.hathitrust.org/cgi/pt?id=nyp.33433082512231")</f>
        <v>http://babel.hathitrust.org/cgi/pt?id=nyp.33433082512231</v>
      </c>
      <c r="H5928" t="str">
        <f>HYPERLINK("http://catalog.hathitrust.org/Record/008659214")</f>
        <v>http://catalog.hathitrust.org/Record/008659214</v>
      </c>
      <c r="J5928" s="1">
        <v>1907</v>
      </c>
      <c r="K5928" t="s">
        <v>11250</v>
      </c>
      <c r="L5928" t="s">
        <v>6722</v>
      </c>
    </row>
    <row r="5929" spans="1:12">
      <c r="A5929" t="s">
        <v>6723</v>
      </c>
      <c r="B5929" s="1" t="s">
        <v>6724</v>
      </c>
      <c r="F5929">
        <v>1</v>
      </c>
      <c r="G5929" t="str">
        <f>HYPERLINK("http://babel.hathitrust.org/cgi/pt?id=nyp.33433082512181")</f>
        <v>http://babel.hathitrust.org/cgi/pt?id=nyp.33433082512181</v>
      </c>
      <c r="H5929" t="str">
        <f>HYPERLINK("http://catalog.hathitrust.org/Record/008659221")</f>
        <v>http://catalog.hathitrust.org/Record/008659221</v>
      </c>
      <c r="J5929" s="1">
        <v>1916</v>
      </c>
      <c r="K5929" t="s">
        <v>6725</v>
      </c>
      <c r="L5929" t="s">
        <v>12443</v>
      </c>
    </row>
    <row r="5930" spans="1:12">
      <c r="A5930" t="s">
        <v>6726</v>
      </c>
      <c r="B5930" s="1" t="s">
        <v>6727</v>
      </c>
      <c r="F5930">
        <v>1</v>
      </c>
      <c r="G5930" t="str">
        <f>HYPERLINK("http://babel.hathitrust.org/cgi/pt?id=nyp.33433082513569")</f>
        <v>http://babel.hathitrust.org/cgi/pt?id=nyp.33433082513569</v>
      </c>
      <c r="H5930" t="str">
        <f>HYPERLINK("http://catalog.hathitrust.org/Record/008659226")</f>
        <v>http://catalog.hathitrust.org/Record/008659226</v>
      </c>
      <c r="J5930" s="1">
        <v>1913</v>
      </c>
      <c r="K5930" t="s">
        <v>12406</v>
      </c>
      <c r="L5930" t="s">
        <v>6728</v>
      </c>
    </row>
    <row r="5931" spans="1:12">
      <c r="A5931" t="s">
        <v>6729</v>
      </c>
      <c r="B5931" s="1" t="s">
        <v>6730</v>
      </c>
      <c r="F5931">
        <v>1</v>
      </c>
      <c r="G5931" t="str">
        <f>HYPERLINK("http://babel.hathitrust.org/cgi/pt?id=nyp.33433082502307")</f>
        <v>http://babel.hathitrust.org/cgi/pt?id=nyp.33433082502307</v>
      </c>
      <c r="H5931" t="str">
        <f>HYPERLINK("http://catalog.hathitrust.org/Record/008659229")</f>
        <v>http://catalog.hathitrust.org/Record/008659229</v>
      </c>
      <c r="J5931" s="1">
        <v>1893</v>
      </c>
      <c r="K5931" t="s">
        <v>6731</v>
      </c>
      <c r="L5931" t="s">
        <v>14663</v>
      </c>
    </row>
    <row r="5932" spans="1:12">
      <c r="A5932" t="s">
        <v>6732</v>
      </c>
      <c r="B5932" s="1" t="s">
        <v>6733</v>
      </c>
      <c r="F5932">
        <v>1</v>
      </c>
      <c r="G5932" t="str">
        <f>HYPERLINK("http://babel.hathitrust.org/cgi/pt?id=nyp.33433082513528")</f>
        <v>http://babel.hathitrust.org/cgi/pt?id=nyp.33433082513528</v>
      </c>
      <c r="H5932" t="str">
        <f>HYPERLINK("http://catalog.hathitrust.org/Record/008659236")</f>
        <v>http://catalog.hathitrust.org/Record/008659236</v>
      </c>
      <c r="J5932" s="1">
        <v>1906</v>
      </c>
      <c r="K5932" t="s">
        <v>6734</v>
      </c>
      <c r="L5932" t="s">
        <v>6735</v>
      </c>
    </row>
    <row r="5933" spans="1:12">
      <c r="A5933" t="s">
        <v>6736</v>
      </c>
      <c r="B5933" s="1" t="s">
        <v>6737</v>
      </c>
      <c r="F5933">
        <v>1</v>
      </c>
      <c r="G5933" t="str">
        <f>HYPERLINK("http://babel.hathitrust.org/cgi/pt?id=nyp.33433082513700")</f>
        <v>http://babel.hathitrust.org/cgi/pt?id=nyp.33433082513700</v>
      </c>
      <c r="H5933" t="str">
        <f>HYPERLINK("http://catalog.hathitrust.org/Record/008659244")</f>
        <v>http://catalog.hathitrust.org/Record/008659244</v>
      </c>
      <c r="J5933" s="1">
        <v>1909</v>
      </c>
      <c r="K5933" t="s">
        <v>6738</v>
      </c>
      <c r="L5933" t="s">
        <v>12304</v>
      </c>
    </row>
    <row r="5934" spans="1:12">
      <c r="A5934" t="s">
        <v>6739</v>
      </c>
      <c r="B5934" s="1" t="s">
        <v>6740</v>
      </c>
      <c r="F5934">
        <v>1</v>
      </c>
      <c r="G5934" t="str">
        <f>HYPERLINK("http://babel.hathitrust.org/cgi/pt?id=nyp.33433082502448")</f>
        <v>http://babel.hathitrust.org/cgi/pt?id=nyp.33433082502448</v>
      </c>
      <c r="H5934" t="str">
        <f>HYPERLINK("http://catalog.hathitrust.org/Record/008659278")</f>
        <v>http://catalog.hathitrust.org/Record/008659278</v>
      </c>
      <c r="J5934" s="1">
        <v>1850</v>
      </c>
      <c r="K5934" t="s">
        <v>6741</v>
      </c>
      <c r="L5934" t="s">
        <v>19496</v>
      </c>
    </row>
    <row r="5935" spans="1:12">
      <c r="A5935" t="s">
        <v>6742</v>
      </c>
      <c r="B5935" s="1" t="s">
        <v>6743</v>
      </c>
      <c r="F5935">
        <v>1</v>
      </c>
      <c r="G5935" t="str">
        <f>HYPERLINK("http://babel.hathitrust.org/cgi/pt?id=nyp.33433082513270")</f>
        <v>http://babel.hathitrust.org/cgi/pt?id=nyp.33433082513270</v>
      </c>
      <c r="H5935" t="str">
        <f>HYPERLINK("http://catalog.hathitrust.org/Record/008659283")</f>
        <v>http://catalog.hathitrust.org/Record/008659283</v>
      </c>
      <c r="J5935" s="1">
        <v>1915</v>
      </c>
      <c r="K5935" t="s">
        <v>8515</v>
      </c>
      <c r="L5935" t="s">
        <v>19565</v>
      </c>
    </row>
    <row r="5936" spans="1:12">
      <c r="A5936" t="s">
        <v>6634</v>
      </c>
      <c r="B5936" s="1" t="s">
        <v>6635</v>
      </c>
      <c r="F5936">
        <v>1</v>
      </c>
      <c r="G5936" t="str">
        <f>HYPERLINK("http://babel.hathitrust.org/cgi/pt?id=nyp.33433082502406")</f>
        <v>http://babel.hathitrust.org/cgi/pt?id=nyp.33433082502406</v>
      </c>
      <c r="H5936" t="str">
        <f>HYPERLINK("http://catalog.hathitrust.org/Record/008659286")</f>
        <v>http://catalog.hathitrust.org/Record/008659286</v>
      </c>
      <c r="J5936" s="1">
        <v>1911</v>
      </c>
      <c r="K5936" t="s">
        <v>11385</v>
      </c>
    </row>
    <row r="5937" spans="1:12">
      <c r="A5937" t="s">
        <v>6636</v>
      </c>
      <c r="B5937" s="1" t="s">
        <v>6637</v>
      </c>
      <c r="F5937">
        <v>1</v>
      </c>
      <c r="G5937" t="str">
        <f>HYPERLINK("http://babel.hathitrust.org/cgi/pt?id=nyp.33433082512363")</f>
        <v>http://babel.hathitrust.org/cgi/pt?id=nyp.33433082512363</v>
      </c>
      <c r="H5937" t="str">
        <f>HYPERLINK("http://catalog.hathitrust.org/Record/008659346")</f>
        <v>http://catalog.hathitrust.org/Record/008659346</v>
      </c>
      <c r="J5937" s="1">
        <v>1905</v>
      </c>
      <c r="K5937" t="s">
        <v>6638</v>
      </c>
      <c r="L5937" t="s">
        <v>9454</v>
      </c>
    </row>
    <row r="5938" spans="1:12">
      <c r="A5938" t="s">
        <v>6639</v>
      </c>
      <c r="B5938" s="1" t="s">
        <v>6640</v>
      </c>
      <c r="D5938">
        <v>1</v>
      </c>
      <c r="G5938" t="str">
        <f>HYPERLINK("http://babel.hathitrust.org/cgi/pt?id=nyp.33433082521471")</f>
        <v>http://babel.hathitrust.org/cgi/pt?id=nyp.33433082521471</v>
      </c>
      <c r="H5938" t="str">
        <f>HYPERLINK("http://catalog.hathitrust.org/Record/008659347")</f>
        <v>http://catalog.hathitrust.org/Record/008659347</v>
      </c>
      <c r="J5938" s="1">
        <v>1894</v>
      </c>
      <c r="K5938" t="s">
        <v>6641</v>
      </c>
      <c r="L5938" t="s">
        <v>16848</v>
      </c>
    </row>
    <row r="5939" spans="1:12">
      <c r="A5939" t="s">
        <v>6642</v>
      </c>
      <c r="B5939" s="1" t="s">
        <v>6643</v>
      </c>
      <c r="F5939">
        <v>1</v>
      </c>
      <c r="G5939" t="str">
        <f>HYPERLINK("http://babel.hathitrust.org/cgi/pt?id=nyp.33433082511340")</f>
        <v>http://babel.hathitrust.org/cgi/pt?id=nyp.33433082511340</v>
      </c>
      <c r="H5939" t="str">
        <f>HYPERLINK("http://catalog.hathitrust.org/Record/008659352")</f>
        <v>http://catalog.hathitrust.org/Record/008659352</v>
      </c>
      <c r="J5939" s="1">
        <v>1883</v>
      </c>
      <c r="K5939" t="s">
        <v>15364</v>
      </c>
      <c r="L5939" t="s">
        <v>15365</v>
      </c>
    </row>
    <row r="5940" spans="1:12">
      <c r="A5940" t="s">
        <v>6644</v>
      </c>
      <c r="B5940" s="1" t="s">
        <v>6645</v>
      </c>
      <c r="F5940">
        <v>1</v>
      </c>
      <c r="G5940" t="str">
        <f>HYPERLINK("http://babel.hathitrust.org/cgi/pt?id=nyp.33433082511753")</f>
        <v>http://babel.hathitrust.org/cgi/pt?id=nyp.33433082511753</v>
      </c>
      <c r="H5940" t="str">
        <f>HYPERLINK("http://catalog.hathitrust.org/Record/008659387")</f>
        <v>http://catalog.hathitrust.org/Record/008659387</v>
      </c>
      <c r="J5940" s="1">
        <v>1755</v>
      </c>
      <c r="K5940" t="s">
        <v>6646</v>
      </c>
      <c r="L5940" t="s">
        <v>17079</v>
      </c>
    </row>
    <row r="5941" spans="1:12">
      <c r="A5941" t="s">
        <v>6647</v>
      </c>
      <c r="B5941" s="1" t="s">
        <v>6648</v>
      </c>
      <c r="F5941">
        <v>1</v>
      </c>
      <c r="G5941" t="str">
        <f>HYPERLINK("http://babel.hathitrust.org/cgi/pt?id=nyp.33433082511746")</f>
        <v>http://babel.hathitrust.org/cgi/pt?id=nyp.33433082511746</v>
      </c>
      <c r="H5941" t="str">
        <f>HYPERLINK("http://catalog.hathitrust.org/Record/008659388")</f>
        <v>http://catalog.hathitrust.org/Record/008659388</v>
      </c>
      <c r="J5941" s="1">
        <v>1880</v>
      </c>
      <c r="K5941" t="s">
        <v>6649</v>
      </c>
      <c r="L5941" t="s">
        <v>6650</v>
      </c>
    </row>
    <row r="5942" spans="1:12">
      <c r="A5942" t="s">
        <v>6651</v>
      </c>
      <c r="B5942" s="1" t="s">
        <v>6652</v>
      </c>
      <c r="D5942">
        <v>1</v>
      </c>
      <c r="G5942" t="str">
        <f>HYPERLINK("http://babel.hathitrust.org/cgi/pt?id=nyp.33433082511373")</f>
        <v>http://babel.hathitrust.org/cgi/pt?id=nyp.33433082511373</v>
      </c>
      <c r="H5942" t="str">
        <f>HYPERLINK("http://catalog.hathitrust.org/Record/008659423")</f>
        <v>http://catalog.hathitrust.org/Record/008659423</v>
      </c>
      <c r="J5942" s="1">
        <v>1838</v>
      </c>
      <c r="K5942" t="s">
        <v>6653</v>
      </c>
      <c r="L5942" t="s">
        <v>6654</v>
      </c>
    </row>
    <row r="5943" spans="1:12">
      <c r="A5943" t="s">
        <v>6655</v>
      </c>
      <c r="B5943" s="1" t="s">
        <v>6656</v>
      </c>
      <c r="F5943">
        <v>1</v>
      </c>
      <c r="G5943" t="str">
        <f>HYPERLINK("http://babel.hathitrust.org/cgi/pt?id=nyp.33433082521562")</f>
        <v>http://babel.hathitrust.org/cgi/pt?id=nyp.33433082521562</v>
      </c>
      <c r="H5943" t="str">
        <f>HYPERLINK("http://catalog.hathitrust.org/Record/008659436")</f>
        <v>http://catalog.hathitrust.org/Record/008659436</v>
      </c>
      <c r="J5943" s="1">
        <v>1820</v>
      </c>
      <c r="K5943" t="s">
        <v>6657</v>
      </c>
      <c r="L5943" t="s">
        <v>20960</v>
      </c>
    </row>
    <row r="5944" spans="1:12">
      <c r="A5944" t="s">
        <v>6658</v>
      </c>
      <c r="B5944" s="1" t="s">
        <v>6659</v>
      </c>
      <c r="E5944">
        <v>1</v>
      </c>
      <c r="G5944" t="str">
        <f>HYPERLINK("http://babel.hathitrust.org/cgi/pt?id=nyp.33433082521273")</f>
        <v>http://babel.hathitrust.org/cgi/pt?id=nyp.33433082521273</v>
      </c>
      <c r="H5944" t="str">
        <f>HYPERLINK("http://catalog.hathitrust.org/Record/008659466")</f>
        <v>http://catalog.hathitrust.org/Record/008659466</v>
      </c>
      <c r="J5944" s="1">
        <v>1909</v>
      </c>
      <c r="K5944" t="s">
        <v>6660</v>
      </c>
      <c r="L5944" t="s">
        <v>6661</v>
      </c>
    </row>
    <row r="5945" spans="1:12">
      <c r="A5945" t="s">
        <v>6662</v>
      </c>
      <c r="B5945" s="1" t="s">
        <v>6663</v>
      </c>
      <c r="F5945">
        <v>1</v>
      </c>
      <c r="G5945" t="str">
        <f>HYPERLINK("http://babel.hathitrust.org/cgi/pt?id=nyp.33433082511571")</f>
        <v>http://babel.hathitrust.org/cgi/pt?id=nyp.33433082511571</v>
      </c>
      <c r="H5945" t="str">
        <f>HYPERLINK("http://catalog.hathitrust.org/Record/008659467")</f>
        <v>http://catalog.hathitrust.org/Record/008659467</v>
      </c>
      <c r="J5945" s="1">
        <v>1847</v>
      </c>
      <c r="K5945" t="s">
        <v>7061</v>
      </c>
      <c r="L5945" t="s">
        <v>15292</v>
      </c>
    </row>
    <row r="5946" spans="1:12">
      <c r="A5946" t="s">
        <v>6664</v>
      </c>
      <c r="B5946" s="1" t="s">
        <v>6665</v>
      </c>
      <c r="F5946">
        <v>1</v>
      </c>
      <c r="G5946" t="str">
        <f>HYPERLINK("http://babel.hathitrust.org/cgi/pt?id=nyp.33433082511563")</f>
        <v>http://babel.hathitrust.org/cgi/pt?id=nyp.33433082511563</v>
      </c>
      <c r="H5946" t="str">
        <f>HYPERLINK("http://catalog.hathitrust.org/Record/008659476")</f>
        <v>http://catalog.hathitrust.org/Record/008659476</v>
      </c>
      <c r="J5946" s="1">
        <v>1850</v>
      </c>
      <c r="K5946" t="s">
        <v>7061</v>
      </c>
      <c r="L5946" t="s">
        <v>15292</v>
      </c>
    </row>
    <row r="5947" spans="1:12">
      <c r="A5947" t="s">
        <v>6666</v>
      </c>
      <c r="B5947" s="1" t="s">
        <v>6667</v>
      </c>
      <c r="F5947">
        <v>1</v>
      </c>
      <c r="G5947" t="str">
        <f>HYPERLINK("http://babel.hathitrust.org/cgi/pt?id=nyp.33433082511282")</f>
        <v>http://babel.hathitrust.org/cgi/pt?id=nyp.33433082511282</v>
      </c>
      <c r="H5947" t="str">
        <f>HYPERLINK("http://catalog.hathitrust.org/Record/008659539")</f>
        <v>http://catalog.hathitrust.org/Record/008659539</v>
      </c>
      <c r="J5947" s="1">
        <v>1840</v>
      </c>
      <c r="K5947" t="s">
        <v>6668</v>
      </c>
      <c r="L5947" t="s">
        <v>14096</v>
      </c>
    </row>
    <row r="5948" spans="1:12">
      <c r="A5948" t="s">
        <v>6669</v>
      </c>
      <c r="B5948" s="1" t="s">
        <v>6670</v>
      </c>
      <c r="F5948">
        <v>1</v>
      </c>
      <c r="G5948" t="str">
        <f>HYPERLINK("http://babel.hathitrust.org/cgi/pt?id=nyp.33433082511803")</f>
        <v>http://babel.hathitrust.org/cgi/pt?id=nyp.33433082511803</v>
      </c>
      <c r="H5948" t="str">
        <f>HYPERLINK("http://catalog.hathitrust.org/Record/008659576")</f>
        <v>http://catalog.hathitrust.org/Record/008659576</v>
      </c>
      <c r="J5948" s="1">
        <v>1885</v>
      </c>
      <c r="K5948" t="s">
        <v>6671</v>
      </c>
      <c r="L5948" t="s">
        <v>6672</v>
      </c>
    </row>
    <row r="5949" spans="1:12">
      <c r="A5949" t="s">
        <v>6673</v>
      </c>
      <c r="B5949" s="1" t="s">
        <v>6674</v>
      </c>
      <c r="F5949">
        <v>1</v>
      </c>
      <c r="G5949" t="str">
        <f>HYPERLINK("http://babel.hathitrust.org/cgi/pt?id=nyp.33433082511910")</f>
        <v>http://babel.hathitrust.org/cgi/pt?id=nyp.33433082511910</v>
      </c>
      <c r="H5949" t="str">
        <f>HYPERLINK("http://catalog.hathitrust.org/Record/008659585")</f>
        <v>http://catalog.hathitrust.org/Record/008659585</v>
      </c>
      <c r="J5949" s="1">
        <v>1889</v>
      </c>
      <c r="K5949" t="s">
        <v>6675</v>
      </c>
      <c r="L5949" t="s">
        <v>6672</v>
      </c>
    </row>
    <row r="5950" spans="1:12">
      <c r="A5950" t="s">
        <v>6676</v>
      </c>
      <c r="B5950" s="1" t="s">
        <v>6677</v>
      </c>
      <c r="F5950">
        <v>1</v>
      </c>
      <c r="G5950" t="str">
        <f>HYPERLINK("http://babel.hathitrust.org/cgi/pt?id=nyp.33433082511779")</f>
        <v>http://babel.hathitrust.org/cgi/pt?id=nyp.33433082511779</v>
      </c>
      <c r="H5950" t="str">
        <f>HYPERLINK("http://catalog.hathitrust.org/Record/008659599")</f>
        <v>http://catalog.hathitrust.org/Record/008659599</v>
      </c>
      <c r="J5950" s="1">
        <v>1900</v>
      </c>
      <c r="K5950" t="s">
        <v>6881</v>
      </c>
    </row>
    <row r="5951" spans="1:12">
      <c r="A5951" t="s">
        <v>6678</v>
      </c>
      <c r="B5951" s="1" t="s">
        <v>6679</v>
      </c>
      <c r="F5951">
        <v>1</v>
      </c>
      <c r="G5951" t="str">
        <f>HYPERLINK("http://babel.hathitrust.org/cgi/pt?id=nyp.33433082511894")</f>
        <v>http://babel.hathitrust.org/cgi/pt?id=nyp.33433082511894</v>
      </c>
      <c r="H5951" t="str">
        <f>HYPERLINK("http://catalog.hathitrust.org/Record/008659615")</f>
        <v>http://catalog.hathitrust.org/Record/008659615</v>
      </c>
      <c r="I5951" s="1" t="s">
        <v>6577</v>
      </c>
      <c r="J5951" s="1">
        <v>1913</v>
      </c>
      <c r="K5951" t="s">
        <v>6576</v>
      </c>
      <c r="L5951" t="s">
        <v>6578</v>
      </c>
    </row>
    <row r="5952" spans="1:12">
      <c r="A5952" t="s">
        <v>6579</v>
      </c>
      <c r="B5952" s="1" t="s">
        <v>6679</v>
      </c>
      <c r="F5952">
        <v>1</v>
      </c>
      <c r="G5952" t="str">
        <f>HYPERLINK("http://babel.hathitrust.org/cgi/pt?id=nyp.33433082511902")</f>
        <v>http://babel.hathitrust.org/cgi/pt?id=nyp.33433082511902</v>
      </c>
      <c r="H5952" t="str">
        <f>HYPERLINK("http://catalog.hathitrust.org/Record/008659615")</f>
        <v>http://catalog.hathitrust.org/Record/008659615</v>
      </c>
      <c r="I5952" s="1" t="s">
        <v>6580</v>
      </c>
      <c r="J5952" s="1">
        <v>1913</v>
      </c>
      <c r="K5952" t="s">
        <v>6576</v>
      </c>
      <c r="L5952" t="s">
        <v>6578</v>
      </c>
    </row>
    <row r="5953" spans="1:12">
      <c r="A5953" t="s">
        <v>6581</v>
      </c>
      <c r="B5953" s="1" t="s">
        <v>6582</v>
      </c>
      <c r="E5953">
        <v>1</v>
      </c>
      <c r="F5953">
        <v>1</v>
      </c>
      <c r="G5953" t="str">
        <f>HYPERLINK("http://babel.hathitrust.org/cgi/pt?id=nyp.33433082512280")</f>
        <v>http://babel.hathitrust.org/cgi/pt?id=nyp.33433082512280</v>
      </c>
      <c r="H5953" t="str">
        <f>HYPERLINK("http://catalog.hathitrust.org/Record/008659619")</f>
        <v>http://catalog.hathitrust.org/Record/008659619</v>
      </c>
      <c r="J5953" s="1">
        <v>1901</v>
      </c>
      <c r="K5953" t="s">
        <v>6583</v>
      </c>
      <c r="L5953" t="s">
        <v>18982</v>
      </c>
    </row>
    <row r="5954" spans="1:12">
      <c r="A5954" t="s">
        <v>6584</v>
      </c>
      <c r="B5954" s="1" t="s">
        <v>6585</v>
      </c>
      <c r="E5954">
        <v>1</v>
      </c>
      <c r="F5954">
        <v>1</v>
      </c>
      <c r="G5954" t="str">
        <f>HYPERLINK("http://babel.hathitrust.org/cgi/pt?id=nyp.33433082512272")</f>
        <v>http://babel.hathitrust.org/cgi/pt?id=nyp.33433082512272</v>
      </c>
      <c r="H5954" t="str">
        <f>HYPERLINK("http://catalog.hathitrust.org/Record/008659622")</f>
        <v>http://catalog.hathitrust.org/Record/008659622</v>
      </c>
      <c r="J5954" s="1">
        <v>1905</v>
      </c>
      <c r="K5954" t="s">
        <v>6583</v>
      </c>
      <c r="L5954" t="s">
        <v>18982</v>
      </c>
    </row>
    <row r="5955" spans="1:12">
      <c r="A5955" t="s">
        <v>6586</v>
      </c>
      <c r="B5955" s="1" t="s">
        <v>6587</v>
      </c>
      <c r="F5955">
        <v>1</v>
      </c>
      <c r="G5955" t="str">
        <f>HYPERLINK("http://babel.hathitrust.org/cgi/pt?id=nyp.33433082513627")</f>
        <v>http://babel.hathitrust.org/cgi/pt?id=nyp.33433082513627</v>
      </c>
      <c r="H5955" t="str">
        <f>HYPERLINK("http://catalog.hathitrust.org/Record/008659635")</f>
        <v>http://catalog.hathitrust.org/Record/008659635</v>
      </c>
      <c r="J5955" s="1">
        <v>1917</v>
      </c>
      <c r="K5955" t="s">
        <v>12338</v>
      </c>
      <c r="L5955" t="s">
        <v>12339</v>
      </c>
    </row>
    <row r="5956" spans="1:12">
      <c r="A5956" t="s">
        <v>6588</v>
      </c>
      <c r="B5956" s="1" t="s">
        <v>6589</v>
      </c>
      <c r="F5956">
        <v>1</v>
      </c>
      <c r="G5956" t="str">
        <f>HYPERLINK("http://babel.hathitrust.org/cgi/pt?id=nyp.33433082512173")</f>
        <v>http://babel.hathitrust.org/cgi/pt?id=nyp.33433082512173</v>
      </c>
      <c r="H5956" t="str">
        <f>HYPERLINK("http://catalog.hathitrust.org/Record/008659636")</f>
        <v>http://catalog.hathitrust.org/Record/008659636</v>
      </c>
      <c r="J5956" s="1">
        <v>1921</v>
      </c>
      <c r="K5956" t="s">
        <v>6590</v>
      </c>
      <c r="L5956" t="s">
        <v>17055</v>
      </c>
    </row>
    <row r="5957" spans="1:12">
      <c r="A5957" t="s">
        <v>6591</v>
      </c>
      <c r="B5957" s="1" t="s">
        <v>6592</v>
      </c>
      <c r="F5957">
        <v>1</v>
      </c>
      <c r="G5957" t="str">
        <f>HYPERLINK("http://babel.hathitrust.org/cgi/pt?id=nyp.33433082513601")</f>
        <v>http://babel.hathitrust.org/cgi/pt?id=nyp.33433082513601</v>
      </c>
      <c r="H5957" t="str">
        <f>HYPERLINK("http://catalog.hathitrust.org/Record/008659638")</f>
        <v>http://catalog.hathitrust.org/Record/008659638</v>
      </c>
      <c r="J5957" s="1">
        <v>1913</v>
      </c>
      <c r="K5957" t="s">
        <v>6593</v>
      </c>
      <c r="L5957" t="s">
        <v>12748</v>
      </c>
    </row>
    <row r="5958" spans="1:12">
      <c r="A5958" t="s">
        <v>6594</v>
      </c>
      <c r="B5958" s="1" t="s">
        <v>6595</v>
      </c>
      <c r="F5958">
        <v>1</v>
      </c>
      <c r="G5958" t="str">
        <f>HYPERLINK("http://babel.hathitrust.org/cgi/pt?id=hvd.hn23gl")</f>
        <v>http://babel.hathitrust.org/cgi/pt?id=hvd.hn23gl</v>
      </c>
      <c r="H5958" t="str">
        <f>HYPERLINK("http://catalog.hathitrust.org/Record/008660080")</f>
        <v>http://catalog.hathitrust.org/Record/008660080</v>
      </c>
      <c r="J5958" s="1">
        <v>1855</v>
      </c>
      <c r="K5958" t="s">
        <v>12716</v>
      </c>
      <c r="L5958" t="s">
        <v>12717</v>
      </c>
    </row>
    <row r="5959" spans="1:12">
      <c r="A5959" t="s">
        <v>6596</v>
      </c>
      <c r="B5959" s="1" t="s">
        <v>6595</v>
      </c>
      <c r="F5959">
        <v>1</v>
      </c>
      <c r="G5959" t="str">
        <f>HYPERLINK("http://babel.hathitrust.org/cgi/pt?id=nyp.33433082522875")</f>
        <v>http://babel.hathitrust.org/cgi/pt?id=nyp.33433082522875</v>
      </c>
      <c r="H5959" t="str">
        <f>HYPERLINK("http://catalog.hathitrust.org/Record/008660080")</f>
        <v>http://catalog.hathitrust.org/Record/008660080</v>
      </c>
      <c r="J5959" s="1">
        <v>1855</v>
      </c>
      <c r="K5959" t="s">
        <v>12716</v>
      </c>
      <c r="L5959" t="s">
        <v>12717</v>
      </c>
    </row>
    <row r="5960" spans="1:12">
      <c r="A5960" t="s">
        <v>6597</v>
      </c>
      <c r="B5960" s="1" t="s">
        <v>6598</v>
      </c>
      <c r="F5960">
        <v>1</v>
      </c>
      <c r="G5960" t="str">
        <f>HYPERLINK("http://babel.hathitrust.org/cgi/pt?id=nyp.33433082522701")</f>
        <v>http://babel.hathitrust.org/cgi/pt?id=nyp.33433082522701</v>
      </c>
      <c r="H5960" t="str">
        <f>HYPERLINK("http://catalog.hathitrust.org/Record/008660083")</f>
        <v>http://catalog.hathitrust.org/Record/008660083</v>
      </c>
      <c r="J5960" s="1">
        <v>1892</v>
      </c>
      <c r="K5960" t="s">
        <v>6599</v>
      </c>
      <c r="L5960" t="s">
        <v>13888</v>
      </c>
    </row>
    <row r="5961" spans="1:12">
      <c r="A5961" t="s">
        <v>6600</v>
      </c>
      <c r="B5961" s="1" t="s">
        <v>6601</v>
      </c>
      <c r="F5961">
        <v>1</v>
      </c>
      <c r="G5961" t="str">
        <f>HYPERLINK("http://babel.hathitrust.org/cgi/pt?id=nyp.33433082522560")</f>
        <v>http://babel.hathitrust.org/cgi/pt?id=nyp.33433082522560</v>
      </c>
      <c r="H5961" t="str">
        <f>HYPERLINK("http://catalog.hathitrust.org/Record/008660095")</f>
        <v>http://catalog.hathitrust.org/Record/008660095</v>
      </c>
      <c r="J5961" s="1">
        <v>1903</v>
      </c>
      <c r="K5961" t="s">
        <v>16771</v>
      </c>
      <c r="L5961" t="s">
        <v>19500</v>
      </c>
    </row>
    <row r="5962" spans="1:12">
      <c r="A5962" t="s">
        <v>6602</v>
      </c>
      <c r="B5962" s="1" t="s">
        <v>6603</v>
      </c>
      <c r="F5962">
        <v>1</v>
      </c>
      <c r="G5962" t="str">
        <f>HYPERLINK("http://babel.hathitrust.org/cgi/pt?id=nyp.33433082522636")</f>
        <v>http://babel.hathitrust.org/cgi/pt?id=nyp.33433082522636</v>
      </c>
      <c r="H5962" t="str">
        <f>HYPERLINK("http://catalog.hathitrust.org/Record/008660100")</f>
        <v>http://catalog.hathitrust.org/Record/008660100</v>
      </c>
      <c r="J5962" s="1">
        <v>1845</v>
      </c>
      <c r="K5962" t="s">
        <v>6604</v>
      </c>
      <c r="L5962" t="s">
        <v>6605</v>
      </c>
    </row>
    <row r="5963" spans="1:12">
      <c r="A5963" t="s">
        <v>6606</v>
      </c>
      <c r="B5963" s="1" t="s">
        <v>6607</v>
      </c>
      <c r="F5963">
        <v>1</v>
      </c>
      <c r="G5963" t="str">
        <f>HYPERLINK("http://babel.hathitrust.org/cgi/pt?id=nyp.33433082522529")</f>
        <v>http://babel.hathitrust.org/cgi/pt?id=nyp.33433082522529</v>
      </c>
      <c r="H5963" t="str">
        <f>HYPERLINK("http://catalog.hathitrust.org/Record/008660292")</f>
        <v>http://catalog.hathitrust.org/Record/008660292</v>
      </c>
      <c r="J5963" s="1">
        <v>1871</v>
      </c>
      <c r="K5963" t="s">
        <v>12632</v>
      </c>
      <c r="L5963" t="s">
        <v>15186</v>
      </c>
    </row>
    <row r="5964" spans="1:12">
      <c r="A5964" t="s">
        <v>6608</v>
      </c>
      <c r="B5964" s="1" t="s">
        <v>6609</v>
      </c>
      <c r="E5964">
        <v>1</v>
      </c>
      <c r="F5964">
        <v>1</v>
      </c>
      <c r="G5964" t="str">
        <f>HYPERLINK("http://babel.hathitrust.org/cgi/pt?id=nyp.33433082523006")</f>
        <v>http://babel.hathitrust.org/cgi/pt?id=nyp.33433082523006</v>
      </c>
      <c r="H5964" t="str">
        <f>HYPERLINK("http://catalog.hathitrust.org/Record/008660295")</f>
        <v>http://catalog.hathitrust.org/Record/008660295</v>
      </c>
      <c r="J5964" s="1">
        <v>1871</v>
      </c>
      <c r="K5964" t="s">
        <v>6610</v>
      </c>
      <c r="L5964" t="s">
        <v>6956</v>
      </c>
    </row>
    <row r="5965" spans="1:12">
      <c r="A5965" t="s">
        <v>6611</v>
      </c>
      <c r="B5965" s="1" t="s">
        <v>6612</v>
      </c>
      <c r="F5965">
        <v>1</v>
      </c>
      <c r="G5965" t="str">
        <f>HYPERLINK("http://babel.hathitrust.org/cgi/pt?id=nyp.33433066604590")</f>
        <v>http://babel.hathitrust.org/cgi/pt?id=nyp.33433066604590</v>
      </c>
      <c r="H5965" t="str">
        <f>HYPERLINK("http://catalog.hathitrust.org/Record/008660298")</f>
        <v>http://catalog.hathitrust.org/Record/008660298</v>
      </c>
      <c r="J5965" s="1">
        <v>1890</v>
      </c>
      <c r="K5965" t="s">
        <v>12055</v>
      </c>
      <c r="L5965" t="s">
        <v>6613</v>
      </c>
    </row>
    <row r="5966" spans="1:12">
      <c r="A5966" t="s">
        <v>6614</v>
      </c>
      <c r="B5966" s="1" t="s">
        <v>6615</v>
      </c>
      <c r="E5966">
        <v>1</v>
      </c>
      <c r="G5966" t="str">
        <f>HYPERLINK("http://babel.hathitrust.org/cgi/pt?id=nyp.33433074827837")</f>
        <v>http://babel.hathitrust.org/cgi/pt?id=nyp.33433074827837</v>
      </c>
      <c r="H5966" t="str">
        <f>HYPERLINK("http://catalog.hathitrust.org/Record/008660690")</f>
        <v>http://catalog.hathitrust.org/Record/008660690</v>
      </c>
      <c r="J5966" s="1">
        <v>1903</v>
      </c>
      <c r="K5966" t="s">
        <v>6616</v>
      </c>
      <c r="L5966" t="s">
        <v>6827</v>
      </c>
    </row>
    <row r="5967" spans="1:12">
      <c r="A5967" t="s">
        <v>6617</v>
      </c>
      <c r="B5967" s="1" t="s">
        <v>6618</v>
      </c>
      <c r="F5967">
        <v>1</v>
      </c>
      <c r="G5967" t="str">
        <f>HYPERLINK("http://babel.hathitrust.org/cgi/pt?id=nyp.33433074812524")</f>
        <v>http://babel.hathitrust.org/cgi/pt?id=nyp.33433074812524</v>
      </c>
      <c r="H5967" t="str">
        <f>HYPERLINK("http://catalog.hathitrust.org/Record/008660738")</f>
        <v>http://catalog.hathitrust.org/Record/008660738</v>
      </c>
      <c r="J5967" s="1">
        <v>1907</v>
      </c>
      <c r="K5967" t="s">
        <v>6619</v>
      </c>
      <c r="L5967" t="s">
        <v>6620</v>
      </c>
    </row>
    <row r="5968" spans="1:12">
      <c r="A5968" t="s">
        <v>6621</v>
      </c>
      <c r="B5968" s="1" t="s">
        <v>6622</v>
      </c>
      <c r="E5968">
        <v>1</v>
      </c>
      <c r="G5968" t="str">
        <f>HYPERLINK("http://babel.hathitrust.org/cgi/pt?id=loc.ark:/13960/t9280zf6z")</f>
        <v>http://babel.hathitrust.org/cgi/pt?id=loc.ark:/13960/t9280zf6z</v>
      </c>
      <c r="H5968" t="str">
        <f>HYPERLINK("http://catalog.hathitrust.org/Record/008660784")</f>
        <v>http://catalog.hathitrust.org/Record/008660784</v>
      </c>
      <c r="J5968" s="1">
        <v>1883</v>
      </c>
      <c r="K5968" t="s">
        <v>8885</v>
      </c>
      <c r="L5968" t="s">
        <v>9882</v>
      </c>
    </row>
    <row r="5969" spans="1:12">
      <c r="A5969" t="s">
        <v>6623</v>
      </c>
      <c r="B5969" s="1" t="s">
        <v>6624</v>
      </c>
      <c r="F5969">
        <v>1</v>
      </c>
      <c r="G5969" t="str">
        <f>HYPERLINK("http://babel.hathitrust.org/cgi/pt?id=nyp.33433074785894")</f>
        <v>http://babel.hathitrust.org/cgi/pt?id=nyp.33433074785894</v>
      </c>
      <c r="H5969" t="str">
        <f>HYPERLINK("http://catalog.hathitrust.org/Record/008660890")</f>
        <v>http://catalog.hathitrust.org/Record/008660890</v>
      </c>
      <c r="J5969" s="1">
        <v>1884</v>
      </c>
      <c r="K5969" t="s">
        <v>19379</v>
      </c>
      <c r="L5969" t="s">
        <v>19380</v>
      </c>
    </row>
    <row r="5970" spans="1:12">
      <c r="A5970" t="s">
        <v>6625</v>
      </c>
      <c r="B5970" s="1" t="s">
        <v>6626</v>
      </c>
      <c r="E5970">
        <v>1</v>
      </c>
      <c r="G5970" t="str">
        <f>HYPERLINK("http://babel.hathitrust.org/cgi/pt?id=nyp.33433074785241")</f>
        <v>http://babel.hathitrust.org/cgi/pt?id=nyp.33433074785241</v>
      </c>
      <c r="H5970" t="str">
        <f>HYPERLINK("http://catalog.hathitrust.org/Record/008660896")</f>
        <v>http://catalog.hathitrust.org/Record/008660896</v>
      </c>
      <c r="J5970" s="1">
        <v>1871</v>
      </c>
      <c r="K5970" t="s">
        <v>12098</v>
      </c>
      <c r="L5970" t="s">
        <v>20773</v>
      </c>
    </row>
    <row r="5971" spans="1:12">
      <c r="A5971" t="s">
        <v>6627</v>
      </c>
      <c r="B5971" s="1" t="s">
        <v>6628</v>
      </c>
      <c r="F5971">
        <v>1</v>
      </c>
      <c r="G5971" t="str">
        <f>HYPERLINK("http://babel.hathitrust.org/cgi/pt?id=nyp.33433074785910")</f>
        <v>http://babel.hathitrust.org/cgi/pt?id=nyp.33433074785910</v>
      </c>
      <c r="H5971" t="str">
        <f>HYPERLINK("http://catalog.hathitrust.org/Record/008660929")</f>
        <v>http://catalog.hathitrust.org/Record/008660929</v>
      </c>
      <c r="J5971" s="1">
        <v>1886</v>
      </c>
      <c r="K5971" t="s">
        <v>14745</v>
      </c>
      <c r="L5971" t="s">
        <v>6672</v>
      </c>
    </row>
    <row r="5972" spans="1:12">
      <c r="A5972" t="s">
        <v>6629</v>
      </c>
      <c r="B5972" s="1" t="s">
        <v>6630</v>
      </c>
      <c r="E5972">
        <v>1</v>
      </c>
      <c r="G5972" t="str">
        <f>HYPERLINK("http://babel.hathitrust.org/cgi/pt?id=nyp.33433074785852")</f>
        <v>http://babel.hathitrust.org/cgi/pt?id=nyp.33433074785852</v>
      </c>
      <c r="H5972" t="str">
        <f>HYPERLINK("http://catalog.hathitrust.org/Record/008660939")</f>
        <v>http://catalog.hathitrust.org/Record/008660939</v>
      </c>
      <c r="J5972" s="1">
        <v>1898</v>
      </c>
      <c r="K5972" t="s">
        <v>6631</v>
      </c>
      <c r="L5972" t="s">
        <v>12240</v>
      </c>
    </row>
    <row r="5973" spans="1:12">
      <c r="A5973" t="s">
        <v>6632</v>
      </c>
      <c r="B5973" s="1" t="s">
        <v>6633</v>
      </c>
      <c r="F5973">
        <v>1</v>
      </c>
      <c r="G5973" t="str">
        <f>HYPERLINK("http://babel.hathitrust.org/cgi/pt?id=nyp.33433074785225")</f>
        <v>http://babel.hathitrust.org/cgi/pt?id=nyp.33433074785225</v>
      </c>
      <c r="H5973" t="str">
        <f>HYPERLINK("http://catalog.hathitrust.org/Record/008660988")</f>
        <v>http://catalog.hathitrust.org/Record/008660988</v>
      </c>
      <c r="J5973" s="1">
        <v>1884</v>
      </c>
      <c r="K5973" t="s">
        <v>6521</v>
      </c>
      <c r="L5973" t="s">
        <v>6522</v>
      </c>
    </row>
    <row r="5974" spans="1:12">
      <c r="A5974" t="s">
        <v>6523</v>
      </c>
      <c r="B5974" s="1" t="s">
        <v>6524</v>
      </c>
      <c r="E5974">
        <v>1</v>
      </c>
      <c r="G5974" t="str">
        <f>HYPERLINK("http://babel.hathitrust.org/cgi/pt?id=nyp.33433075802011")</f>
        <v>http://babel.hathitrust.org/cgi/pt?id=nyp.33433075802011</v>
      </c>
      <c r="H5974" t="str">
        <f>HYPERLINK("http://catalog.hathitrust.org/Record/008661338")</f>
        <v>http://catalog.hathitrust.org/Record/008661338</v>
      </c>
      <c r="J5974" s="1">
        <v>1882</v>
      </c>
      <c r="K5974" t="s">
        <v>14723</v>
      </c>
      <c r="L5974" t="s">
        <v>17875</v>
      </c>
    </row>
    <row r="5975" spans="1:12">
      <c r="A5975" t="s">
        <v>6525</v>
      </c>
      <c r="B5975" s="1" t="s">
        <v>6526</v>
      </c>
      <c r="E5975">
        <v>1</v>
      </c>
      <c r="G5975" t="str">
        <f>HYPERLINK("http://babel.hathitrust.org/cgi/pt?id=nyp.33433075801997")</f>
        <v>http://babel.hathitrust.org/cgi/pt?id=nyp.33433075801997</v>
      </c>
      <c r="H5975" t="str">
        <f>HYPERLINK("http://catalog.hathitrust.org/Record/008661339")</f>
        <v>http://catalog.hathitrust.org/Record/008661339</v>
      </c>
      <c r="J5975" s="1">
        <v>1887</v>
      </c>
      <c r="K5975" t="s">
        <v>14723</v>
      </c>
      <c r="L5975" t="s">
        <v>17875</v>
      </c>
    </row>
    <row r="5976" spans="1:12">
      <c r="A5976" t="s">
        <v>6527</v>
      </c>
      <c r="B5976" s="1" t="s">
        <v>6528</v>
      </c>
      <c r="E5976">
        <v>1</v>
      </c>
      <c r="G5976" t="str">
        <f>HYPERLINK("http://babel.hathitrust.org/cgi/pt?id=nyp.33433074785506")</f>
        <v>http://babel.hathitrust.org/cgi/pt?id=nyp.33433074785506</v>
      </c>
      <c r="H5976" t="str">
        <f>HYPERLINK("http://catalog.hathitrust.org/Record/008661437")</f>
        <v>http://catalog.hathitrust.org/Record/008661437</v>
      </c>
      <c r="J5976" s="1">
        <v>1837</v>
      </c>
      <c r="K5976" t="s">
        <v>6529</v>
      </c>
      <c r="L5976" t="s">
        <v>12993</v>
      </c>
    </row>
    <row r="5977" spans="1:12">
      <c r="A5977" t="s">
        <v>6530</v>
      </c>
      <c r="B5977" s="1" t="s">
        <v>6531</v>
      </c>
      <c r="F5977">
        <v>1</v>
      </c>
      <c r="G5977" t="str">
        <f>HYPERLINK("http://babel.hathitrust.org/cgi/pt?id=nyp.33433074834841")</f>
        <v>http://babel.hathitrust.org/cgi/pt?id=nyp.33433074834841</v>
      </c>
      <c r="H5977" t="str">
        <f>HYPERLINK("http://catalog.hathitrust.org/Record/008661512")</f>
        <v>http://catalog.hathitrust.org/Record/008661512</v>
      </c>
      <c r="J5977" s="1">
        <v>1888</v>
      </c>
      <c r="K5977" t="s">
        <v>6532</v>
      </c>
      <c r="L5977" t="s">
        <v>20026</v>
      </c>
    </row>
    <row r="5978" spans="1:12">
      <c r="A5978" t="s">
        <v>6533</v>
      </c>
      <c r="B5978" s="1" t="s">
        <v>6534</v>
      </c>
      <c r="E5978">
        <v>1</v>
      </c>
      <c r="G5978" t="str">
        <f>HYPERLINK("http://babel.hathitrust.org/cgi/pt?id=nyp.33433074834338")</f>
        <v>http://babel.hathitrust.org/cgi/pt?id=nyp.33433074834338</v>
      </c>
      <c r="H5978" t="str">
        <f>HYPERLINK("http://catalog.hathitrust.org/Record/008661634")</f>
        <v>http://catalog.hathitrust.org/Record/008661634</v>
      </c>
      <c r="J5978" s="1">
        <v>1891</v>
      </c>
      <c r="K5978" t="s">
        <v>6535</v>
      </c>
    </row>
    <row r="5979" spans="1:12">
      <c r="A5979" t="s">
        <v>6536</v>
      </c>
      <c r="B5979" s="1" t="s">
        <v>6537</v>
      </c>
      <c r="E5979">
        <v>1</v>
      </c>
      <c r="G5979" t="str">
        <f>HYPERLINK("http://babel.hathitrust.org/cgi/pt?id=nyp.33433074834320")</f>
        <v>http://babel.hathitrust.org/cgi/pt?id=nyp.33433074834320</v>
      </c>
      <c r="H5979" t="str">
        <f>HYPERLINK("http://catalog.hathitrust.org/Record/008661642")</f>
        <v>http://catalog.hathitrust.org/Record/008661642</v>
      </c>
      <c r="J5979" s="1">
        <v>1892</v>
      </c>
      <c r="K5979" t="s">
        <v>8924</v>
      </c>
      <c r="L5979" t="s">
        <v>19690</v>
      </c>
    </row>
    <row r="5980" spans="1:12">
      <c r="A5980" t="s">
        <v>6538</v>
      </c>
      <c r="B5980" s="1" t="s">
        <v>6539</v>
      </c>
      <c r="E5980">
        <v>1</v>
      </c>
      <c r="G5980" t="str">
        <f>HYPERLINK("http://babel.hathitrust.org/cgi/pt?id=wu.89099138869")</f>
        <v>http://babel.hathitrust.org/cgi/pt?id=wu.89099138869</v>
      </c>
      <c r="H5980" t="str">
        <f t="shared" ref="H5980:H5986" si="64">HYPERLINK("http://catalog.hathitrust.org/Record/008661909")</f>
        <v>http://catalog.hathitrust.org/Record/008661909</v>
      </c>
      <c r="I5980" s="1" t="s">
        <v>16577</v>
      </c>
      <c r="J5980" s="1">
        <v>1915</v>
      </c>
      <c r="K5980" t="s">
        <v>6540</v>
      </c>
      <c r="L5980" t="s">
        <v>17406</v>
      </c>
    </row>
    <row r="5981" spans="1:12">
      <c r="A5981" t="s">
        <v>6541</v>
      </c>
      <c r="B5981" s="1" t="s">
        <v>6539</v>
      </c>
      <c r="E5981">
        <v>1</v>
      </c>
      <c r="G5981" t="str">
        <f>HYPERLINK("http://babel.hathitrust.org/cgi/pt?id=wu.89099138885")</f>
        <v>http://babel.hathitrust.org/cgi/pt?id=wu.89099138885</v>
      </c>
      <c r="H5981" t="str">
        <f t="shared" si="64"/>
        <v>http://catalog.hathitrust.org/Record/008661909</v>
      </c>
      <c r="I5981" s="1" t="s">
        <v>21018</v>
      </c>
      <c r="J5981" s="1">
        <v>1915</v>
      </c>
      <c r="K5981" t="s">
        <v>6540</v>
      </c>
      <c r="L5981" t="s">
        <v>17406</v>
      </c>
    </row>
    <row r="5982" spans="1:12">
      <c r="A5982" t="s">
        <v>6542</v>
      </c>
      <c r="B5982" s="1" t="s">
        <v>6539</v>
      </c>
      <c r="E5982">
        <v>1</v>
      </c>
      <c r="G5982" t="str">
        <f>HYPERLINK("http://babel.hathitrust.org/cgi/pt?id=wu.89099138901")</f>
        <v>http://babel.hathitrust.org/cgi/pt?id=wu.89099138901</v>
      </c>
      <c r="H5982" t="str">
        <f t="shared" si="64"/>
        <v>http://catalog.hathitrust.org/Record/008661909</v>
      </c>
      <c r="I5982" s="1" t="s">
        <v>20681</v>
      </c>
      <c r="J5982" s="1">
        <v>1915</v>
      </c>
      <c r="K5982" t="s">
        <v>6540</v>
      </c>
      <c r="L5982" t="s">
        <v>17406</v>
      </c>
    </row>
    <row r="5983" spans="1:12">
      <c r="A5983" t="s">
        <v>6543</v>
      </c>
      <c r="B5983" s="1" t="s">
        <v>6539</v>
      </c>
      <c r="E5983">
        <v>1</v>
      </c>
      <c r="G5983" t="str">
        <f>HYPERLINK("http://babel.hathitrust.org/cgi/pt?id=wu.89099138927")</f>
        <v>http://babel.hathitrust.org/cgi/pt?id=wu.89099138927</v>
      </c>
      <c r="H5983" t="str">
        <f t="shared" si="64"/>
        <v>http://catalog.hathitrust.org/Record/008661909</v>
      </c>
      <c r="I5983" s="1" t="s">
        <v>20679</v>
      </c>
      <c r="J5983" s="1">
        <v>1915</v>
      </c>
      <c r="K5983" t="s">
        <v>6540</v>
      </c>
      <c r="L5983" t="s">
        <v>17406</v>
      </c>
    </row>
    <row r="5984" spans="1:12">
      <c r="A5984" t="s">
        <v>6544</v>
      </c>
      <c r="B5984" s="1" t="s">
        <v>6539</v>
      </c>
      <c r="E5984">
        <v>1</v>
      </c>
      <c r="G5984" t="str">
        <f>HYPERLINK("http://babel.hathitrust.org/cgi/pt?id=wu.89099138943")</f>
        <v>http://babel.hathitrust.org/cgi/pt?id=wu.89099138943</v>
      </c>
      <c r="H5984" t="str">
        <f t="shared" si="64"/>
        <v>http://catalog.hathitrust.org/Record/008661909</v>
      </c>
      <c r="I5984" s="1" t="s">
        <v>20920</v>
      </c>
      <c r="J5984" s="1">
        <v>1915</v>
      </c>
      <c r="K5984" t="s">
        <v>6540</v>
      </c>
      <c r="L5984" t="s">
        <v>17406</v>
      </c>
    </row>
    <row r="5985" spans="1:12">
      <c r="A5985" t="s">
        <v>6545</v>
      </c>
      <c r="B5985" s="1" t="s">
        <v>6539</v>
      </c>
      <c r="E5985">
        <v>1</v>
      </c>
      <c r="G5985" t="str">
        <f>HYPERLINK("http://babel.hathitrust.org/cgi/pt?id=wu.89099138968")</f>
        <v>http://babel.hathitrust.org/cgi/pt?id=wu.89099138968</v>
      </c>
      <c r="H5985" t="str">
        <f t="shared" si="64"/>
        <v>http://catalog.hathitrust.org/Record/008661909</v>
      </c>
      <c r="I5985" s="1" t="s">
        <v>20755</v>
      </c>
      <c r="J5985" s="1">
        <v>1915</v>
      </c>
      <c r="K5985" t="s">
        <v>6540</v>
      </c>
      <c r="L5985" t="s">
        <v>17406</v>
      </c>
    </row>
    <row r="5986" spans="1:12">
      <c r="A5986" t="s">
        <v>6546</v>
      </c>
      <c r="B5986" s="1" t="s">
        <v>6539</v>
      </c>
      <c r="E5986">
        <v>1</v>
      </c>
      <c r="G5986" t="str">
        <f>HYPERLINK("http://babel.hathitrust.org/cgi/pt?id=wu.89099138984")</f>
        <v>http://babel.hathitrust.org/cgi/pt?id=wu.89099138984</v>
      </c>
      <c r="H5986" t="str">
        <f t="shared" si="64"/>
        <v>http://catalog.hathitrust.org/Record/008661909</v>
      </c>
      <c r="I5986" s="1" t="s">
        <v>20916</v>
      </c>
      <c r="J5986" s="1">
        <v>1915</v>
      </c>
      <c r="K5986" t="s">
        <v>6540</v>
      </c>
      <c r="L5986" t="s">
        <v>17406</v>
      </c>
    </row>
    <row r="5987" spans="1:12">
      <c r="A5987" t="s">
        <v>6547</v>
      </c>
      <c r="B5987" s="1" t="s">
        <v>6548</v>
      </c>
      <c r="F5987">
        <v>1</v>
      </c>
      <c r="G5987" t="str">
        <f>HYPERLINK("http://babel.hathitrust.org/cgi/pt?id=nyp.33433074840228")</f>
        <v>http://babel.hathitrust.org/cgi/pt?id=nyp.33433074840228</v>
      </c>
      <c r="H5987" t="str">
        <f>HYPERLINK("http://catalog.hathitrust.org/Record/008661942")</f>
        <v>http://catalog.hathitrust.org/Record/008661942</v>
      </c>
      <c r="J5987" s="1">
        <v>1907</v>
      </c>
      <c r="K5987" t="s">
        <v>6549</v>
      </c>
      <c r="L5987" t="s">
        <v>6550</v>
      </c>
    </row>
    <row r="5988" spans="1:12">
      <c r="A5988" t="s">
        <v>6551</v>
      </c>
      <c r="B5988" s="1" t="s">
        <v>6552</v>
      </c>
      <c r="F5988">
        <v>1</v>
      </c>
      <c r="G5988" t="str">
        <f>HYPERLINK("http://babel.hathitrust.org/cgi/pt?id=nyp.33433074840103")</f>
        <v>http://babel.hathitrust.org/cgi/pt?id=nyp.33433074840103</v>
      </c>
      <c r="H5988" t="str">
        <f>HYPERLINK("http://catalog.hathitrust.org/Record/008661954")</f>
        <v>http://catalog.hathitrust.org/Record/008661954</v>
      </c>
      <c r="I5988" s="1" t="s">
        <v>20796</v>
      </c>
      <c r="J5988" s="1">
        <v>1774</v>
      </c>
      <c r="K5988" t="s">
        <v>6553</v>
      </c>
      <c r="L5988" t="s">
        <v>17879</v>
      </c>
    </row>
    <row r="5989" spans="1:12">
      <c r="A5989" t="s">
        <v>6554</v>
      </c>
      <c r="B5989" s="1" t="s">
        <v>6552</v>
      </c>
      <c r="F5989">
        <v>1</v>
      </c>
      <c r="G5989" t="str">
        <f>HYPERLINK("http://babel.hathitrust.org/cgi/pt?id=nyp.33433074840111")</f>
        <v>http://babel.hathitrust.org/cgi/pt?id=nyp.33433074840111</v>
      </c>
      <c r="H5989" t="str">
        <f>HYPERLINK("http://catalog.hathitrust.org/Record/008661954")</f>
        <v>http://catalog.hathitrust.org/Record/008661954</v>
      </c>
      <c r="I5989" s="1" t="s">
        <v>20801</v>
      </c>
      <c r="J5989" s="1">
        <v>1774</v>
      </c>
      <c r="K5989" t="s">
        <v>6553</v>
      </c>
      <c r="L5989" t="s">
        <v>17879</v>
      </c>
    </row>
    <row r="5990" spans="1:12">
      <c r="A5990" t="s">
        <v>6555</v>
      </c>
      <c r="B5990" s="1" t="s">
        <v>6552</v>
      </c>
      <c r="F5990">
        <v>1</v>
      </c>
      <c r="G5990" t="str">
        <f>HYPERLINK("http://babel.hathitrust.org/cgi/pt?id=nyp.33433074840129")</f>
        <v>http://babel.hathitrust.org/cgi/pt?id=nyp.33433074840129</v>
      </c>
      <c r="H5990" t="str">
        <f>HYPERLINK("http://catalog.hathitrust.org/Record/008661954")</f>
        <v>http://catalog.hathitrust.org/Record/008661954</v>
      </c>
      <c r="I5990" s="1" t="s">
        <v>20799</v>
      </c>
      <c r="J5990" s="1">
        <v>1774</v>
      </c>
      <c r="K5990" t="s">
        <v>6553</v>
      </c>
      <c r="L5990" t="s">
        <v>17879</v>
      </c>
    </row>
    <row r="5991" spans="1:12">
      <c r="A5991" t="s">
        <v>6556</v>
      </c>
      <c r="B5991" s="1" t="s">
        <v>6557</v>
      </c>
      <c r="F5991">
        <v>1</v>
      </c>
      <c r="G5991" t="str">
        <f>HYPERLINK("http://babel.hathitrust.org/cgi/pt?id=nyp.33433074840145")</f>
        <v>http://babel.hathitrust.org/cgi/pt?id=nyp.33433074840145</v>
      </c>
      <c r="H5991" t="str">
        <f>HYPERLINK("http://catalog.hathitrust.org/Record/008662011")</f>
        <v>http://catalog.hathitrust.org/Record/008662011</v>
      </c>
      <c r="J5991" s="1">
        <v>1899</v>
      </c>
      <c r="K5991" t="s">
        <v>6558</v>
      </c>
      <c r="L5991" t="s">
        <v>17712</v>
      </c>
    </row>
    <row r="5992" spans="1:12">
      <c r="A5992" t="s">
        <v>6559</v>
      </c>
      <c r="B5992" s="1" t="s">
        <v>6560</v>
      </c>
      <c r="E5992">
        <v>1</v>
      </c>
      <c r="F5992">
        <v>1</v>
      </c>
      <c r="G5992" t="str">
        <f>HYPERLINK("http://babel.hathitrust.org/cgi/pt?id=nyp.33433074844808")</f>
        <v>http://babel.hathitrust.org/cgi/pt?id=nyp.33433074844808</v>
      </c>
      <c r="H5992" t="str">
        <f>HYPERLINK("http://catalog.hathitrust.org/Record/008662066")</f>
        <v>http://catalog.hathitrust.org/Record/008662066</v>
      </c>
      <c r="J5992" s="1">
        <v>1889</v>
      </c>
      <c r="K5992" t="s">
        <v>6561</v>
      </c>
      <c r="L5992" t="s">
        <v>14322</v>
      </c>
    </row>
    <row r="5993" spans="1:12">
      <c r="A5993" t="s">
        <v>6562</v>
      </c>
      <c r="B5993" s="1" t="s">
        <v>6563</v>
      </c>
      <c r="F5993">
        <v>1</v>
      </c>
      <c r="G5993" t="str">
        <f>HYPERLINK("http://babel.hathitrust.org/cgi/pt?id=loc.ark:/13960/t7gq7t237")</f>
        <v>http://babel.hathitrust.org/cgi/pt?id=loc.ark:/13960/t7gq7t237</v>
      </c>
      <c r="H5993" t="str">
        <f>HYPERLINK("http://catalog.hathitrust.org/Record/008662287")</f>
        <v>http://catalog.hathitrust.org/Record/008662287</v>
      </c>
      <c r="J5993" s="1">
        <v>1911</v>
      </c>
      <c r="K5993" t="s">
        <v>6564</v>
      </c>
      <c r="L5993" t="s">
        <v>6565</v>
      </c>
    </row>
    <row r="5994" spans="1:12">
      <c r="A5994" t="s">
        <v>6566</v>
      </c>
      <c r="B5994" s="1" t="s">
        <v>6567</v>
      </c>
      <c r="E5994">
        <v>1</v>
      </c>
      <c r="G5994" t="str">
        <f>HYPERLINK("http://babel.hathitrust.org/cgi/pt?id=nyp.33433074786405")</f>
        <v>http://babel.hathitrust.org/cgi/pt?id=nyp.33433074786405</v>
      </c>
      <c r="H5994" t="str">
        <f>HYPERLINK("http://catalog.hathitrust.org/Record/008662386")</f>
        <v>http://catalog.hathitrust.org/Record/008662386</v>
      </c>
      <c r="J5994" s="1">
        <v>1907</v>
      </c>
      <c r="K5994" t="s">
        <v>6568</v>
      </c>
      <c r="L5994" t="s">
        <v>19690</v>
      </c>
    </row>
    <row r="5995" spans="1:12">
      <c r="A5995" t="s">
        <v>6569</v>
      </c>
      <c r="B5995" s="1" t="s">
        <v>6570</v>
      </c>
      <c r="E5995">
        <v>1</v>
      </c>
      <c r="G5995" t="str">
        <f>HYPERLINK("http://babel.hathitrust.org/cgi/pt?id=nyp.33433074786447")</f>
        <v>http://babel.hathitrust.org/cgi/pt?id=nyp.33433074786447</v>
      </c>
      <c r="H5995" t="str">
        <f>HYPERLINK("http://catalog.hathitrust.org/Record/008662438")</f>
        <v>http://catalog.hathitrust.org/Record/008662438</v>
      </c>
      <c r="J5995" s="1">
        <v>1914</v>
      </c>
      <c r="K5995" t="s">
        <v>6571</v>
      </c>
      <c r="L5995" t="s">
        <v>19768</v>
      </c>
    </row>
    <row r="5996" spans="1:12">
      <c r="A5996" t="s">
        <v>6572</v>
      </c>
      <c r="B5996" s="1" t="s">
        <v>6573</v>
      </c>
      <c r="E5996">
        <v>1</v>
      </c>
      <c r="G5996" t="str">
        <f>HYPERLINK("http://babel.hathitrust.org/cgi/pt?id=nyp.33433076078702")</f>
        <v>http://babel.hathitrust.org/cgi/pt?id=nyp.33433076078702</v>
      </c>
      <c r="H5996" t="str">
        <f>HYPERLINK("http://catalog.hathitrust.org/Record/008662444")</f>
        <v>http://catalog.hathitrust.org/Record/008662444</v>
      </c>
      <c r="J5996" s="1">
        <v>1799</v>
      </c>
      <c r="K5996" t="s">
        <v>6574</v>
      </c>
      <c r="L5996" t="s">
        <v>20043</v>
      </c>
    </row>
    <row r="5997" spans="1:12">
      <c r="A5997" t="s">
        <v>6575</v>
      </c>
      <c r="B5997" s="1" t="s">
        <v>6464</v>
      </c>
      <c r="E5997">
        <v>1</v>
      </c>
      <c r="G5997" t="str">
        <f>HYPERLINK("http://babel.hathitrust.org/cgi/pt?id=nyp.33433082500418")</f>
        <v>http://babel.hathitrust.org/cgi/pt?id=nyp.33433082500418</v>
      </c>
      <c r="H5997" t="str">
        <f>HYPERLINK("http://catalog.hathitrust.org/Record/008662543")</f>
        <v>http://catalog.hathitrust.org/Record/008662543</v>
      </c>
      <c r="J5997" s="1">
        <v>1880</v>
      </c>
      <c r="K5997" t="s">
        <v>6465</v>
      </c>
      <c r="L5997" t="s">
        <v>20467</v>
      </c>
    </row>
    <row r="5998" spans="1:12">
      <c r="A5998" t="s">
        <v>6466</v>
      </c>
      <c r="B5998" s="1" t="s">
        <v>6467</v>
      </c>
      <c r="E5998">
        <v>1</v>
      </c>
      <c r="G5998" t="str">
        <f>HYPERLINK("http://babel.hathitrust.org/cgi/pt?id=hvd.hnkx5w")</f>
        <v>http://babel.hathitrust.org/cgi/pt?id=hvd.hnkx5w</v>
      </c>
      <c r="H5998" t="str">
        <f>HYPERLINK("http://catalog.hathitrust.org/Record/008662598")</f>
        <v>http://catalog.hathitrust.org/Record/008662598</v>
      </c>
      <c r="J5998" s="1">
        <v>1853</v>
      </c>
      <c r="K5998" t="s">
        <v>17329</v>
      </c>
      <c r="L5998" t="s">
        <v>17330</v>
      </c>
    </row>
    <row r="5999" spans="1:12">
      <c r="A5999" t="s">
        <v>6468</v>
      </c>
      <c r="B5999" s="1" t="s">
        <v>6469</v>
      </c>
      <c r="F5999">
        <v>1</v>
      </c>
      <c r="G5999" t="str">
        <f>HYPERLINK("http://babel.hathitrust.org/cgi/pt?id=nyp.33433074834882")</f>
        <v>http://babel.hathitrust.org/cgi/pt?id=nyp.33433074834882</v>
      </c>
      <c r="H5999" t="str">
        <f>HYPERLINK("http://catalog.hathitrust.org/Record/008662623")</f>
        <v>http://catalog.hathitrust.org/Record/008662623</v>
      </c>
      <c r="J5999" s="1">
        <v>1806</v>
      </c>
      <c r="K5999" t="s">
        <v>6470</v>
      </c>
      <c r="L5999" t="s">
        <v>14751</v>
      </c>
    </row>
    <row r="6000" spans="1:12">
      <c r="A6000" t="s">
        <v>6471</v>
      </c>
      <c r="B6000" s="1" t="s">
        <v>6472</v>
      </c>
      <c r="F6000">
        <v>1</v>
      </c>
      <c r="G6000" t="str">
        <f>HYPERLINK("http://babel.hathitrust.org/cgi/pt?id=hvd.32044011235348")</f>
        <v>http://babel.hathitrust.org/cgi/pt?id=hvd.32044011235348</v>
      </c>
      <c r="H6000" t="str">
        <f>HYPERLINK("http://catalog.hathitrust.org/Record/008662672")</f>
        <v>http://catalog.hathitrust.org/Record/008662672</v>
      </c>
      <c r="J6000" s="1">
        <v>1837</v>
      </c>
      <c r="K6000" t="s">
        <v>6473</v>
      </c>
      <c r="L6000" t="s">
        <v>6474</v>
      </c>
    </row>
    <row r="6001" spans="1:12">
      <c r="A6001" t="s">
        <v>6475</v>
      </c>
      <c r="B6001" s="1" t="s">
        <v>6472</v>
      </c>
      <c r="F6001">
        <v>1</v>
      </c>
      <c r="G6001" t="str">
        <f>HYPERLINK("http://babel.hathitrust.org/cgi/pt?id=nyp.33433074834924")</f>
        <v>http://babel.hathitrust.org/cgi/pt?id=nyp.33433074834924</v>
      </c>
      <c r="H6001" t="str">
        <f>HYPERLINK("http://catalog.hathitrust.org/Record/008662672")</f>
        <v>http://catalog.hathitrust.org/Record/008662672</v>
      </c>
      <c r="J6001" s="1">
        <v>1837</v>
      </c>
      <c r="K6001" t="s">
        <v>6473</v>
      </c>
      <c r="L6001" t="s">
        <v>6474</v>
      </c>
    </row>
    <row r="6002" spans="1:12">
      <c r="A6002" t="s">
        <v>6476</v>
      </c>
      <c r="B6002" s="1" t="s">
        <v>6477</v>
      </c>
      <c r="D6002">
        <v>1</v>
      </c>
      <c r="G6002" t="str">
        <f>HYPERLINK("http://babel.hathitrust.org/cgi/pt?id=nyp.33433074849468")</f>
        <v>http://babel.hathitrust.org/cgi/pt?id=nyp.33433074849468</v>
      </c>
      <c r="H6002" t="str">
        <f>HYPERLINK("http://catalog.hathitrust.org/Record/008662704")</f>
        <v>http://catalog.hathitrust.org/Record/008662704</v>
      </c>
      <c r="J6002" s="1">
        <v>1753</v>
      </c>
      <c r="K6002" t="s">
        <v>6478</v>
      </c>
      <c r="L6002" t="s">
        <v>6479</v>
      </c>
    </row>
    <row r="6003" spans="1:12">
      <c r="A6003" t="s">
        <v>6480</v>
      </c>
      <c r="B6003" s="1" t="s">
        <v>6481</v>
      </c>
      <c r="F6003">
        <v>1</v>
      </c>
      <c r="G6003" t="str">
        <f>HYPERLINK("http://babel.hathitrust.org/cgi/pt?id=nyp.33433074838024")</f>
        <v>http://babel.hathitrust.org/cgi/pt?id=nyp.33433074838024</v>
      </c>
      <c r="H6003" t="str">
        <f>HYPERLINK("http://catalog.hathitrust.org/Record/008662715")</f>
        <v>http://catalog.hathitrust.org/Record/008662715</v>
      </c>
      <c r="I6003" s="1" t="s">
        <v>20801</v>
      </c>
      <c r="J6003" s="1">
        <v>1812</v>
      </c>
      <c r="K6003" t="s">
        <v>17515</v>
      </c>
      <c r="L6003" t="s">
        <v>17516</v>
      </c>
    </row>
    <row r="6004" spans="1:12">
      <c r="A6004" t="s">
        <v>6482</v>
      </c>
      <c r="B6004" s="1" t="s">
        <v>6481</v>
      </c>
      <c r="F6004">
        <v>1</v>
      </c>
      <c r="G6004" t="str">
        <f>HYPERLINK("http://babel.hathitrust.org/cgi/pt?id=nyp.33433074838032")</f>
        <v>http://babel.hathitrust.org/cgi/pt?id=nyp.33433074838032</v>
      </c>
      <c r="H6004" t="str">
        <f>HYPERLINK("http://catalog.hathitrust.org/Record/008662715")</f>
        <v>http://catalog.hathitrust.org/Record/008662715</v>
      </c>
      <c r="I6004" s="1" t="s">
        <v>20799</v>
      </c>
      <c r="J6004" s="1">
        <v>1812</v>
      </c>
      <c r="K6004" t="s">
        <v>17515</v>
      </c>
      <c r="L6004" t="s">
        <v>17516</v>
      </c>
    </row>
    <row r="6005" spans="1:12">
      <c r="A6005" t="s">
        <v>6483</v>
      </c>
      <c r="B6005" s="1" t="s">
        <v>6481</v>
      </c>
      <c r="F6005">
        <v>1</v>
      </c>
      <c r="G6005" t="str">
        <f>HYPERLINK("http://babel.hathitrust.org/cgi/pt?id=nyp.33433074838040")</f>
        <v>http://babel.hathitrust.org/cgi/pt?id=nyp.33433074838040</v>
      </c>
      <c r="H6005" t="str">
        <f>HYPERLINK("http://catalog.hathitrust.org/Record/008662715")</f>
        <v>http://catalog.hathitrust.org/Record/008662715</v>
      </c>
      <c r="I6005" s="1" t="s">
        <v>20796</v>
      </c>
      <c r="J6005" s="1">
        <v>1812</v>
      </c>
      <c r="K6005" t="s">
        <v>17515</v>
      </c>
      <c r="L6005" t="s">
        <v>17516</v>
      </c>
    </row>
    <row r="6006" spans="1:12">
      <c r="A6006" t="s">
        <v>6484</v>
      </c>
      <c r="B6006" s="1" t="s">
        <v>6485</v>
      </c>
      <c r="D6006">
        <v>1</v>
      </c>
      <c r="G6006" t="str">
        <f>HYPERLINK("http://babel.hathitrust.org/cgi/pt?id=hvd.32044009877606")</f>
        <v>http://babel.hathitrust.org/cgi/pt?id=hvd.32044009877606</v>
      </c>
      <c r="H6006" t="str">
        <f>HYPERLINK("http://catalog.hathitrust.org/Record/008662719")</f>
        <v>http://catalog.hathitrust.org/Record/008662719</v>
      </c>
      <c r="J6006" s="1">
        <v>1854</v>
      </c>
      <c r="K6006" t="s">
        <v>6486</v>
      </c>
      <c r="L6006" t="s">
        <v>6479</v>
      </c>
    </row>
    <row r="6007" spans="1:12">
      <c r="A6007" t="s">
        <v>6487</v>
      </c>
      <c r="B6007" s="1" t="s">
        <v>6488</v>
      </c>
      <c r="E6007">
        <v>1</v>
      </c>
      <c r="G6007" t="str">
        <f>HYPERLINK("http://babel.hathitrust.org/cgi/pt?id=hvd.hwtwr9")</f>
        <v>http://babel.hathitrust.org/cgi/pt?id=hvd.hwtwr9</v>
      </c>
      <c r="H6007" t="str">
        <f>HYPERLINK("http://catalog.hathitrust.org/Record/008663306")</f>
        <v>http://catalog.hathitrust.org/Record/008663306</v>
      </c>
      <c r="J6007" s="1">
        <v>1835</v>
      </c>
      <c r="K6007" t="s">
        <v>6489</v>
      </c>
      <c r="L6007" t="s">
        <v>19404</v>
      </c>
    </row>
    <row r="6008" spans="1:12">
      <c r="A6008" t="s">
        <v>6490</v>
      </c>
      <c r="B6008" s="1" t="s">
        <v>6491</v>
      </c>
      <c r="E6008">
        <v>1</v>
      </c>
      <c r="G6008" t="str">
        <f>HYPERLINK("http://babel.hathitrust.org/cgi/pt?id=nyp.33433074828306")</f>
        <v>http://babel.hathitrust.org/cgi/pt?id=nyp.33433074828306</v>
      </c>
      <c r="H6008" t="str">
        <f>HYPERLINK("http://catalog.hathitrust.org/Record/008664460")</f>
        <v>http://catalog.hathitrust.org/Record/008664460</v>
      </c>
      <c r="J6008" s="1">
        <v>1885</v>
      </c>
      <c r="K6008" t="s">
        <v>6492</v>
      </c>
      <c r="L6008" t="s">
        <v>6827</v>
      </c>
    </row>
    <row r="6009" spans="1:12">
      <c r="A6009" t="s">
        <v>6493</v>
      </c>
      <c r="B6009" s="1" t="s">
        <v>6494</v>
      </c>
      <c r="E6009">
        <v>1</v>
      </c>
      <c r="G6009" t="str">
        <f>HYPERLINK("http://babel.hathitrust.org/cgi/pt?id=nyp.33433074785258")</f>
        <v>http://babel.hathitrust.org/cgi/pt?id=nyp.33433074785258</v>
      </c>
      <c r="H6009" t="str">
        <f>HYPERLINK("http://catalog.hathitrust.org/Record/008664499")</f>
        <v>http://catalog.hathitrust.org/Record/008664499</v>
      </c>
      <c r="J6009" s="1">
        <v>1868</v>
      </c>
      <c r="K6009" t="s">
        <v>6495</v>
      </c>
      <c r="L6009" t="s">
        <v>20773</v>
      </c>
    </row>
    <row r="6010" spans="1:12">
      <c r="A6010" t="s">
        <v>6496</v>
      </c>
      <c r="B6010" s="1" t="s">
        <v>6497</v>
      </c>
      <c r="E6010">
        <v>1</v>
      </c>
      <c r="G6010" t="str">
        <f>HYPERLINK("http://babel.hathitrust.org/cgi/pt?id=nyp.33433074785233")</f>
        <v>http://babel.hathitrust.org/cgi/pt?id=nyp.33433074785233</v>
      </c>
      <c r="H6010" t="str">
        <f>HYPERLINK("http://catalog.hathitrust.org/Record/008664503")</f>
        <v>http://catalog.hathitrust.org/Record/008664503</v>
      </c>
      <c r="J6010" s="1">
        <v>1900</v>
      </c>
      <c r="K6010" t="s">
        <v>6498</v>
      </c>
      <c r="L6010" t="s">
        <v>20773</v>
      </c>
    </row>
    <row r="6011" spans="1:12">
      <c r="A6011" t="s">
        <v>6499</v>
      </c>
      <c r="B6011" s="1" t="s">
        <v>6500</v>
      </c>
      <c r="D6011">
        <v>1</v>
      </c>
      <c r="G6011" t="str">
        <f>HYPERLINK("http://babel.hathitrust.org/cgi/pt?id=nyp.33433076011273")</f>
        <v>http://babel.hathitrust.org/cgi/pt?id=nyp.33433076011273</v>
      </c>
      <c r="H6011" t="str">
        <f>HYPERLINK("http://catalog.hathitrust.org/Record/008665126")</f>
        <v>http://catalog.hathitrust.org/Record/008665126</v>
      </c>
      <c r="J6011" s="1">
        <v>1909</v>
      </c>
      <c r="K6011" t="s">
        <v>6501</v>
      </c>
      <c r="L6011" t="s">
        <v>19253</v>
      </c>
    </row>
    <row r="6012" spans="1:12">
      <c r="A6012" t="s">
        <v>6502</v>
      </c>
      <c r="B6012" s="1" t="s">
        <v>6503</v>
      </c>
      <c r="E6012">
        <v>1</v>
      </c>
      <c r="G6012" t="str">
        <f>HYPERLINK("http://babel.hathitrust.org/cgi/pt?id=nyp.33433074834957")</f>
        <v>http://babel.hathitrust.org/cgi/pt?id=nyp.33433074834957</v>
      </c>
      <c r="H6012" t="str">
        <f>HYPERLINK("http://catalog.hathitrust.org/Record/008665204")</f>
        <v>http://catalog.hathitrust.org/Record/008665204</v>
      </c>
      <c r="I6012" s="1" t="s">
        <v>6505</v>
      </c>
      <c r="J6012" s="1">
        <v>1893</v>
      </c>
      <c r="K6012" t="s">
        <v>6504</v>
      </c>
    </row>
    <row r="6013" spans="1:12">
      <c r="A6013" t="s">
        <v>6506</v>
      </c>
      <c r="B6013" s="1" t="s">
        <v>6503</v>
      </c>
      <c r="E6013">
        <v>1</v>
      </c>
      <c r="G6013" t="str">
        <f>HYPERLINK("http://babel.hathitrust.org/cgi/pt?id=nyp.33433074834965")</f>
        <v>http://babel.hathitrust.org/cgi/pt?id=nyp.33433074834965</v>
      </c>
      <c r="H6013" t="str">
        <f>HYPERLINK("http://catalog.hathitrust.org/Record/008665204")</f>
        <v>http://catalog.hathitrust.org/Record/008665204</v>
      </c>
      <c r="I6013" s="1" t="s">
        <v>6507</v>
      </c>
      <c r="J6013" s="1">
        <v>1893</v>
      </c>
      <c r="K6013" t="s">
        <v>6504</v>
      </c>
    </row>
    <row r="6014" spans="1:12">
      <c r="A6014" t="s">
        <v>6508</v>
      </c>
      <c r="B6014" s="1" t="s">
        <v>6503</v>
      </c>
      <c r="E6014">
        <v>1</v>
      </c>
      <c r="G6014" t="str">
        <f>HYPERLINK("http://babel.hathitrust.org/cgi/pt?id=nyp.33433074834973")</f>
        <v>http://babel.hathitrust.org/cgi/pt?id=nyp.33433074834973</v>
      </c>
      <c r="H6014" t="str">
        <f>HYPERLINK("http://catalog.hathitrust.org/Record/008665204")</f>
        <v>http://catalog.hathitrust.org/Record/008665204</v>
      </c>
      <c r="I6014" s="1" t="s">
        <v>6509</v>
      </c>
      <c r="J6014" s="1">
        <v>1893</v>
      </c>
      <c r="K6014" t="s">
        <v>6504</v>
      </c>
    </row>
    <row r="6015" spans="1:12">
      <c r="A6015" t="s">
        <v>6510</v>
      </c>
      <c r="B6015" s="1" t="s">
        <v>6503</v>
      </c>
      <c r="E6015">
        <v>1</v>
      </c>
      <c r="G6015" t="str">
        <f>HYPERLINK("http://babel.hathitrust.org/cgi/pt?id=nyp.33433074834981")</f>
        <v>http://babel.hathitrust.org/cgi/pt?id=nyp.33433074834981</v>
      </c>
      <c r="H6015" t="str">
        <f>HYPERLINK("http://catalog.hathitrust.org/Record/008665204")</f>
        <v>http://catalog.hathitrust.org/Record/008665204</v>
      </c>
      <c r="I6015" s="1" t="s">
        <v>6511</v>
      </c>
      <c r="J6015" s="1">
        <v>1893</v>
      </c>
      <c r="K6015" t="s">
        <v>6504</v>
      </c>
    </row>
    <row r="6016" spans="1:12">
      <c r="A6016" t="s">
        <v>6512</v>
      </c>
      <c r="B6016" s="1" t="s">
        <v>6513</v>
      </c>
      <c r="F6016">
        <v>1</v>
      </c>
      <c r="G6016" t="str">
        <f>HYPERLINK("http://babel.hathitrust.org/cgi/pt?id=nyp.33433074834163")</f>
        <v>http://babel.hathitrust.org/cgi/pt?id=nyp.33433074834163</v>
      </c>
      <c r="H6016" t="str">
        <f>HYPERLINK("http://catalog.hathitrust.org/Record/008665380")</f>
        <v>http://catalog.hathitrust.org/Record/008665380</v>
      </c>
      <c r="J6016" s="1">
        <v>1828</v>
      </c>
      <c r="K6016" t="s">
        <v>6514</v>
      </c>
      <c r="L6016" t="s">
        <v>6515</v>
      </c>
    </row>
    <row r="6017" spans="1:12">
      <c r="A6017" t="s">
        <v>6516</v>
      </c>
      <c r="B6017" s="1" t="s">
        <v>6517</v>
      </c>
      <c r="E6017">
        <v>1</v>
      </c>
      <c r="G6017" t="str">
        <f>HYPERLINK("http://babel.hathitrust.org/cgi/pt?id=nyp.33433074855697")</f>
        <v>http://babel.hathitrust.org/cgi/pt?id=nyp.33433074855697</v>
      </c>
      <c r="H6017" t="str">
        <f>HYPERLINK("http://catalog.hathitrust.org/Record/008665467")</f>
        <v>http://catalog.hathitrust.org/Record/008665467</v>
      </c>
      <c r="J6017" s="1">
        <v>1813</v>
      </c>
      <c r="K6017" t="s">
        <v>6518</v>
      </c>
      <c r="L6017" t="s">
        <v>19860</v>
      </c>
    </row>
    <row r="6018" spans="1:12">
      <c r="A6018" t="s">
        <v>6519</v>
      </c>
      <c r="B6018" s="1" t="s">
        <v>6520</v>
      </c>
      <c r="D6018">
        <v>1</v>
      </c>
      <c r="G6018" t="str">
        <f>HYPERLINK("http://babel.hathitrust.org/cgi/pt?id=nyp.33433074852371")</f>
        <v>http://babel.hathitrust.org/cgi/pt?id=nyp.33433074852371</v>
      </c>
      <c r="H6018" t="str">
        <f>HYPERLINK("http://catalog.hathitrust.org/Record/008665504")</f>
        <v>http://catalog.hathitrust.org/Record/008665504</v>
      </c>
      <c r="J6018" s="1">
        <v>1750</v>
      </c>
      <c r="K6018" t="s">
        <v>6425</v>
      </c>
      <c r="L6018" t="s">
        <v>19408</v>
      </c>
    </row>
    <row r="6019" spans="1:12">
      <c r="A6019" t="s">
        <v>6426</v>
      </c>
      <c r="B6019" s="1" t="s">
        <v>6427</v>
      </c>
      <c r="E6019">
        <v>1</v>
      </c>
      <c r="G6019" t="str">
        <f>HYPERLINK("http://babel.hathitrust.org/cgi/pt?id=nyp.33433074870100")</f>
        <v>http://babel.hathitrust.org/cgi/pt?id=nyp.33433074870100</v>
      </c>
      <c r="H6019" t="str">
        <f>HYPERLINK("http://catalog.hathitrust.org/Record/008666224")</f>
        <v>http://catalog.hathitrust.org/Record/008666224</v>
      </c>
      <c r="J6019" s="1">
        <v>1875</v>
      </c>
      <c r="K6019" t="s">
        <v>6428</v>
      </c>
      <c r="L6019" t="s">
        <v>14864</v>
      </c>
    </row>
    <row r="6020" spans="1:12">
      <c r="A6020" t="s">
        <v>6429</v>
      </c>
      <c r="B6020" s="1" t="s">
        <v>6430</v>
      </c>
      <c r="F6020">
        <v>1</v>
      </c>
      <c r="G6020" t="str">
        <f>HYPERLINK("http://babel.hathitrust.org/cgi/pt?id=nyp.33433074925839")</f>
        <v>http://babel.hathitrust.org/cgi/pt?id=nyp.33433074925839</v>
      </c>
      <c r="H6020" t="str">
        <f>HYPERLINK("http://catalog.hathitrust.org/Record/008668384")</f>
        <v>http://catalog.hathitrust.org/Record/008668384</v>
      </c>
      <c r="J6020" s="1">
        <v>1774</v>
      </c>
      <c r="K6020" t="s">
        <v>6431</v>
      </c>
      <c r="L6020" t="s">
        <v>6432</v>
      </c>
    </row>
    <row r="6021" spans="1:12">
      <c r="A6021" t="s">
        <v>6433</v>
      </c>
      <c r="B6021" s="1" t="s">
        <v>6434</v>
      </c>
      <c r="E6021">
        <v>1</v>
      </c>
      <c r="G6021" t="str">
        <f>HYPERLINK("http://babel.hathitrust.org/cgi/pt?id=hvd.32044018707141")</f>
        <v>http://babel.hathitrust.org/cgi/pt?id=hvd.32044018707141</v>
      </c>
      <c r="H6021" t="str">
        <f>HYPERLINK("http://catalog.hathitrust.org/Record/008668512")</f>
        <v>http://catalog.hathitrust.org/Record/008668512</v>
      </c>
      <c r="J6021" s="1">
        <v>1865</v>
      </c>
      <c r="K6021" t="s">
        <v>6435</v>
      </c>
      <c r="L6021" t="s">
        <v>20904</v>
      </c>
    </row>
    <row r="6022" spans="1:12">
      <c r="A6022" t="s">
        <v>6436</v>
      </c>
      <c r="B6022" s="1" t="s">
        <v>6437</v>
      </c>
      <c r="E6022">
        <v>1</v>
      </c>
      <c r="G6022" t="str">
        <f>HYPERLINK("http://babel.hathitrust.org/cgi/pt?id=nyp.33433074931647")</f>
        <v>http://babel.hathitrust.org/cgi/pt?id=nyp.33433074931647</v>
      </c>
      <c r="H6022" t="str">
        <f>HYPERLINK("http://catalog.hathitrust.org/Record/008668515")</f>
        <v>http://catalog.hathitrust.org/Record/008668515</v>
      </c>
      <c r="J6022" s="1">
        <v>1871</v>
      </c>
      <c r="K6022" t="s">
        <v>6438</v>
      </c>
      <c r="L6022" t="s">
        <v>20904</v>
      </c>
    </row>
    <row r="6023" spans="1:12">
      <c r="A6023" t="s">
        <v>6439</v>
      </c>
      <c r="B6023" s="1" t="s">
        <v>6440</v>
      </c>
      <c r="E6023">
        <v>1</v>
      </c>
      <c r="G6023" t="str">
        <f>HYPERLINK("http://babel.hathitrust.org/cgi/pt?id=nyp.33433074950746")</f>
        <v>http://babel.hathitrust.org/cgi/pt?id=nyp.33433074950746</v>
      </c>
      <c r="H6023" t="str">
        <f>HYPERLINK("http://catalog.hathitrust.org/Record/008668758")</f>
        <v>http://catalog.hathitrust.org/Record/008668758</v>
      </c>
      <c r="I6023" s="1" t="s">
        <v>20796</v>
      </c>
      <c r="J6023" s="1">
        <v>1860</v>
      </c>
      <c r="K6023" t="s">
        <v>6441</v>
      </c>
      <c r="L6023" t="s">
        <v>20485</v>
      </c>
    </row>
    <row r="6024" spans="1:12">
      <c r="A6024" t="s">
        <v>6442</v>
      </c>
      <c r="B6024" s="1" t="s">
        <v>6440</v>
      </c>
      <c r="E6024">
        <v>1</v>
      </c>
      <c r="G6024" t="str">
        <f>HYPERLINK("http://babel.hathitrust.org/cgi/pt?id=nyp.33433074950753")</f>
        <v>http://babel.hathitrust.org/cgi/pt?id=nyp.33433074950753</v>
      </c>
      <c r="H6024" t="str">
        <f>HYPERLINK("http://catalog.hathitrust.org/Record/008668758")</f>
        <v>http://catalog.hathitrust.org/Record/008668758</v>
      </c>
      <c r="I6024" s="1" t="s">
        <v>20799</v>
      </c>
      <c r="J6024" s="1">
        <v>1860</v>
      </c>
      <c r="K6024" t="s">
        <v>6441</v>
      </c>
      <c r="L6024" t="s">
        <v>20485</v>
      </c>
    </row>
    <row r="6025" spans="1:12">
      <c r="A6025" t="s">
        <v>6443</v>
      </c>
      <c r="B6025" s="1" t="s">
        <v>6440</v>
      </c>
      <c r="E6025">
        <v>1</v>
      </c>
      <c r="G6025" t="str">
        <f>HYPERLINK("http://babel.hathitrust.org/cgi/pt?id=nyp.33433074950761")</f>
        <v>http://babel.hathitrust.org/cgi/pt?id=nyp.33433074950761</v>
      </c>
      <c r="H6025" t="str">
        <f>HYPERLINK("http://catalog.hathitrust.org/Record/008668758")</f>
        <v>http://catalog.hathitrust.org/Record/008668758</v>
      </c>
      <c r="I6025" s="1" t="s">
        <v>20801</v>
      </c>
      <c r="J6025" s="1">
        <v>1860</v>
      </c>
      <c r="K6025" t="s">
        <v>6441</v>
      </c>
      <c r="L6025" t="s">
        <v>20485</v>
      </c>
    </row>
    <row r="6026" spans="1:12">
      <c r="A6026" t="s">
        <v>6444</v>
      </c>
      <c r="B6026" s="1" t="s">
        <v>6440</v>
      </c>
      <c r="E6026">
        <v>1</v>
      </c>
      <c r="G6026" t="str">
        <f>HYPERLINK("http://babel.hathitrust.org/cgi/pt?id=nyp.33433074950779")</f>
        <v>http://babel.hathitrust.org/cgi/pt?id=nyp.33433074950779</v>
      </c>
      <c r="H6026" t="str">
        <f>HYPERLINK("http://catalog.hathitrust.org/Record/008668758")</f>
        <v>http://catalog.hathitrust.org/Record/008668758</v>
      </c>
      <c r="I6026" s="1" t="s">
        <v>20803</v>
      </c>
      <c r="J6026" s="1">
        <v>1860</v>
      </c>
      <c r="K6026" t="s">
        <v>6441</v>
      </c>
      <c r="L6026" t="s">
        <v>20485</v>
      </c>
    </row>
    <row r="6027" spans="1:12">
      <c r="A6027" t="s">
        <v>6445</v>
      </c>
      <c r="B6027" s="1" t="s">
        <v>6446</v>
      </c>
      <c r="E6027">
        <v>1</v>
      </c>
      <c r="G6027" t="str">
        <f>HYPERLINK("http://babel.hathitrust.org/cgi/pt?id=nyp.33433074960331")</f>
        <v>http://babel.hathitrust.org/cgi/pt?id=nyp.33433074960331</v>
      </c>
      <c r="H6027" t="str">
        <f>HYPERLINK("http://catalog.hathitrust.org/Record/008669346")</f>
        <v>http://catalog.hathitrust.org/Record/008669346</v>
      </c>
      <c r="J6027" s="1">
        <v>1890</v>
      </c>
      <c r="K6027" t="s">
        <v>6447</v>
      </c>
      <c r="L6027" t="s">
        <v>20675</v>
      </c>
    </row>
    <row r="6028" spans="1:12">
      <c r="A6028" t="s">
        <v>6448</v>
      </c>
      <c r="B6028" s="1" t="s">
        <v>6449</v>
      </c>
      <c r="E6028">
        <v>1</v>
      </c>
      <c r="G6028" t="str">
        <f>HYPERLINK("http://babel.hathitrust.org/cgi/pt?id=nyp.33433074931613")</f>
        <v>http://babel.hathitrust.org/cgi/pt?id=nyp.33433074931613</v>
      </c>
      <c r="H6028" t="str">
        <f>HYPERLINK("http://catalog.hathitrust.org/Record/008670598")</f>
        <v>http://catalog.hathitrust.org/Record/008670598</v>
      </c>
      <c r="I6028" s="1" t="s">
        <v>20796</v>
      </c>
      <c r="J6028" s="1">
        <v>1828</v>
      </c>
      <c r="K6028" t="s">
        <v>6450</v>
      </c>
      <c r="L6028" t="s">
        <v>20904</v>
      </c>
    </row>
    <row r="6029" spans="1:12">
      <c r="A6029" t="s">
        <v>6451</v>
      </c>
      <c r="B6029" s="1" t="s">
        <v>6449</v>
      </c>
      <c r="E6029">
        <v>1</v>
      </c>
      <c r="G6029" t="str">
        <f>HYPERLINK("http://babel.hathitrust.org/cgi/pt?id=nyp.33433074931803")</f>
        <v>http://babel.hathitrust.org/cgi/pt?id=nyp.33433074931803</v>
      </c>
      <c r="H6029" t="str">
        <f>HYPERLINK("http://catalog.hathitrust.org/Record/008670598")</f>
        <v>http://catalog.hathitrust.org/Record/008670598</v>
      </c>
      <c r="I6029" s="1" t="s">
        <v>20799</v>
      </c>
      <c r="J6029" s="1">
        <v>1828</v>
      </c>
      <c r="K6029" t="s">
        <v>6450</v>
      </c>
      <c r="L6029" t="s">
        <v>20904</v>
      </c>
    </row>
    <row r="6030" spans="1:12">
      <c r="A6030" t="s">
        <v>6452</v>
      </c>
      <c r="B6030" s="1" t="s">
        <v>6453</v>
      </c>
      <c r="E6030">
        <v>1</v>
      </c>
      <c r="G6030" t="str">
        <f>HYPERLINK("http://babel.hathitrust.org/cgi/pt?id=nyp.33433074931639")</f>
        <v>http://babel.hathitrust.org/cgi/pt?id=nyp.33433074931639</v>
      </c>
      <c r="H6030" t="str">
        <f>HYPERLINK("http://catalog.hathitrust.org/Record/008670678")</f>
        <v>http://catalog.hathitrust.org/Record/008670678</v>
      </c>
      <c r="J6030" s="1">
        <v>1844</v>
      </c>
      <c r="K6030" t="s">
        <v>6454</v>
      </c>
      <c r="L6030" t="s">
        <v>20904</v>
      </c>
    </row>
    <row r="6031" spans="1:12">
      <c r="A6031" t="s">
        <v>6455</v>
      </c>
      <c r="B6031" s="1" t="s">
        <v>6456</v>
      </c>
      <c r="F6031">
        <v>1</v>
      </c>
      <c r="G6031" t="str">
        <f>HYPERLINK("http://babel.hathitrust.org/cgi/pt?id=nyp.33433082522891")</f>
        <v>http://babel.hathitrust.org/cgi/pt?id=nyp.33433082522891</v>
      </c>
      <c r="H6031" t="str">
        <f>HYPERLINK("http://catalog.hathitrust.org/Record/008673019")</f>
        <v>http://catalog.hathitrust.org/Record/008673019</v>
      </c>
      <c r="J6031" s="1">
        <v>1852</v>
      </c>
      <c r="K6031" t="s">
        <v>6457</v>
      </c>
      <c r="L6031" t="s">
        <v>13902</v>
      </c>
    </row>
    <row r="6032" spans="1:12">
      <c r="A6032" t="s">
        <v>6458</v>
      </c>
      <c r="B6032" s="1" t="s">
        <v>6459</v>
      </c>
      <c r="F6032">
        <v>1</v>
      </c>
      <c r="G6032" t="str">
        <f>HYPERLINK("http://babel.hathitrust.org/cgi/pt?id=nyp.33433082522578")</f>
        <v>http://babel.hathitrust.org/cgi/pt?id=nyp.33433082522578</v>
      </c>
      <c r="H6032" t="str">
        <f>HYPERLINK("http://catalog.hathitrust.org/Record/008673021")</f>
        <v>http://catalog.hathitrust.org/Record/008673021</v>
      </c>
      <c r="J6032" s="1">
        <v>1819</v>
      </c>
      <c r="K6032" t="s">
        <v>6460</v>
      </c>
      <c r="L6032" t="s">
        <v>6461</v>
      </c>
    </row>
    <row r="6033" spans="1:12">
      <c r="A6033" t="s">
        <v>6462</v>
      </c>
      <c r="B6033" s="1" t="s">
        <v>6463</v>
      </c>
      <c r="F6033">
        <v>1</v>
      </c>
      <c r="G6033" t="str">
        <f>HYPERLINK("http://babel.hathitrust.org/cgi/pt?id=nyp.33433082523600")</f>
        <v>http://babel.hathitrust.org/cgi/pt?id=nyp.33433082523600</v>
      </c>
      <c r="H6033" t="str">
        <f>HYPERLINK("http://catalog.hathitrust.org/Record/008673089")</f>
        <v>http://catalog.hathitrust.org/Record/008673089</v>
      </c>
      <c r="J6033" s="1">
        <v>1801</v>
      </c>
      <c r="K6033" t="s">
        <v>6381</v>
      </c>
      <c r="L6033" t="s">
        <v>20960</v>
      </c>
    </row>
    <row r="6034" spans="1:12">
      <c r="A6034" t="s">
        <v>6382</v>
      </c>
      <c r="B6034" s="1" t="s">
        <v>6383</v>
      </c>
      <c r="F6034">
        <v>1</v>
      </c>
      <c r="G6034" t="str">
        <f>HYPERLINK("http://babel.hathitrust.org/cgi/pt?id=nyp.33433081620621")</f>
        <v>http://babel.hathitrust.org/cgi/pt?id=nyp.33433081620621</v>
      </c>
      <c r="H6034" t="str">
        <f>HYPERLINK("http://catalog.hathitrust.org/Record/008673826")</f>
        <v>http://catalog.hathitrust.org/Record/008673826</v>
      </c>
      <c r="I6034" s="1" t="s">
        <v>20755</v>
      </c>
      <c r="J6034" s="1">
        <v>1774</v>
      </c>
      <c r="K6034" t="s">
        <v>6384</v>
      </c>
      <c r="L6034" t="s">
        <v>11936</v>
      </c>
    </row>
    <row r="6035" spans="1:12">
      <c r="A6035" t="s">
        <v>6385</v>
      </c>
      <c r="B6035" s="1" t="s">
        <v>6386</v>
      </c>
      <c r="F6035">
        <v>1</v>
      </c>
      <c r="G6035" t="str">
        <f>HYPERLINK("http://babel.hathitrust.org/cgi/pt?id=nyp.33433075867808")</f>
        <v>http://babel.hathitrust.org/cgi/pt?id=nyp.33433075867808</v>
      </c>
      <c r="H6035" t="str">
        <f>HYPERLINK("http://catalog.hathitrust.org/Record/008673907")</f>
        <v>http://catalog.hathitrust.org/Record/008673907</v>
      </c>
      <c r="J6035" s="1">
        <v>1791</v>
      </c>
      <c r="K6035" t="s">
        <v>6387</v>
      </c>
      <c r="L6035" t="s">
        <v>6388</v>
      </c>
    </row>
    <row r="6036" spans="1:12">
      <c r="A6036" t="s">
        <v>6389</v>
      </c>
      <c r="B6036" s="1" t="s">
        <v>6390</v>
      </c>
      <c r="F6036">
        <v>1</v>
      </c>
      <c r="G6036" t="str">
        <f>HYPERLINK("http://babel.hathitrust.org/cgi/pt?id=nyp.33433082177118")</f>
        <v>http://babel.hathitrust.org/cgi/pt?id=nyp.33433082177118</v>
      </c>
      <c r="H6036" t="str">
        <f>HYPERLINK("http://catalog.hathitrust.org/Record/008674180")</f>
        <v>http://catalog.hathitrust.org/Record/008674180</v>
      </c>
      <c r="J6036" s="1">
        <v>1906</v>
      </c>
      <c r="K6036" t="s">
        <v>6391</v>
      </c>
      <c r="L6036" t="s">
        <v>19718</v>
      </c>
    </row>
    <row r="6037" spans="1:12">
      <c r="A6037" t="s">
        <v>6392</v>
      </c>
      <c r="B6037" s="1" t="s">
        <v>6393</v>
      </c>
      <c r="E6037">
        <v>1</v>
      </c>
      <c r="G6037" t="str">
        <f>HYPERLINK("http://babel.hathitrust.org/cgi/pt?id=nyp.33433082313226")</f>
        <v>http://babel.hathitrust.org/cgi/pt?id=nyp.33433082313226</v>
      </c>
      <c r="H6037" t="str">
        <f>HYPERLINK("http://catalog.hathitrust.org/Record/008674267")</f>
        <v>http://catalog.hathitrust.org/Record/008674267</v>
      </c>
      <c r="J6037" s="1">
        <v>1852</v>
      </c>
      <c r="K6037" t="s">
        <v>6394</v>
      </c>
      <c r="L6037" t="s">
        <v>6395</v>
      </c>
    </row>
    <row r="6038" spans="1:12">
      <c r="A6038" t="s">
        <v>6396</v>
      </c>
      <c r="B6038" s="1" t="s">
        <v>6397</v>
      </c>
      <c r="F6038">
        <v>1</v>
      </c>
      <c r="G6038" t="str">
        <f>HYPERLINK("http://babel.hathitrust.org/cgi/pt?id=nyp.33433082286091")</f>
        <v>http://babel.hathitrust.org/cgi/pt?id=nyp.33433082286091</v>
      </c>
      <c r="H6038" t="str">
        <f>HYPERLINK("http://catalog.hathitrust.org/Record/008674601")</f>
        <v>http://catalog.hathitrust.org/Record/008674601</v>
      </c>
      <c r="J6038" s="1">
        <v>1897</v>
      </c>
      <c r="K6038" t="s">
        <v>6398</v>
      </c>
      <c r="L6038" t="s">
        <v>15658</v>
      </c>
    </row>
    <row r="6039" spans="1:12">
      <c r="A6039" t="s">
        <v>6399</v>
      </c>
      <c r="B6039" s="1" t="s">
        <v>6400</v>
      </c>
      <c r="F6039">
        <v>1</v>
      </c>
      <c r="G6039" t="str">
        <f>HYPERLINK("http://babel.hathitrust.org/cgi/pt?id=loc.ark:/13960/t9183sv63")</f>
        <v>http://babel.hathitrust.org/cgi/pt?id=loc.ark:/13960/t9183sv63</v>
      </c>
      <c r="H6039" t="str">
        <f>HYPERLINK("http://catalog.hathitrust.org/Record/008674781")</f>
        <v>http://catalog.hathitrust.org/Record/008674781</v>
      </c>
      <c r="J6039" s="1">
        <v>1891</v>
      </c>
      <c r="K6039" t="s">
        <v>6401</v>
      </c>
      <c r="L6039" t="s">
        <v>6402</v>
      </c>
    </row>
    <row r="6040" spans="1:12">
      <c r="A6040" t="s">
        <v>6403</v>
      </c>
      <c r="B6040" s="1" t="s">
        <v>6400</v>
      </c>
      <c r="F6040">
        <v>1</v>
      </c>
      <c r="G6040" t="str">
        <f>HYPERLINK("http://babel.hathitrust.org/cgi/pt?id=nyp.33433081982260")</f>
        <v>http://babel.hathitrust.org/cgi/pt?id=nyp.33433081982260</v>
      </c>
      <c r="H6040" t="str">
        <f>HYPERLINK("http://catalog.hathitrust.org/Record/008674781")</f>
        <v>http://catalog.hathitrust.org/Record/008674781</v>
      </c>
      <c r="J6040" s="1">
        <v>1891</v>
      </c>
      <c r="K6040" t="s">
        <v>6401</v>
      </c>
      <c r="L6040" t="s">
        <v>6402</v>
      </c>
    </row>
    <row r="6041" spans="1:12">
      <c r="A6041" t="s">
        <v>6404</v>
      </c>
      <c r="B6041" s="1" t="s">
        <v>6405</v>
      </c>
      <c r="F6041">
        <v>1</v>
      </c>
      <c r="G6041" t="str">
        <f>HYPERLINK("http://babel.hathitrust.org/cgi/pt?id=njp.32101066874569")</f>
        <v>http://babel.hathitrust.org/cgi/pt?id=njp.32101066874569</v>
      </c>
      <c r="H6041" t="str">
        <f>HYPERLINK("http://catalog.hathitrust.org/Record/008674791")</f>
        <v>http://catalog.hathitrust.org/Record/008674791</v>
      </c>
      <c r="J6041" s="1">
        <v>1786</v>
      </c>
      <c r="K6041" t="s">
        <v>6406</v>
      </c>
      <c r="L6041" t="s">
        <v>14444</v>
      </c>
    </row>
    <row r="6042" spans="1:12">
      <c r="A6042" t="s">
        <v>6407</v>
      </c>
      <c r="B6042" s="1" t="s">
        <v>6405</v>
      </c>
      <c r="F6042">
        <v>1</v>
      </c>
      <c r="G6042" t="str">
        <f>HYPERLINK("http://babel.hathitrust.org/cgi/pt?id=nyp.33433082259817")</f>
        <v>http://babel.hathitrust.org/cgi/pt?id=nyp.33433082259817</v>
      </c>
      <c r="H6042" t="str">
        <f>HYPERLINK("http://catalog.hathitrust.org/Record/008674791")</f>
        <v>http://catalog.hathitrust.org/Record/008674791</v>
      </c>
      <c r="J6042" s="1">
        <v>1786</v>
      </c>
      <c r="K6042" t="s">
        <v>6406</v>
      </c>
      <c r="L6042" t="s">
        <v>14444</v>
      </c>
    </row>
    <row r="6043" spans="1:12">
      <c r="A6043" t="s">
        <v>6408</v>
      </c>
      <c r="B6043" s="1" t="s">
        <v>6409</v>
      </c>
      <c r="F6043">
        <v>1</v>
      </c>
      <c r="G6043" t="str">
        <f>HYPERLINK("http://babel.hathitrust.org/cgi/pt?id=njp.32101071985855")</f>
        <v>http://babel.hathitrust.org/cgi/pt?id=njp.32101071985855</v>
      </c>
      <c r="H6043" t="str">
        <f>HYPERLINK("http://catalog.hathitrust.org/Record/008674810")</f>
        <v>http://catalog.hathitrust.org/Record/008674810</v>
      </c>
      <c r="J6043" s="1">
        <v>1850</v>
      </c>
      <c r="K6043" t="s">
        <v>9484</v>
      </c>
      <c r="L6043" t="s">
        <v>13577</v>
      </c>
    </row>
    <row r="6044" spans="1:12">
      <c r="A6044" t="s">
        <v>6410</v>
      </c>
      <c r="B6044" s="1" t="s">
        <v>6409</v>
      </c>
      <c r="F6044">
        <v>1</v>
      </c>
      <c r="G6044" t="str">
        <f>HYPERLINK("http://babel.hathitrust.org/cgi/pt?id=nyp.33433081982195")</f>
        <v>http://babel.hathitrust.org/cgi/pt?id=nyp.33433081982195</v>
      </c>
      <c r="H6044" t="str">
        <f>HYPERLINK("http://catalog.hathitrust.org/Record/008674810")</f>
        <v>http://catalog.hathitrust.org/Record/008674810</v>
      </c>
      <c r="J6044" s="1">
        <v>1850</v>
      </c>
      <c r="K6044" t="s">
        <v>9484</v>
      </c>
      <c r="L6044" t="s">
        <v>13577</v>
      </c>
    </row>
    <row r="6045" spans="1:12">
      <c r="A6045" t="s">
        <v>6411</v>
      </c>
      <c r="B6045" s="1" t="s">
        <v>6412</v>
      </c>
      <c r="D6045">
        <v>1</v>
      </c>
      <c r="G6045" t="str">
        <f>HYPERLINK("http://babel.hathitrust.org/cgi/pt?id=hvd.hwp9cq")</f>
        <v>http://babel.hathitrust.org/cgi/pt?id=hvd.hwp9cq</v>
      </c>
      <c r="H6045" t="str">
        <f>HYPERLINK("http://catalog.hathitrust.org/Record/008674821")</f>
        <v>http://catalog.hathitrust.org/Record/008674821</v>
      </c>
      <c r="J6045" s="1">
        <v>1841</v>
      </c>
      <c r="K6045" t="s">
        <v>6413</v>
      </c>
      <c r="L6045" t="s">
        <v>19446</v>
      </c>
    </row>
    <row r="6046" spans="1:12">
      <c r="A6046" t="s">
        <v>6414</v>
      </c>
      <c r="B6046" s="1" t="s">
        <v>6412</v>
      </c>
      <c r="F6046">
        <v>1</v>
      </c>
      <c r="G6046" t="str">
        <f>HYPERLINK("http://babel.hathitrust.org/cgi/pt?id=nyp.33433081982203")</f>
        <v>http://babel.hathitrust.org/cgi/pt?id=nyp.33433081982203</v>
      </c>
      <c r="H6046" t="str">
        <f>HYPERLINK("http://catalog.hathitrust.org/Record/008674821")</f>
        <v>http://catalog.hathitrust.org/Record/008674821</v>
      </c>
      <c r="J6046" s="1">
        <v>1841</v>
      </c>
      <c r="K6046" t="s">
        <v>6413</v>
      </c>
      <c r="L6046" t="s">
        <v>19446</v>
      </c>
    </row>
    <row r="6047" spans="1:12">
      <c r="A6047" t="s">
        <v>6415</v>
      </c>
      <c r="B6047" s="1" t="s">
        <v>6416</v>
      </c>
      <c r="F6047">
        <v>1</v>
      </c>
      <c r="G6047" t="str">
        <f>HYPERLINK("http://babel.hathitrust.org/cgi/pt?id=nyp.33433081982393")</f>
        <v>http://babel.hathitrust.org/cgi/pt?id=nyp.33433081982393</v>
      </c>
      <c r="H6047" t="str">
        <f>HYPERLINK("http://catalog.hathitrust.org/Record/008674841")</f>
        <v>http://catalog.hathitrust.org/Record/008674841</v>
      </c>
      <c r="J6047" s="1">
        <v>1826</v>
      </c>
      <c r="K6047" t="s">
        <v>6417</v>
      </c>
      <c r="L6047" t="s">
        <v>6418</v>
      </c>
    </row>
    <row r="6048" spans="1:12">
      <c r="A6048" t="s">
        <v>6419</v>
      </c>
      <c r="B6048" s="1" t="s">
        <v>6420</v>
      </c>
      <c r="F6048">
        <v>1</v>
      </c>
      <c r="G6048" t="str">
        <f>HYPERLINK("http://babel.hathitrust.org/cgi/pt?id=nyp.33433081982427")</f>
        <v>http://babel.hathitrust.org/cgi/pt?id=nyp.33433081982427</v>
      </c>
      <c r="H6048" t="str">
        <f>HYPERLINK("http://catalog.hathitrust.org/Record/008674844")</f>
        <v>http://catalog.hathitrust.org/Record/008674844</v>
      </c>
      <c r="J6048" s="1">
        <v>1884</v>
      </c>
      <c r="K6048" t="s">
        <v>6421</v>
      </c>
      <c r="L6048" t="s">
        <v>6422</v>
      </c>
    </row>
    <row r="6049" spans="1:12">
      <c r="A6049" t="s">
        <v>6423</v>
      </c>
      <c r="B6049" s="1" t="s">
        <v>6424</v>
      </c>
      <c r="D6049">
        <v>1</v>
      </c>
      <c r="G6049" t="str">
        <f>HYPERLINK("http://babel.hathitrust.org/cgi/pt?id=nyp.33433081987871")</f>
        <v>http://babel.hathitrust.org/cgi/pt?id=nyp.33433081987871</v>
      </c>
      <c r="H6049" t="str">
        <f>HYPERLINK("http://catalog.hathitrust.org/Record/008674976")</f>
        <v>http://catalog.hathitrust.org/Record/008674976</v>
      </c>
      <c r="J6049" s="1">
        <v>1804</v>
      </c>
      <c r="K6049" t="s">
        <v>6351</v>
      </c>
      <c r="L6049" t="s">
        <v>20086</v>
      </c>
    </row>
    <row r="6050" spans="1:12">
      <c r="A6050" t="s">
        <v>6352</v>
      </c>
      <c r="B6050" s="1" t="s">
        <v>6353</v>
      </c>
      <c r="D6050">
        <v>1</v>
      </c>
      <c r="G6050" t="str">
        <f>HYPERLINK("http://babel.hathitrust.org/cgi/pt?id=nyp.33433081987939")</f>
        <v>http://babel.hathitrust.org/cgi/pt?id=nyp.33433081987939</v>
      </c>
      <c r="H6050" t="str">
        <f>HYPERLINK("http://catalog.hathitrust.org/Record/008674981")</f>
        <v>http://catalog.hathitrust.org/Record/008674981</v>
      </c>
      <c r="J6050" s="1">
        <v>1830</v>
      </c>
      <c r="K6050" t="s">
        <v>6354</v>
      </c>
      <c r="L6050" t="s">
        <v>20086</v>
      </c>
    </row>
    <row r="6051" spans="1:12">
      <c r="A6051" t="s">
        <v>6355</v>
      </c>
      <c r="B6051" s="1" t="s">
        <v>6356</v>
      </c>
      <c r="D6051">
        <v>1</v>
      </c>
      <c r="G6051" t="str">
        <f>HYPERLINK("http://babel.hathitrust.org/cgi/pt?id=nyp.33433081987905")</f>
        <v>http://babel.hathitrust.org/cgi/pt?id=nyp.33433081987905</v>
      </c>
      <c r="H6051" t="str">
        <f>HYPERLINK("http://catalog.hathitrust.org/Record/008674984")</f>
        <v>http://catalog.hathitrust.org/Record/008674984</v>
      </c>
      <c r="J6051" s="1">
        <v>1834</v>
      </c>
      <c r="K6051" t="s">
        <v>6357</v>
      </c>
      <c r="L6051" t="s">
        <v>20086</v>
      </c>
    </row>
    <row r="6052" spans="1:12">
      <c r="A6052" t="s">
        <v>6358</v>
      </c>
      <c r="B6052" s="1" t="s">
        <v>6359</v>
      </c>
      <c r="D6052">
        <v>1</v>
      </c>
      <c r="G6052" t="str">
        <f>HYPERLINK("http://babel.hathitrust.org/cgi/pt?id=nyp.33433069257362")</f>
        <v>http://babel.hathitrust.org/cgi/pt?id=nyp.33433069257362</v>
      </c>
      <c r="H6052" t="str">
        <f>HYPERLINK("http://catalog.hathitrust.org/Record/008674985")</f>
        <v>http://catalog.hathitrust.org/Record/008674985</v>
      </c>
      <c r="J6052" s="1">
        <v>1817</v>
      </c>
      <c r="K6052" t="s">
        <v>6360</v>
      </c>
      <c r="L6052" t="s">
        <v>20086</v>
      </c>
    </row>
    <row r="6053" spans="1:12">
      <c r="A6053" t="s">
        <v>6361</v>
      </c>
      <c r="B6053" s="1" t="s">
        <v>6362</v>
      </c>
      <c r="F6053">
        <v>1</v>
      </c>
      <c r="G6053" t="str">
        <f>HYPERLINK("http://babel.hathitrust.org/cgi/pt?id=nyp.33433081968327")</f>
        <v>http://babel.hathitrust.org/cgi/pt?id=nyp.33433081968327</v>
      </c>
      <c r="H6053" t="str">
        <f>HYPERLINK("http://catalog.hathitrust.org/Record/008674996")</f>
        <v>http://catalog.hathitrust.org/Record/008674996</v>
      </c>
      <c r="J6053" s="1">
        <v>1869</v>
      </c>
      <c r="K6053" t="s">
        <v>6363</v>
      </c>
      <c r="L6053" t="s">
        <v>6364</v>
      </c>
    </row>
    <row r="6054" spans="1:12">
      <c r="A6054" t="s">
        <v>6365</v>
      </c>
      <c r="B6054" s="1" t="s">
        <v>6366</v>
      </c>
      <c r="F6054">
        <v>1</v>
      </c>
      <c r="G6054" t="str">
        <f>HYPERLINK("http://babel.hathitrust.org/cgi/pt?id=nyp.33433081968384")</f>
        <v>http://babel.hathitrust.org/cgi/pt?id=nyp.33433081968384</v>
      </c>
      <c r="H6054" t="str">
        <f>HYPERLINK("http://catalog.hathitrust.org/Record/008674999")</f>
        <v>http://catalog.hathitrust.org/Record/008674999</v>
      </c>
      <c r="J6054" s="1">
        <v>1838</v>
      </c>
      <c r="K6054" t="s">
        <v>6367</v>
      </c>
      <c r="L6054" t="s">
        <v>11955</v>
      </c>
    </row>
    <row r="6055" spans="1:12">
      <c r="A6055" t="s">
        <v>6368</v>
      </c>
      <c r="B6055" s="1" t="s">
        <v>6369</v>
      </c>
      <c r="F6055">
        <v>1</v>
      </c>
      <c r="G6055" t="str">
        <f>HYPERLINK("http://babel.hathitrust.org/cgi/pt?id=nyp.33433081968392")</f>
        <v>http://babel.hathitrust.org/cgi/pt?id=nyp.33433081968392</v>
      </c>
      <c r="H6055" t="str">
        <f>HYPERLINK("http://catalog.hathitrust.org/Record/008675000")</f>
        <v>http://catalog.hathitrust.org/Record/008675000</v>
      </c>
      <c r="J6055" s="1">
        <v>1857</v>
      </c>
      <c r="K6055" t="s">
        <v>6370</v>
      </c>
      <c r="L6055" t="s">
        <v>6371</v>
      </c>
    </row>
    <row r="6056" spans="1:12">
      <c r="A6056" t="s">
        <v>6372</v>
      </c>
      <c r="B6056" s="1" t="s">
        <v>6373</v>
      </c>
      <c r="F6056">
        <v>1</v>
      </c>
      <c r="G6056" t="str">
        <f>HYPERLINK("http://babel.hathitrust.org/cgi/pt?id=nyp.33433082312392")</f>
        <v>http://babel.hathitrust.org/cgi/pt?id=nyp.33433082312392</v>
      </c>
      <c r="H6056" t="str">
        <f>HYPERLINK("http://catalog.hathitrust.org/Record/008675033")</f>
        <v>http://catalog.hathitrust.org/Record/008675033</v>
      </c>
      <c r="J6056" s="1">
        <v>1855</v>
      </c>
      <c r="K6056" t="s">
        <v>6374</v>
      </c>
    </row>
    <row r="6057" spans="1:12">
      <c r="A6057" t="s">
        <v>6375</v>
      </c>
      <c r="B6057" s="1" t="s">
        <v>6376</v>
      </c>
      <c r="E6057">
        <v>1</v>
      </c>
      <c r="G6057" t="str">
        <f>HYPERLINK("http://babel.hathitrust.org/cgi/pt?id=nyp.33433069256760")</f>
        <v>http://babel.hathitrust.org/cgi/pt?id=nyp.33433069256760</v>
      </c>
      <c r="H6057" t="str">
        <f>HYPERLINK("http://catalog.hathitrust.org/Record/008675035")</f>
        <v>http://catalog.hathitrust.org/Record/008675035</v>
      </c>
      <c r="J6057" s="1">
        <v>1912</v>
      </c>
      <c r="K6057" t="s">
        <v>6377</v>
      </c>
      <c r="L6057" t="s">
        <v>6378</v>
      </c>
    </row>
    <row r="6058" spans="1:12">
      <c r="A6058" t="s">
        <v>6379</v>
      </c>
      <c r="B6058" s="1" t="s">
        <v>6380</v>
      </c>
      <c r="E6058">
        <v>1</v>
      </c>
      <c r="F6058">
        <v>1</v>
      </c>
      <c r="G6058" t="str">
        <f>HYPERLINK("http://babel.hathitrust.org/cgi/pt?id=nyp.33433069256489")</f>
        <v>http://babel.hathitrust.org/cgi/pt?id=nyp.33433069256489</v>
      </c>
      <c r="H6058" t="str">
        <f>HYPERLINK("http://catalog.hathitrust.org/Record/008675039")</f>
        <v>http://catalog.hathitrust.org/Record/008675039</v>
      </c>
      <c r="J6058" s="1">
        <v>1895</v>
      </c>
      <c r="K6058" t="s">
        <v>6307</v>
      </c>
      <c r="L6058" t="s">
        <v>13839</v>
      </c>
    </row>
    <row r="6059" spans="1:12">
      <c r="A6059" t="s">
        <v>6308</v>
      </c>
      <c r="B6059" s="1" t="s">
        <v>6309</v>
      </c>
      <c r="F6059">
        <v>1</v>
      </c>
      <c r="G6059" t="str">
        <f>HYPERLINK("http://babel.hathitrust.org/cgi/pt?id=nyp.33433069247736")</f>
        <v>http://babel.hathitrust.org/cgi/pt?id=nyp.33433069247736</v>
      </c>
      <c r="H6059" t="str">
        <f>HYPERLINK("http://catalog.hathitrust.org/Record/008675040")</f>
        <v>http://catalog.hathitrust.org/Record/008675040</v>
      </c>
      <c r="J6059" s="1">
        <v>1824</v>
      </c>
      <c r="K6059" t="s">
        <v>6310</v>
      </c>
      <c r="L6059" t="s">
        <v>8442</v>
      </c>
    </row>
    <row r="6060" spans="1:12">
      <c r="A6060" t="s">
        <v>6311</v>
      </c>
      <c r="B6060" s="1" t="s">
        <v>6312</v>
      </c>
      <c r="E6060">
        <v>1</v>
      </c>
      <c r="F6060">
        <v>1</v>
      </c>
      <c r="G6060" t="str">
        <f>HYPERLINK("http://babel.hathitrust.org/cgi/pt?id=nyp.33433075914667")</f>
        <v>http://babel.hathitrust.org/cgi/pt?id=nyp.33433075914667</v>
      </c>
      <c r="H6060" t="str">
        <f>HYPERLINK("http://catalog.hathitrust.org/Record/008675049")</f>
        <v>http://catalog.hathitrust.org/Record/008675049</v>
      </c>
      <c r="I6060" s="1" t="s">
        <v>20796</v>
      </c>
      <c r="J6060" s="1">
        <v>1840</v>
      </c>
      <c r="K6060" t="s">
        <v>6313</v>
      </c>
      <c r="L6060" t="s">
        <v>15008</v>
      </c>
    </row>
    <row r="6061" spans="1:12">
      <c r="A6061" t="s">
        <v>6314</v>
      </c>
      <c r="B6061" s="1" t="s">
        <v>6312</v>
      </c>
      <c r="E6061">
        <v>1</v>
      </c>
      <c r="F6061">
        <v>1</v>
      </c>
      <c r="G6061" t="str">
        <f>HYPERLINK("http://babel.hathitrust.org/cgi/pt?id=nyp.33433075914675")</f>
        <v>http://babel.hathitrust.org/cgi/pt?id=nyp.33433075914675</v>
      </c>
      <c r="H6061" t="str">
        <f>HYPERLINK("http://catalog.hathitrust.org/Record/008675049")</f>
        <v>http://catalog.hathitrust.org/Record/008675049</v>
      </c>
      <c r="I6061" s="1" t="s">
        <v>20799</v>
      </c>
      <c r="J6061" s="1">
        <v>1840</v>
      </c>
      <c r="K6061" t="s">
        <v>6313</v>
      </c>
      <c r="L6061" t="s">
        <v>15008</v>
      </c>
    </row>
    <row r="6062" spans="1:12">
      <c r="A6062" t="s">
        <v>6315</v>
      </c>
      <c r="B6062" s="1" t="s">
        <v>6316</v>
      </c>
      <c r="E6062">
        <v>1</v>
      </c>
      <c r="G6062" t="str">
        <f>HYPERLINK("http://babel.hathitrust.org/cgi/pt?id=nyp.33433082310701")</f>
        <v>http://babel.hathitrust.org/cgi/pt?id=nyp.33433082310701</v>
      </c>
      <c r="H6062" t="str">
        <f>HYPERLINK("http://catalog.hathitrust.org/Record/008675055")</f>
        <v>http://catalog.hathitrust.org/Record/008675055</v>
      </c>
      <c r="I6062" s="1" t="s">
        <v>17860</v>
      </c>
      <c r="J6062" s="1">
        <v>1872</v>
      </c>
      <c r="K6062" t="s">
        <v>6317</v>
      </c>
      <c r="L6062" t="s">
        <v>20807</v>
      </c>
    </row>
    <row r="6063" spans="1:12">
      <c r="A6063" t="s">
        <v>6318</v>
      </c>
      <c r="B6063" s="1" t="s">
        <v>6316</v>
      </c>
      <c r="E6063">
        <v>1</v>
      </c>
      <c r="G6063" t="str">
        <f>HYPERLINK("http://babel.hathitrust.org/cgi/pt?id=nyp.33433082310719")</f>
        <v>http://babel.hathitrust.org/cgi/pt?id=nyp.33433082310719</v>
      </c>
      <c r="H6063" t="str">
        <f>HYPERLINK("http://catalog.hathitrust.org/Record/008675055")</f>
        <v>http://catalog.hathitrust.org/Record/008675055</v>
      </c>
      <c r="I6063" s="1" t="s">
        <v>17862</v>
      </c>
      <c r="J6063" s="1">
        <v>1872</v>
      </c>
      <c r="K6063" t="s">
        <v>6317</v>
      </c>
      <c r="L6063" t="s">
        <v>20807</v>
      </c>
    </row>
    <row r="6064" spans="1:12">
      <c r="A6064" t="s">
        <v>6319</v>
      </c>
      <c r="B6064" s="1" t="s">
        <v>6320</v>
      </c>
      <c r="F6064">
        <v>1</v>
      </c>
      <c r="G6064" t="str">
        <f>HYPERLINK("http://babel.hathitrust.org/cgi/pt?id=nyp.33433081968426")</f>
        <v>http://babel.hathitrust.org/cgi/pt?id=nyp.33433081968426</v>
      </c>
      <c r="H6064" t="str">
        <f>HYPERLINK("http://catalog.hathitrust.org/Record/008675064")</f>
        <v>http://catalog.hathitrust.org/Record/008675064</v>
      </c>
      <c r="J6064" s="1">
        <v>1885</v>
      </c>
      <c r="K6064" t="s">
        <v>6321</v>
      </c>
      <c r="L6064" t="s">
        <v>12225</v>
      </c>
    </row>
    <row r="6065" spans="1:12">
      <c r="A6065" t="s">
        <v>6322</v>
      </c>
      <c r="B6065" s="1" t="s">
        <v>6323</v>
      </c>
      <c r="F6065">
        <v>1</v>
      </c>
      <c r="G6065" t="str">
        <f>HYPERLINK("http://babel.hathitrust.org/cgi/pt?id=nyp.33433081989471")</f>
        <v>http://babel.hathitrust.org/cgi/pt?id=nyp.33433081989471</v>
      </c>
      <c r="H6065" t="str">
        <f>HYPERLINK("http://catalog.hathitrust.org/Record/008675073")</f>
        <v>http://catalog.hathitrust.org/Record/008675073</v>
      </c>
      <c r="J6065" s="1">
        <v>1816</v>
      </c>
      <c r="K6065" t="s">
        <v>6324</v>
      </c>
      <c r="L6065" t="s">
        <v>7585</v>
      </c>
    </row>
    <row r="6066" spans="1:12">
      <c r="A6066" t="s">
        <v>6325</v>
      </c>
      <c r="B6066" s="1" t="s">
        <v>6326</v>
      </c>
      <c r="F6066">
        <v>1</v>
      </c>
      <c r="G6066" t="str">
        <f>HYPERLINK("http://babel.hathitrust.org/cgi/pt?id=nyp.33433082312343")</f>
        <v>http://babel.hathitrust.org/cgi/pt?id=nyp.33433082312343</v>
      </c>
      <c r="H6066" t="str">
        <f>HYPERLINK("http://catalog.hathitrust.org/Record/008675077")</f>
        <v>http://catalog.hathitrust.org/Record/008675077</v>
      </c>
      <c r="J6066" s="1">
        <v>1903</v>
      </c>
      <c r="K6066" t="s">
        <v>6327</v>
      </c>
      <c r="L6066" t="s">
        <v>6328</v>
      </c>
    </row>
    <row r="6067" spans="1:12">
      <c r="A6067" t="s">
        <v>6329</v>
      </c>
      <c r="B6067" s="1" t="s">
        <v>6330</v>
      </c>
      <c r="F6067">
        <v>1</v>
      </c>
      <c r="G6067" t="str">
        <f>HYPERLINK("http://babel.hathitrust.org/cgi/pt?id=nyp.33433081638821")</f>
        <v>http://babel.hathitrust.org/cgi/pt?id=nyp.33433081638821</v>
      </c>
      <c r="H6067" t="str">
        <f>HYPERLINK("http://catalog.hathitrust.org/Record/008675098")</f>
        <v>http://catalog.hathitrust.org/Record/008675098</v>
      </c>
      <c r="J6067" s="1">
        <v>1843</v>
      </c>
      <c r="K6067" t="s">
        <v>6331</v>
      </c>
      <c r="L6067" t="s">
        <v>7589</v>
      </c>
    </row>
    <row r="6068" spans="1:12">
      <c r="A6068" t="s">
        <v>6332</v>
      </c>
      <c r="B6068" s="1" t="s">
        <v>6333</v>
      </c>
      <c r="F6068">
        <v>1</v>
      </c>
      <c r="G6068" t="str">
        <f>HYPERLINK("http://babel.hathitrust.org/cgi/pt?id=nyp.33433081968434")</f>
        <v>http://babel.hathitrust.org/cgi/pt?id=nyp.33433081968434</v>
      </c>
      <c r="H6068" t="str">
        <f>HYPERLINK("http://catalog.hathitrust.org/Record/008675140")</f>
        <v>http://catalog.hathitrust.org/Record/008675140</v>
      </c>
      <c r="J6068" s="1">
        <v>1863</v>
      </c>
      <c r="K6068" t="s">
        <v>6334</v>
      </c>
      <c r="L6068" t="s">
        <v>20884</v>
      </c>
    </row>
    <row r="6069" spans="1:12">
      <c r="A6069" t="s">
        <v>6335</v>
      </c>
      <c r="B6069" s="1" t="s">
        <v>6336</v>
      </c>
      <c r="F6069">
        <v>1</v>
      </c>
      <c r="G6069" t="str">
        <f>HYPERLINK("http://babel.hathitrust.org/cgi/pt?id=nyp.33433069247629")</f>
        <v>http://babel.hathitrust.org/cgi/pt?id=nyp.33433069247629</v>
      </c>
      <c r="H6069" t="str">
        <f>HYPERLINK("http://catalog.hathitrust.org/Record/008675160")</f>
        <v>http://catalog.hathitrust.org/Record/008675160</v>
      </c>
      <c r="J6069" s="1">
        <v>1892</v>
      </c>
      <c r="K6069" t="s">
        <v>6337</v>
      </c>
      <c r="L6069" t="s">
        <v>9433</v>
      </c>
    </row>
    <row r="6070" spans="1:12">
      <c r="A6070" t="s">
        <v>6338</v>
      </c>
      <c r="B6070" s="1" t="s">
        <v>6339</v>
      </c>
      <c r="F6070">
        <v>1</v>
      </c>
      <c r="G6070" t="str">
        <f>HYPERLINK("http://babel.hathitrust.org/cgi/pt?id=nyp.33433082311246")</f>
        <v>http://babel.hathitrust.org/cgi/pt?id=nyp.33433082311246</v>
      </c>
      <c r="H6070" t="str">
        <f>HYPERLINK("http://catalog.hathitrust.org/Record/008675164")</f>
        <v>http://catalog.hathitrust.org/Record/008675164</v>
      </c>
      <c r="J6070" s="1">
        <v>1908</v>
      </c>
      <c r="K6070" t="s">
        <v>6340</v>
      </c>
      <c r="L6070" t="s">
        <v>18516</v>
      </c>
    </row>
    <row r="6071" spans="1:12">
      <c r="A6071" t="s">
        <v>6341</v>
      </c>
      <c r="B6071" s="1" t="s">
        <v>6342</v>
      </c>
      <c r="F6071">
        <v>1</v>
      </c>
      <c r="G6071" t="str">
        <f>HYPERLINK("http://babel.hathitrust.org/cgi/pt?id=nyp.33433069256323")</f>
        <v>http://babel.hathitrust.org/cgi/pt?id=nyp.33433069256323</v>
      </c>
      <c r="H6071" t="str">
        <f>HYPERLINK("http://catalog.hathitrust.org/Record/008675165")</f>
        <v>http://catalog.hathitrust.org/Record/008675165</v>
      </c>
      <c r="J6071" s="1">
        <v>1897</v>
      </c>
      <c r="K6071" t="s">
        <v>10146</v>
      </c>
      <c r="L6071" t="s">
        <v>10147</v>
      </c>
    </row>
    <row r="6072" spans="1:12">
      <c r="A6072" t="s">
        <v>6343</v>
      </c>
      <c r="B6072" s="1" t="s">
        <v>6344</v>
      </c>
      <c r="F6072">
        <v>1</v>
      </c>
      <c r="G6072" t="str">
        <f>HYPERLINK("http://babel.hathitrust.org/cgi/pt?id=nyp.33433069256315")</f>
        <v>http://babel.hathitrust.org/cgi/pt?id=nyp.33433069256315</v>
      </c>
      <c r="H6072" t="str">
        <f>HYPERLINK("http://catalog.hathitrust.org/Record/008675166")</f>
        <v>http://catalog.hathitrust.org/Record/008675166</v>
      </c>
      <c r="J6072" s="1">
        <v>1890</v>
      </c>
      <c r="K6072" t="s">
        <v>6345</v>
      </c>
      <c r="L6072" t="s">
        <v>6346</v>
      </c>
    </row>
    <row r="6073" spans="1:12">
      <c r="A6073" t="s">
        <v>6347</v>
      </c>
      <c r="B6073" s="1" t="s">
        <v>6348</v>
      </c>
      <c r="F6073">
        <v>1</v>
      </c>
      <c r="G6073" t="str">
        <f>HYPERLINK("http://babel.hathitrust.org/cgi/pt?id=nyp.33433069256299")</f>
        <v>http://babel.hathitrust.org/cgi/pt?id=nyp.33433069256299</v>
      </c>
      <c r="H6073" t="str">
        <f>HYPERLINK("http://catalog.hathitrust.org/Record/008675167")</f>
        <v>http://catalog.hathitrust.org/Record/008675167</v>
      </c>
      <c r="I6073" s="1" t="s">
        <v>6350</v>
      </c>
      <c r="J6073" s="1">
        <v>1889</v>
      </c>
      <c r="K6073" t="s">
        <v>6349</v>
      </c>
      <c r="L6073" t="s">
        <v>6346</v>
      </c>
    </row>
    <row r="6074" spans="1:12">
      <c r="A6074" t="s">
        <v>6271</v>
      </c>
      <c r="B6074" s="1" t="s">
        <v>6348</v>
      </c>
      <c r="F6074">
        <v>1</v>
      </c>
      <c r="G6074" t="str">
        <f>HYPERLINK("http://babel.hathitrust.org/cgi/pt?id=nyp.33433069256307")</f>
        <v>http://babel.hathitrust.org/cgi/pt?id=nyp.33433069256307</v>
      </c>
      <c r="H6074" t="str">
        <f>HYPERLINK("http://catalog.hathitrust.org/Record/008675167")</f>
        <v>http://catalog.hathitrust.org/Record/008675167</v>
      </c>
      <c r="I6074" s="1" t="s">
        <v>6272</v>
      </c>
      <c r="J6074" s="1">
        <v>1889</v>
      </c>
      <c r="K6074" t="s">
        <v>6349</v>
      </c>
      <c r="L6074" t="s">
        <v>6346</v>
      </c>
    </row>
    <row r="6075" spans="1:12">
      <c r="A6075" t="s">
        <v>6273</v>
      </c>
      <c r="B6075" s="1" t="s">
        <v>6274</v>
      </c>
      <c r="F6075">
        <v>1</v>
      </c>
      <c r="G6075" t="str">
        <f>HYPERLINK("http://babel.hathitrust.org/cgi/pt?id=nyp.33433081968475")</f>
        <v>http://babel.hathitrust.org/cgi/pt?id=nyp.33433081968475</v>
      </c>
      <c r="H6075" t="str">
        <f>HYPERLINK("http://catalog.hathitrust.org/Record/008675171")</f>
        <v>http://catalog.hathitrust.org/Record/008675171</v>
      </c>
      <c r="I6075" s="1" t="s">
        <v>8200</v>
      </c>
      <c r="J6075" s="1">
        <v>1795</v>
      </c>
      <c r="K6075" t="s">
        <v>6275</v>
      </c>
      <c r="L6075" t="s">
        <v>8201</v>
      </c>
    </row>
    <row r="6076" spans="1:12">
      <c r="A6076" t="s">
        <v>6276</v>
      </c>
      <c r="B6076" s="1" t="s">
        <v>6274</v>
      </c>
      <c r="F6076">
        <v>1</v>
      </c>
      <c r="G6076" t="str">
        <f>HYPERLINK("http://babel.hathitrust.org/cgi/pt?id=nyp.33433081968483")</f>
        <v>http://babel.hathitrust.org/cgi/pt?id=nyp.33433081968483</v>
      </c>
      <c r="H6076" t="str">
        <f>HYPERLINK("http://catalog.hathitrust.org/Record/008675171")</f>
        <v>http://catalog.hathitrust.org/Record/008675171</v>
      </c>
      <c r="I6076" s="1" t="s">
        <v>6277</v>
      </c>
      <c r="J6076" s="1">
        <v>1795</v>
      </c>
      <c r="K6076" t="s">
        <v>6275</v>
      </c>
      <c r="L6076" t="s">
        <v>8201</v>
      </c>
    </row>
    <row r="6077" spans="1:12">
      <c r="A6077" t="s">
        <v>6278</v>
      </c>
      <c r="B6077" s="1" t="s">
        <v>6279</v>
      </c>
      <c r="E6077">
        <v>1</v>
      </c>
      <c r="F6077">
        <v>1</v>
      </c>
      <c r="G6077" t="str">
        <f>HYPERLINK("http://babel.hathitrust.org/cgi/pt?id=nyp.33433069247710")</f>
        <v>http://babel.hathitrust.org/cgi/pt?id=nyp.33433069247710</v>
      </c>
      <c r="H6077" t="str">
        <f>HYPERLINK("http://catalog.hathitrust.org/Record/008675181")</f>
        <v>http://catalog.hathitrust.org/Record/008675181</v>
      </c>
      <c r="J6077" s="1">
        <v>1907</v>
      </c>
      <c r="K6077" t="s">
        <v>6280</v>
      </c>
      <c r="L6077" t="s">
        <v>6281</v>
      </c>
    </row>
    <row r="6078" spans="1:12">
      <c r="A6078" t="s">
        <v>6282</v>
      </c>
      <c r="B6078" s="1" t="s">
        <v>6283</v>
      </c>
      <c r="F6078">
        <v>1</v>
      </c>
      <c r="G6078" t="str">
        <f>HYPERLINK("http://babel.hathitrust.org/cgi/pt?id=nyp.33433069247967")</f>
        <v>http://babel.hathitrust.org/cgi/pt?id=nyp.33433069247967</v>
      </c>
      <c r="H6078" t="str">
        <f>HYPERLINK("http://catalog.hathitrust.org/Record/008675182")</f>
        <v>http://catalog.hathitrust.org/Record/008675182</v>
      </c>
      <c r="I6078" s="1" t="s">
        <v>20799</v>
      </c>
      <c r="J6078" s="1">
        <v>1900</v>
      </c>
      <c r="K6078" t="s">
        <v>6284</v>
      </c>
    </row>
    <row r="6079" spans="1:12">
      <c r="A6079" t="s">
        <v>6285</v>
      </c>
      <c r="B6079" s="1" t="s">
        <v>6283</v>
      </c>
      <c r="F6079">
        <v>1</v>
      </c>
      <c r="G6079" t="str">
        <f>HYPERLINK("http://babel.hathitrust.org/cgi/pt?id=nyp.33433069247975")</f>
        <v>http://babel.hathitrust.org/cgi/pt?id=nyp.33433069247975</v>
      </c>
      <c r="H6079" t="str">
        <f>HYPERLINK("http://catalog.hathitrust.org/Record/008675182")</f>
        <v>http://catalog.hathitrust.org/Record/008675182</v>
      </c>
      <c r="I6079" s="1" t="s">
        <v>20796</v>
      </c>
      <c r="J6079" s="1">
        <v>1900</v>
      </c>
      <c r="K6079" t="s">
        <v>6284</v>
      </c>
    </row>
    <row r="6080" spans="1:12">
      <c r="A6080" t="s">
        <v>6286</v>
      </c>
      <c r="B6080" s="1" t="s">
        <v>6287</v>
      </c>
      <c r="D6080">
        <v>1</v>
      </c>
      <c r="G6080" t="str">
        <f>HYPERLINK("http://babel.hathitrust.org/cgi/pt?id=nyp.33433069247876")</f>
        <v>http://babel.hathitrust.org/cgi/pt?id=nyp.33433069247876</v>
      </c>
      <c r="H6080" t="str">
        <f>HYPERLINK("http://catalog.hathitrust.org/Record/008675184")</f>
        <v>http://catalog.hathitrust.org/Record/008675184</v>
      </c>
      <c r="J6080" s="1">
        <v>1828</v>
      </c>
      <c r="K6080" t="s">
        <v>6288</v>
      </c>
      <c r="L6080" t="s">
        <v>20043</v>
      </c>
    </row>
    <row r="6081" spans="1:12">
      <c r="A6081" t="s">
        <v>6289</v>
      </c>
      <c r="B6081" s="1" t="s">
        <v>6290</v>
      </c>
      <c r="E6081">
        <v>1</v>
      </c>
      <c r="G6081" t="str">
        <f>HYPERLINK("http://babel.hathitrust.org/cgi/pt?id=nyp.33433075914642")</f>
        <v>http://babel.hathitrust.org/cgi/pt?id=nyp.33433075914642</v>
      </c>
      <c r="H6081" t="str">
        <f>HYPERLINK("http://catalog.hathitrust.org/Record/008675186")</f>
        <v>http://catalog.hathitrust.org/Record/008675186</v>
      </c>
      <c r="J6081" s="1">
        <v>1855</v>
      </c>
      <c r="K6081" t="s">
        <v>6291</v>
      </c>
      <c r="L6081" t="s">
        <v>18463</v>
      </c>
    </row>
    <row r="6082" spans="1:12">
      <c r="A6082" t="s">
        <v>6292</v>
      </c>
      <c r="B6082" s="1" t="s">
        <v>6293</v>
      </c>
      <c r="F6082">
        <v>1</v>
      </c>
      <c r="G6082" t="str">
        <f>HYPERLINK("http://babel.hathitrust.org/cgi/pt?id=nyp.33433069247413")</f>
        <v>http://babel.hathitrust.org/cgi/pt?id=nyp.33433069247413</v>
      </c>
      <c r="H6082" t="str">
        <f>HYPERLINK("http://catalog.hathitrust.org/Record/008675187")</f>
        <v>http://catalog.hathitrust.org/Record/008675187</v>
      </c>
      <c r="J6082" s="1">
        <v>1862</v>
      </c>
      <c r="K6082" t="s">
        <v>6294</v>
      </c>
      <c r="L6082" t="s">
        <v>6295</v>
      </c>
    </row>
    <row r="6083" spans="1:12">
      <c r="A6083" t="s">
        <v>6296</v>
      </c>
      <c r="B6083" s="1" t="s">
        <v>6297</v>
      </c>
      <c r="D6083">
        <v>1</v>
      </c>
      <c r="G6083" t="str">
        <f>HYPERLINK("http://babel.hathitrust.org/cgi/pt?id=nyp.33433069247868")</f>
        <v>http://babel.hathitrust.org/cgi/pt?id=nyp.33433069247868</v>
      </c>
      <c r="H6083" t="str">
        <f>HYPERLINK("http://catalog.hathitrust.org/Record/008675189")</f>
        <v>http://catalog.hathitrust.org/Record/008675189</v>
      </c>
      <c r="J6083" s="1">
        <v>1802</v>
      </c>
      <c r="K6083" t="s">
        <v>6298</v>
      </c>
      <c r="L6083" t="s">
        <v>20043</v>
      </c>
    </row>
    <row r="6084" spans="1:12">
      <c r="A6084" t="s">
        <v>6299</v>
      </c>
      <c r="B6084" s="1" t="s">
        <v>6300</v>
      </c>
      <c r="D6084">
        <v>1</v>
      </c>
      <c r="G6084" t="str">
        <f>HYPERLINK("http://babel.hathitrust.org/cgi/pt?id=nyp.33433069247884")</f>
        <v>http://babel.hathitrust.org/cgi/pt?id=nyp.33433069247884</v>
      </c>
      <c r="H6084" t="str">
        <f>HYPERLINK("http://catalog.hathitrust.org/Record/008675191")</f>
        <v>http://catalog.hathitrust.org/Record/008675191</v>
      </c>
      <c r="J6084" s="1">
        <v>1811</v>
      </c>
      <c r="K6084" t="s">
        <v>6301</v>
      </c>
      <c r="L6084" t="s">
        <v>20043</v>
      </c>
    </row>
    <row r="6085" spans="1:12">
      <c r="A6085" t="s">
        <v>6302</v>
      </c>
      <c r="B6085" s="1" t="s">
        <v>6303</v>
      </c>
      <c r="D6085">
        <v>1</v>
      </c>
      <c r="G6085" t="str">
        <f>HYPERLINK("http://babel.hathitrust.org/cgi/pt?id=nyp.33433069247652")</f>
        <v>http://babel.hathitrust.org/cgi/pt?id=nyp.33433069247652</v>
      </c>
      <c r="H6085" t="str">
        <f>HYPERLINK("http://catalog.hathitrust.org/Record/008675196")</f>
        <v>http://catalog.hathitrust.org/Record/008675196</v>
      </c>
      <c r="J6085" s="1">
        <v>1833</v>
      </c>
      <c r="K6085" t="s">
        <v>6304</v>
      </c>
      <c r="L6085" t="s">
        <v>20043</v>
      </c>
    </row>
    <row r="6086" spans="1:12">
      <c r="A6086" t="s">
        <v>6305</v>
      </c>
      <c r="B6086" s="1" t="s">
        <v>6306</v>
      </c>
      <c r="F6086">
        <v>1</v>
      </c>
      <c r="G6086" t="str">
        <f>HYPERLINK("http://babel.hathitrust.org/cgi/pt?id=nyp.33433081988457")</f>
        <v>http://babel.hathitrust.org/cgi/pt?id=nyp.33433081988457</v>
      </c>
      <c r="H6086" t="str">
        <f>HYPERLINK("http://catalog.hathitrust.org/Record/008675198")</f>
        <v>http://catalog.hathitrust.org/Record/008675198</v>
      </c>
      <c r="J6086" s="1">
        <v>1810</v>
      </c>
      <c r="K6086" t="s">
        <v>6240</v>
      </c>
      <c r="L6086" t="s">
        <v>20043</v>
      </c>
    </row>
    <row r="6087" spans="1:12">
      <c r="A6087" t="s">
        <v>6241</v>
      </c>
      <c r="B6087" s="1" t="s">
        <v>6242</v>
      </c>
      <c r="D6087">
        <v>1</v>
      </c>
      <c r="G6087" t="str">
        <f>HYPERLINK("http://babel.hathitrust.org/cgi/pt?id=nyp.33433081988440")</f>
        <v>http://babel.hathitrust.org/cgi/pt?id=nyp.33433081988440</v>
      </c>
      <c r="H6087" t="str">
        <f>HYPERLINK("http://catalog.hathitrust.org/Record/008675200")</f>
        <v>http://catalog.hathitrust.org/Record/008675200</v>
      </c>
      <c r="J6087" s="1">
        <v>1819</v>
      </c>
      <c r="K6087" t="s">
        <v>6243</v>
      </c>
      <c r="L6087" t="s">
        <v>20043</v>
      </c>
    </row>
    <row r="6088" spans="1:12">
      <c r="A6088" t="s">
        <v>6244</v>
      </c>
      <c r="B6088" s="1" t="s">
        <v>6245</v>
      </c>
      <c r="D6088">
        <v>1</v>
      </c>
      <c r="G6088" t="str">
        <f>HYPERLINK("http://babel.hathitrust.org/cgi/pt?id=nyp.33433069247942")</f>
        <v>http://babel.hathitrust.org/cgi/pt?id=nyp.33433069247942</v>
      </c>
      <c r="H6088" t="str">
        <f>HYPERLINK("http://catalog.hathitrust.org/Record/008675202")</f>
        <v>http://catalog.hathitrust.org/Record/008675202</v>
      </c>
      <c r="J6088" s="1">
        <v>1823</v>
      </c>
      <c r="K6088" t="s">
        <v>6246</v>
      </c>
      <c r="L6088" t="s">
        <v>20043</v>
      </c>
    </row>
    <row r="6089" spans="1:12">
      <c r="A6089" t="s">
        <v>6247</v>
      </c>
      <c r="B6089" s="1" t="s">
        <v>6248</v>
      </c>
      <c r="F6089">
        <v>1</v>
      </c>
      <c r="G6089" t="str">
        <f>HYPERLINK("http://babel.hathitrust.org/cgi/pt?id=nyp.33433069247900")</f>
        <v>http://babel.hathitrust.org/cgi/pt?id=nyp.33433069247900</v>
      </c>
      <c r="H6089" t="str">
        <f>HYPERLINK("http://catalog.hathitrust.org/Record/008675224")</f>
        <v>http://catalog.hathitrust.org/Record/008675224</v>
      </c>
      <c r="I6089" s="1" t="s">
        <v>20799</v>
      </c>
      <c r="J6089" s="1">
        <v>1914</v>
      </c>
      <c r="K6089" t="s">
        <v>6249</v>
      </c>
      <c r="L6089" t="s">
        <v>11280</v>
      </c>
    </row>
    <row r="6090" spans="1:12">
      <c r="A6090" t="s">
        <v>6250</v>
      </c>
      <c r="B6090" s="1" t="s">
        <v>6251</v>
      </c>
      <c r="E6090">
        <v>1</v>
      </c>
      <c r="F6090">
        <v>1</v>
      </c>
      <c r="G6090" t="str">
        <f>HYPERLINK("http://babel.hathitrust.org/cgi/pt?id=inu.30000109083349")</f>
        <v>http://babel.hathitrust.org/cgi/pt?id=inu.30000109083349</v>
      </c>
      <c r="H6090" t="str">
        <f>HYPERLINK("http://catalog.hathitrust.org/Record/008675225")</f>
        <v>http://catalog.hathitrust.org/Record/008675225</v>
      </c>
      <c r="J6090" s="1">
        <v>1810</v>
      </c>
      <c r="K6090" t="s">
        <v>6252</v>
      </c>
      <c r="L6090" t="s">
        <v>7585</v>
      </c>
    </row>
    <row r="6091" spans="1:12">
      <c r="A6091" t="s">
        <v>6253</v>
      </c>
      <c r="B6091" s="1" t="s">
        <v>6251</v>
      </c>
      <c r="F6091">
        <v>1</v>
      </c>
      <c r="G6091" t="str">
        <f>HYPERLINK("http://babel.hathitrust.org/cgi/pt?id=nyp.33433081988424")</f>
        <v>http://babel.hathitrust.org/cgi/pt?id=nyp.33433081988424</v>
      </c>
      <c r="H6091" t="str">
        <f>HYPERLINK("http://catalog.hathitrust.org/Record/008675225")</f>
        <v>http://catalog.hathitrust.org/Record/008675225</v>
      </c>
      <c r="J6091" s="1">
        <v>1810</v>
      </c>
      <c r="K6091" t="s">
        <v>6252</v>
      </c>
      <c r="L6091" t="s">
        <v>7585</v>
      </c>
    </row>
    <row r="6092" spans="1:12">
      <c r="A6092" t="s">
        <v>6254</v>
      </c>
      <c r="B6092" s="1" t="s">
        <v>6255</v>
      </c>
      <c r="E6092">
        <v>1</v>
      </c>
      <c r="F6092">
        <v>1</v>
      </c>
      <c r="G6092" t="str">
        <f>HYPERLINK("http://babel.hathitrust.org/cgi/pt?id=nyp.33433069255184")</f>
        <v>http://babel.hathitrust.org/cgi/pt?id=nyp.33433069255184</v>
      </c>
      <c r="H6092" t="str">
        <f>HYPERLINK("http://catalog.hathitrust.org/Record/008675234")</f>
        <v>http://catalog.hathitrust.org/Record/008675234</v>
      </c>
      <c r="J6092" s="1">
        <v>1880</v>
      </c>
      <c r="K6092" t="s">
        <v>6256</v>
      </c>
      <c r="L6092" t="s">
        <v>15662</v>
      </c>
    </row>
    <row r="6093" spans="1:12">
      <c r="A6093" t="s">
        <v>6257</v>
      </c>
      <c r="B6093" s="1" t="s">
        <v>6258</v>
      </c>
      <c r="F6093">
        <v>1</v>
      </c>
      <c r="G6093" t="str">
        <f>HYPERLINK("http://babel.hathitrust.org/cgi/pt?id=nyp.33433069247686")</f>
        <v>http://babel.hathitrust.org/cgi/pt?id=nyp.33433069247686</v>
      </c>
      <c r="H6093" t="str">
        <f>HYPERLINK("http://catalog.hathitrust.org/Record/008675235")</f>
        <v>http://catalog.hathitrust.org/Record/008675235</v>
      </c>
      <c r="J6093" s="1">
        <v>1828</v>
      </c>
      <c r="K6093" t="s">
        <v>6259</v>
      </c>
      <c r="L6093" t="s">
        <v>20043</v>
      </c>
    </row>
    <row r="6094" spans="1:12">
      <c r="A6094" t="s">
        <v>6260</v>
      </c>
      <c r="B6094" s="1" t="s">
        <v>6261</v>
      </c>
      <c r="F6094">
        <v>1</v>
      </c>
      <c r="G6094" t="str">
        <f>HYPERLINK("http://babel.hathitrust.org/cgi/pt?id=nyp.33433069257248")</f>
        <v>http://babel.hathitrust.org/cgi/pt?id=nyp.33433069257248</v>
      </c>
      <c r="H6094" t="str">
        <f>HYPERLINK("http://catalog.hathitrust.org/Record/008675239")</f>
        <v>http://catalog.hathitrust.org/Record/008675239</v>
      </c>
      <c r="J6094" s="1">
        <v>1894</v>
      </c>
      <c r="K6094" t="s">
        <v>6262</v>
      </c>
      <c r="L6094" t="s">
        <v>6263</v>
      </c>
    </row>
    <row r="6095" spans="1:12">
      <c r="A6095" t="s">
        <v>6264</v>
      </c>
      <c r="B6095" s="1" t="s">
        <v>6265</v>
      </c>
      <c r="E6095">
        <v>1</v>
      </c>
      <c r="F6095">
        <v>1</v>
      </c>
      <c r="G6095" t="str">
        <f>HYPERLINK("http://babel.hathitrust.org/cgi/pt?id=nyp.33433082310834")</f>
        <v>http://babel.hathitrust.org/cgi/pt?id=nyp.33433082310834</v>
      </c>
      <c r="H6095" t="str">
        <f>HYPERLINK("http://catalog.hathitrust.org/Record/008675245")</f>
        <v>http://catalog.hathitrust.org/Record/008675245</v>
      </c>
      <c r="J6095" s="1">
        <v>1898</v>
      </c>
      <c r="K6095" t="s">
        <v>6266</v>
      </c>
      <c r="L6095" t="s">
        <v>14911</v>
      </c>
    </row>
    <row r="6096" spans="1:12">
      <c r="A6096" t="s">
        <v>6267</v>
      </c>
      <c r="B6096" s="1" t="s">
        <v>6268</v>
      </c>
      <c r="F6096">
        <v>1</v>
      </c>
      <c r="G6096" t="str">
        <f>HYPERLINK("http://babel.hathitrust.org/cgi/pt?id=nyp.33433082310867")</f>
        <v>http://babel.hathitrust.org/cgi/pt?id=nyp.33433082310867</v>
      </c>
      <c r="H6096" t="str">
        <f>HYPERLINK("http://catalog.hathitrust.org/Record/008675246")</f>
        <v>http://catalog.hathitrust.org/Record/008675246</v>
      </c>
      <c r="J6096" s="1">
        <v>1908</v>
      </c>
      <c r="K6096" t="s">
        <v>6269</v>
      </c>
      <c r="L6096" t="s">
        <v>6270</v>
      </c>
    </row>
    <row r="6097" spans="1:12">
      <c r="A6097" t="s">
        <v>6225</v>
      </c>
      <c r="B6097" s="1" t="s">
        <v>6226</v>
      </c>
      <c r="E6097">
        <v>1</v>
      </c>
      <c r="F6097">
        <v>1</v>
      </c>
      <c r="G6097" t="str">
        <f>HYPERLINK("http://babel.hathitrust.org/cgi/pt?id=nyp.33433069243941")</f>
        <v>http://babel.hathitrust.org/cgi/pt?id=nyp.33433069243941</v>
      </c>
      <c r="H6097" t="str">
        <f>HYPERLINK("http://catalog.hathitrust.org/Record/008675252")</f>
        <v>http://catalog.hathitrust.org/Record/008675252</v>
      </c>
      <c r="J6097" s="1">
        <v>1857</v>
      </c>
      <c r="K6097" t="s">
        <v>6227</v>
      </c>
      <c r="L6097" t="s">
        <v>15662</v>
      </c>
    </row>
    <row r="6098" spans="1:12">
      <c r="A6098" t="s">
        <v>6228</v>
      </c>
      <c r="B6098" s="1" t="s">
        <v>6229</v>
      </c>
      <c r="E6098">
        <v>1</v>
      </c>
      <c r="F6098">
        <v>1</v>
      </c>
      <c r="G6098" t="str">
        <f>HYPERLINK("http://babel.hathitrust.org/cgi/pt?id=nyp.33433069243958")</f>
        <v>http://babel.hathitrust.org/cgi/pt?id=nyp.33433069243958</v>
      </c>
      <c r="H6098" t="str">
        <f>HYPERLINK("http://catalog.hathitrust.org/Record/008675253")</f>
        <v>http://catalog.hathitrust.org/Record/008675253</v>
      </c>
      <c r="J6098" s="1">
        <v>1861</v>
      </c>
      <c r="K6098" t="s">
        <v>6230</v>
      </c>
      <c r="L6098" t="s">
        <v>15662</v>
      </c>
    </row>
    <row r="6099" spans="1:12">
      <c r="A6099" t="s">
        <v>6231</v>
      </c>
      <c r="B6099" s="1" t="s">
        <v>6232</v>
      </c>
      <c r="E6099">
        <v>1</v>
      </c>
      <c r="F6099">
        <v>1</v>
      </c>
      <c r="G6099" t="str">
        <f>HYPERLINK("http://babel.hathitrust.org/cgi/pt?id=nyp.33433069257180")</f>
        <v>http://babel.hathitrust.org/cgi/pt?id=nyp.33433069257180</v>
      </c>
      <c r="H6099" t="str">
        <f>HYPERLINK("http://catalog.hathitrust.org/Record/008675254")</f>
        <v>http://catalog.hathitrust.org/Record/008675254</v>
      </c>
      <c r="J6099" s="1">
        <v>1868</v>
      </c>
      <c r="K6099" t="s">
        <v>6233</v>
      </c>
      <c r="L6099" t="s">
        <v>15662</v>
      </c>
    </row>
    <row r="6100" spans="1:12">
      <c r="A6100" t="s">
        <v>6234</v>
      </c>
      <c r="B6100" s="1" t="s">
        <v>6235</v>
      </c>
      <c r="E6100">
        <v>1</v>
      </c>
      <c r="F6100">
        <v>1</v>
      </c>
      <c r="G6100" t="str">
        <f>HYPERLINK("http://babel.hathitrust.org/cgi/pt?id=nyp.33433082310909")</f>
        <v>http://babel.hathitrust.org/cgi/pt?id=nyp.33433082310909</v>
      </c>
      <c r="H6100" t="str">
        <f>HYPERLINK("http://catalog.hathitrust.org/Record/008675255")</f>
        <v>http://catalog.hathitrust.org/Record/008675255</v>
      </c>
      <c r="J6100" s="1">
        <v>1873</v>
      </c>
      <c r="K6100" t="s">
        <v>6236</v>
      </c>
      <c r="L6100" t="s">
        <v>15662</v>
      </c>
    </row>
    <row r="6101" spans="1:12">
      <c r="A6101" t="s">
        <v>6237</v>
      </c>
      <c r="B6101" s="1" t="s">
        <v>6238</v>
      </c>
      <c r="E6101">
        <v>1</v>
      </c>
      <c r="F6101">
        <v>1</v>
      </c>
      <c r="G6101" t="str">
        <f>HYPERLINK("http://babel.hathitrust.org/cgi/pt?id=nyp.33433082310727")</f>
        <v>http://babel.hathitrust.org/cgi/pt?id=nyp.33433082310727</v>
      </c>
      <c r="H6101" t="str">
        <f>HYPERLINK("http://catalog.hathitrust.org/Record/008675258")</f>
        <v>http://catalog.hathitrust.org/Record/008675258</v>
      </c>
      <c r="J6101" s="1">
        <v>1867</v>
      </c>
      <c r="K6101" t="s">
        <v>6239</v>
      </c>
      <c r="L6101" t="s">
        <v>15662</v>
      </c>
    </row>
    <row r="6102" spans="1:12">
      <c r="A6102" t="s">
        <v>6201</v>
      </c>
      <c r="B6102" s="1" t="s">
        <v>6202</v>
      </c>
      <c r="E6102">
        <v>1</v>
      </c>
      <c r="F6102">
        <v>1</v>
      </c>
      <c r="G6102" t="str">
        <f>HYPERLINK("http://babel.hathitrust.org/cgi/pt?id=hvd.32044097057517")</f>
        <v>http://babel.hathitrust.org/cgi/pt?id=hvd.32044097057517</v>
      </c>
      <c r="H6102" t="str">
        <f>HYPERLINK("http://catalog.hathitrust.org/Record/008675259")</f>
        <v>http://catalog.hathitrust.org/Record/008675259</v>
      </c>
      <c r="J6102" s="1">
        <v>1826</v>
      </c>
      <c r="K6102" t="s">
        <v>6203</v>
      </c>
      <c r="L6102" t="s">
        <v>15662</v>
      </c>
    </row>
    <row r="6103" spans="1:12">
      <c r="A6103" t="s">
        <v>6204</v>
      </c>
      <c r="B6103" s="1" t="s">
        <v>6202</v>
      </c>
      <c r="F6103">
        <v>1</v>
      </c>
      <c r="G6103" t="str">
        <f>HYPERLINK("http://babel.hathitrust.org/cgi/pt?id=nyp.33433081988515")</f>
        <v>http://babel.hathitrust.org/cgi/pt?id=nyp.33433081988515</v>
      </c>
      <c r="H6103" t="str">
        <f>HYPERLINK("http://catalog.hathitrust.org/Record/008675259")</f>
        <v>http://catalog.hathitrust.org/Record/008675259</v>
      </c>
      <c r="J6103" s="1">
        <v>1826</v>
      </c>
      <c r="K6103" t="s">
        <v>6203</v>
      </c>
      <c r="L6103" t="s">
        <v>15662</v>
      </c>
    </row>
    <row r="6104" spans="1:12">
      <c r="A6104" t="s">
        <v>6205</v>
      </c>
      <c r="B6104" s="1" t="s">
        <v>6206</v>
      </c>
      <c r="E6104">
        <v>1</v>
      </c>
      <c r="F6104">
        <v>1</v>
      </c>
      <c r="G6104" t="str">
        <f>HYPERLINK("http://babel.hathitrust.org/cgi/pt?id=nyp.33433082310776")</f>
        <v>http://babel.hathitrust.org/cgi/pt?id=nyp.33433082310776</v>
      </c>
      <c r="H6104" t="str">
        <f>HYPERLINK("http://catalog.hathitrust.org/Record/008675260")</f>
        <v>http://catalog.hathitrust.org/Record/008675260</v>
      </c>
      <c r="J6104" s="1">
        <v>1846</v>
      </c>
      <c r="K6104" t="s">
        <v>6207</v>
      </c>
      <c r="L6104" t="s">
        <v>15662</v>
      </c>
    </row>
    <row r="6105" spans="1:12">
      <c r="A6105" t="s">
        <v>6208</v>
      </c>
      <c r="B6105" s="1" t="s">
        <v>6209</v>
      </c>
      <c r="E6105">
        <v>1</v>
      </c>
      <c r="F6105">
        <v>1</v>
      </c>
      <c r="G6105" t="str">
        <f>HYPERLINK("http://babel.hathitrust.org/cgi/pt?id=nyp.33433081638748")</f>
        <v>http://babel.hathitrust.org/cgi/pt?id=nyp.33433081638748</v>
      </c>
      <c r="H6105" t="str">
        <f>HYPERLINK("http://catalog.hathitrust.org/Record/008675263")</f>
        <v>http://catalog.hathitrust.org/Record/008675263</v>
      </c>
      <c r="J6105" s="1">
        <v>1823</v>
      </c>
      <c r="K6105" t="s">
        <v>6210</v>
      </c>
      <c r="L6105" t="s">
        <v>20960</v>
      </c>
    </row>
    <row r="6106" spans="1:12">
      <c r="A6106" t="s">
        <v>6211</v>
      </c>
      <c r="B6106" s="1" t="s">
        <v>6212</v>
      </c>
      <c r="E6106">
        <v>1</v>
      </c>
      <c r="F6106">
        <v>1</v>
      </c>
      <c r="G6106" t="str">
        <f>HYPERLINK("http://babel.hathitrust.org/cgi/pt?id=nyp.33433069257164")</f>
        <v>http://babel.hathitrust.org/cgi/pt?id=nyp.33433069257164</v>
      </c>
      <c r="H6106" t="str">
        <f>HYPERLINK("http://catalog.hathitrust.org/Record/008675265")</f>
        <v>http://catalog.hathitrust.org/Record/008675265</v>
      </c>
      <c r="J6106" s="1">
        <v>1884</v>
      </c>
      <c r="K6106" t="s">
        <v>6213</v>
      </c>
      <c r="L6106" t="s">
        <v>15662</v>
      </c>
    </row>
    <row r="6107" spans="1:12">
      <c r="A6107" t="s">
        <v>6214</v>
      </c>
      <c r="B6107" s="1" t="s">
        <v>6215</v>
      </c>
      <c r="E6107">
        <v>1</v>
      </c>
      <c r="F6107">
        <v>1</v>
      </c>
      <c r="G6107" t="str">
        <f>HYPERLINK("http://babel.hathitrust.org/cgi/pt?id=nyp.33433082310826")</f>
        <v>http://babel.hathitrust.org/cgi/pt?id=nyp.33433082310826</v>
      </c>
      <c r="H6107" t="str">
        <f>HYPERLINK("http://catalog.hathitrust.org/Record/008675267")</f>
        <v>http://catalog.hathitrust.org/Record/008675267</v>
      </c>
      <c r="J6107" s="1">
        <v>1851</v>
      </c>
      <c r="K6107" t="s">
        <v>6216</v>
      </c>
      <c r="L6107" t="s">
        <v>15662</v>
      </c>
    </row>
    <row r="6108" spans="1:12">
      <c r="A6108" t="s">
        <v>6217</v>
      </c>
      <c r="B6108" s="1" t="s">
        <v>6218</v>
      </c>
      <c r="E6108">
        <v>1</v>
      </c>
      <c r="F6108">
        <v>1</v>
      </c>
      <c r="G6108" t="str">
        <f>HYPERLINK("http://babel.hathitrust.org/cgi/pt?id=nyp.33433069257172")</f>
        <v>http://babel.hathitrust.org/cgi/pt?id=nyp.33433069257172</v>
      </c>
      <c r="H6108" t="str">
        <f>HYPERLINK("http://catalog.hathitrust.org/Record/008675268")</f>
        <v>http://catalog.hathitrust.org/Record/008675268</v>
      </c>
      <c r="J6108" s="1">
        <v>1874</v>
      </c>
      <c r="K6108" t="s">
        <v>6219</v>
      </c>
      <c r="L6108" t="s">
        <v>15662</v>
      </c>
    </row>
    <row r="6109" spans="1:12">
      <c r="A6109" t="s">
        <v>6220</v>
      </c>
      <c r="B6109" s="1" t="s">
        <v>6221</v>
      </c>
      <c r="E6109">
        <v>1</v>
      </c>
      <c r="F6109">
        <v>1</v>
      </c>
      <c r="G6109" t="str">
        <f>HYPERLINK("http://babel.hathitrust.org/cgi/pt?id=nyp.33433082310925")</f>
        <v>http://babel.hathitrust.org/cgi/pt?id=nyp.33433082310925</v>
      </c>
      <c r="H6109" t="str">
        <f>HYPERLINK("http://catalog.hathitrust.org/Record/008675269")</f>
        <v>http://catalog.hathitrust.org/Record/008675269</v>
      </c>
      <c r="J6109" s="1">
        <v>1887</v>
      </c>
      <c r="K6109" t="s">
        <v>6222</v>
      </c>
      <c r="L6109" t="s">
        <v>15662</v>
      </c>
    </row>
    <row r="6110" spans="1:12">
      <c r="A6110" t="s">
        <v>6223</v>
      </c>
      <c r="B6110" s="1" t="s">
        <v>6224</v>
      </c>
      <c r="E6110">
        <v>1</v>
      </c>
      <c r="F6110">
        <v>1</v>
      </c>
      <c r="G6110" t="str">
        <f>HYPERLINK("http://babel.hathitrust.org/cgi/pt?id=nyp.33433082310743")</f>
        <v>http://babel.hathitrust.org/cgi/pt?id=nyp.33433082310743</v>
      </c>
      <c r="H6110" t="str">
        <f>HYPERLINK("http://catalog.hathitrust.org/Record/008675271")</f>
        <v>http://catalog.hathitrust.org/Record/008675271</v>
      </c>
      <c r="J6110" s="1">
        <v>1850</v>
      </c>
      <c r="K6110" t="s">
        <v>6162</v>
      </c>
      <c r="L6110" t="s">
        <v>12780</v>
      </c>
    </row>
    <row r="6111" spans="1:12">
      <c r="A6111" t="s">
        <v>6163</v>
      </c>
      <c r="B6111" s="1" t="s">
        <v>6164</v>
      </c>
      <c r="E6111">
        <v>1</v>
      </c>
      <c r="F6111">
        <v>1</v>
      </c>
      <c r="G6111" t="str">
        <f>HYPERLINK("http://babel.hathitrust.org/cgi/pt?id=nyp.33433069257149")</f>
        <v>http://babel.hathitrust.org/cgi/pt?id=nyp.33433069257149</v>
      </c>
      <c r="H6111" t="str">
        <f>HYPERLINK("http://catalog.hathitrust.org/Record/008675272")</f>
        <v>http://catalog.hathitrust.org/Record/008675272</v>
      </c>
      <c r="J6111" s="1">
        <v>1851</v>
      </c>
      <c r="K6111" t="s">
        <v>6165</v>
      </c>
      <c r="L6111" t="s">
        <v>12780</v>
      </c>
    </row>
    <row r="6112" spans="1:12">
      <c r="A6112" t="s">
        <v>6166</v>
      </c>
      <c r="B6112" s="1" t="s">
        <v>6167</v>
      </c>
      <c r="E6112">
        <v>1</v>
      </c>
      <c r="G6112" t="str">
        <f>HYPERLINK("http://babel.hathitrust.org/cgi/pt?id=nyp.33433081638755")</f>
        <v>http://babel.hathitrust.org/cgi/pt?id=nyp.33433081638755</v>
      </c>
      <c r="H6112" t="str">
        <f>HYPERLINK("http://catalog.hathitrust.org/Record/008675273")</f>
        <v>http://catalog.hathitrust.org/Record/008675273</v>
      </c>
      <c r="J6112" s="1">
        <v>1845</v>
      </c>
      <c r="K6112" t="s">
        <v>6168</v>
      </c>
      <c r="L6112" t="s">
        <v>20960</v>
      </c>
    </row>
    <row r="6113" spans="1:12">
      <c r="A6113" t="s">
        <v>6169</v>
      </c>
      <c r="B6113" s="1" t="s">
        <v>6170</v>
      </c>
      <c r="F6113">
        <v>1</v>
      </c>
      <c r="G6113" t="str">
        <f>HYPERLINK("http://babel.hathitrust.org/cgi/pt?id=nyp.33433069257230")</f>
        <v>http://babel.hathitrust.org/cgi/pt?id=nyp.33433069257230</v>
      </c>
      <c r="H6113" t="str">
        <f>HYPERLINK("http://catalog.hathitrust.org/Record/008675284")</f>
        <v>http://catalog.hathitrust.org/Record/008675284</v>
      </c>
      <c r="J6113" s="1">
        <v>1853</v>
      </c>
      <c r="K6113" t="s">
        <v>6171</v>
      </c>
      <c r="L6113" t="s">
        <v>10123</v>
      </c>
    </row>
    <row r="6114" spans="1:12">
      <c r="A6114" t="s">
        <v>6172</v>
      </c>
      <c r="B6114" s="1" t="s">
        <v>6173</v>
      </c>
      <c r="F6114">
        <v>1</v>
      </c>
      <c r="G6114" t="str">
        <f>HYPERLINK("http://babel.hathitrust.org/cgi/pt?id=nyp.33433069247769")</f>
        <v>http://babel.hathitrust.org/cgi/pt?id=nyp.33433069247769</v>
      </c>
      <c r="H6114" t="str">
        <f>HYPERLINK("http://catalog.hathitrust.org/Record/008675348")</f>
        <v>http://catalog.hathitrust.org/Record/008675348</v>
      </c>
      <c r="J6114" s="1">
        <v>1903</v>
      </c>
      <c r="K6114" t="s">
        <v>6174</v>
      </c>
      <c r="L6114" t="s">
        <v>6175</v>
      </c>
    </row>
    <row r="6115" spans="1:12">
      <c r="A6115" t="s">
        <v>6176</v>
      </c>
      <c r="B6115" s="1" t="s">
        <v>6177</v>
      </c>
      <c r="E6115">
        <v>1</v>
      </c>
      <c r="F6115">
        <v>1</v>
      </c>
      <c r="G6115" t="str">
        <f>HYPERLINK("http://babel.hathitrust.org/cgi/pt?id=nyp.33433069247801")</f>
        <v>http://babel.hathitrust.org/cgi/pt?id=nyp.33433069247801</v>
      </c>
      <c r="H6115" t="str">
        <f>HYPERLINK("http://catalog.hathitrust.org/Record/008675349")</f>
        <v>http://catalog.hathitrust.org/Record/008675349</v>
      </c>
      <c r="J6115" s="1">
        <v>1845</v>
      </c>
      <c r="K6115" t="s">
        <v>6178</v>
      </c>
      <c r="L6115" t="s">
        <v>6179</v>
      </c>
    </row>
    <row r="6116" spans="1:12">
      <c r="A6116" t="s">
        <v>6180</v>
      </c>
      <c r="B6116" s="1" t="s">
        <v>6177</v>
      </c>
      <c r="F6116">
        <v>1</v>
      </c>
      <c r="G6116" t="str">
        <f>HYPERLINK("http://babel.hathitrust.org/cgi/pt?id=wu.89099897423")</f>
        <v>http://babel.hathitrust.org/cgi/pt?id=wu.89099897423</v>
      </c>
      <c r="H6116" t="str">
        <f>HYPERLINK("http://catalog.hathitrust.org/Record/008675349")</f>
        <v>http://catalog.hathitrust.org/Record/008675349</v>
      </c>
      <c r="J6116" s="1">
        <v>1845</v>
      </c>
      <c r="K6116" t="s">
        <v>6178</v>
      </c>
      <c r="L6116" t="s">
        <v>6179</v>
      </c>
    </row>
    <row r="6117" spans="1:12">
      <c r="A6117" t="s">
        <v>6181</v>
      </c>
      <c r="B6117" s="1" t="s">
        <v>6182</v>
      </c>
      <c r="F6117">
        <v>1</v>
      </c>
      <c r="G6117" t="str">
        <f>HYPERLINK("http://babel.hathitrust.org/cgi/pt?id=nyp.33433069247751")</f>
        <v>http://babel.hathitrust.org/cgi/pt?id=nyp.33433069247751</v>
      </c>
      <c r="H6117" t="str">
        <f>HYPERLINK("http://catalog.hathitrust.org/Record/008675351")</f>
        <v>http://catalog.hathitrust.org/Record/008675351</v>
      </c>
      <c r="J6117" s="1">
        <v>1910</v>
      </c>
      <c r="K6117" t="s">
        <v>6183</v>
      </c>
      <c r="L6117" t="s">
        <v>6941</v>
      </c>
    </row>
    <row r="6118" spans="1:12">
      <c r="A6118" t="s">
        <v>6184</v>
      </c>
      <c r="B6118" s="1" t="s">
        <v>6185</v>
      </c>
      <c r="F6118">
        <v>1</v>
      </c>
      <c r="G6118" t="str">
        <f>HYPERLINK("http://babel.hathitrust.org/cgi/pt?id=nyp.33433069247512")</f>
        <v>http://babel.hathitrust.org/cgi/pt?id=nyp.33433069247512</v>
      </c>
      <c r="H6118" t="str">
        <f>HYPERLINK("http://catalog.hathitrust.org/Record/008675352")</f>
        <v>http://catalog.hathitrust.org/Record/008675352</v>
      </c>
      <c r="J6118" s="1">
        <v>1919</v>
      </c>
      <c r="K6118" t="s">
        <v>6186</v>
      </c>
      <c r="L6118" t="s">
        <v>6187</v>
      </c>
    </row>
    <row r="6119" spans="1:12">
      <c r="A6119" t="s">
        <v>6188</v>
      </c>
      <c r="B6119" s="1" t="s">
        <v>6189</v>
      </c>
      <c r="E6119">
        <v>1</v>
      </c>
      <c r="F6119">
        <v>1</v>
      </c>
      <c r="G6119" t="str">
        <f>HYPERLINK("http://babel.hathitrust.org/cgi/pt?id=nyp.33433069248114")</f>
        <v>http://babel.hathitrust.org/cgi/pt?id=nyp.33433069248114</v>
      </c>
      <c r="H6119" t="str">
        <f>HYPERLINK("http://catalog.hathitrust.org/Record/008675354")</f>
        <v>http://catalog.hathitrust.org/Record/008675354</v>
      </c>
      <c r="J6119" s="1">
        <v>1877</v>
      </c>
      <c r="K6119" t="s">
        <v>12693</v>
      </c>
      <c r="L6119" t="s">
        <v>12817</v>
      </c>
    </row>
    <row r="6120" spans="1:12">
      <c r="A6120" t="s">
        <v>6190</v>
      </c>
      <c r="B6120" s="1" t="s">
        <v>6191</v>
      </c>
      <c r="F6120">
        <v>1</v>
      </c>
      <c r="G6120" t="str">
        <f>HYPERLINK("http://babel.hathitrust.org/cgi/pt?id=nyp.33433069248189")</f>
        <v>http://babel.hathitrust.org/cgi/pt?id=nyp.33433069248189</v>
      </c>
      <c r="H6120" t="str">
        <f>HYPERLINK("http://catalog.hathitrust.org/Record/008675361")</f>
        <v>http://catalog.hathitrust.org/Record/008675361</v>
      </c>
      <c r="J6120" s="1">
        <v>1911</v>
      </c>
      <c r="K6120" t="s">
        <v>6192</v>
      </c>
      <c r="L6120" t="s">
        <v>6193</v>
      </c>
    </row>
    <row r="6121" spans="1:12">
      <c r="A6121" t="s">
        <v>6194</v>
      </c>
      <c r="B6121" s="1" t="s">
        <v>6195</v>
      </c>
      <c r="E6121">
        <v>1</v>
      </c>
      <c r="F6121">
        <v>1</v>
      </c>
      <c r="G6121" t="str">
        <f>HYPERLINK("http://babel.hathitrust.org/cgi/pt?id=nyp.33433069248171")</f>
        <v>http://babel.hathitrust.org/cgi/pt?id=nyp.33433069248171</v>
      </c>
      <c r="H6121" t="str">
        <f>HYPERLINK("http://catalog.hathitrust.org/Record/008675362")</f>
        <v>http://catalog.hathitrust.org/Record/008675362</v>
      </c>
      <c r="J6121" s="1">
        <v>1917</v>
      </c>
      <c r="K6121" t="s">
        <v>6196</v>
      </c>
      <c r="L6121" t="s">
        <v>14052</v>
      </c>
    </row>
    <row r="6122" spans="1:12">
      <c r="A6122" t="s">
        <v>6197</v>
      </c>
      <c r="B6122" s="1" t="s">
        <v>6198</v>
      </c>
      <c r="F6122">
        <v>1</v>
      </c>
      <c r="G6122" t="str">
        <f>HYPERLINK("http://babel.hathitrust.org/cgi/pt?id=nyp.33433069247991")</f>
        <v>http://babel.hathitrust.org/cgi/pt?id=nyp.33433069247991</v>
      </c>
      <c r="H6122" t="str">
        <f>HYPERLINK("http://catalog.hathitrust.org/Record/008675401")</f>
        <v>http://catalog.hathitrust.org/Record/008675401</v>
      </c>
      <c r="J6122" s="1">
        <v>1904</v>
      </c>
      <c r="K6122" t="s">
        <v>6199</v>
      </c>
      <c r="L6122" t="s">
        <v>12390</v>
      </c>
    </row>
    <row r="6123" spans="1:12">
      <c r="A6123" t="s">
        <v>6200</v>
      </c>
      <c r="B6123" s="1" t="s">
        <v>6198</v>
      </c>
      <c r="F6123">
        <v>1</v>
      </c>
      <c r="G6123" t="str">
        <f>HYPERLINK("http://babel.hathitrust.org/cgi/pt?id=wu.89099902991")</f>
        <v>http://babel.hathitrust.org/cgi/pt?id=wu.89099902991</v>
      </c>
      <c r="H6123" t="str">
        <f>HYPERLINK("http://catalog.hathitrust.org/Record/008675401")</f>
        <v>http://catalog.hathitrust.org/Record/008675401</v>
      </c>
      <c r="J6123" s="1">
        <v>1904</v>
      </c>
      <c r="K6123" t="s">
        <v>6199</v>
      </c>
      <c r="L6123" t="s">
        <v>12390</v>
      </c>
    </row>
    <row r="6124" spans="1:12">
      <c r="A6124" t="s">
        <v>6116</v>
      </c>
      <c r="B6124" s="1" t="s">
        <v>6117</v>
      </c>
      <c r="F6124">
        <v>1</v>
      </c>
      <c r="G6124" t="str">
        <f>HYPERLINK("http://babel.hathitrust.org/cgi/pt?id=nyp.33433081988341")</f>
        <v>http://babel.hathitrust.org/cgi/pt?id=nyp.33433081988341</v>
      </c>
      <c r="H6124" t="str">
        <f>HYPERLINK("http://catalog.hathitrust.org/Record/008675403")</f>
        <v>http://catalog.hathitrust.org/Record/008675403</v>
      </c>
      <c r="J6124" s="1">
        <v>1859</v>
      </c>
      <c r="K6124" t="s">
        <v>6118</v>
      </c>
      <c r="L6124" t="s">
        <v>6119</v>
      </c>
    </row>
    <row r="6125" spans="1:12">
      <c r="A6125" t="s">
        <v>6120</v>
      </c>
      <c r="B6125" s="1" t="s">
        <v>6121</v>
      </c>
      <c r="F6125">
        <v>1</v>
      </c>
      <c r="G6125" t="str">
        <f>HYPERLINK("http://babel.hathitrust.org/cgi/pt?id=nyp.33433069248205")</f>
        <v>http://babel.hathitrust.org/cgi/pt?id=nyp.33433069248205</v>
      </c>
      <c r="H6125" t="str">
        <f>HYPERLINK("http://catalog.hathitrust.org/Record/008675408")</f>
        <v>http://catalog.hathitrust.org/Record/008675408</v>
      </c>
      <c r="J6125" s="1">
        <v>1880</v>
      </c>
      <c r="K6125" t="s">
        <v>6122</v>
      </c>
      <c r="L6125" t="s">
        <v>14911</v>
      </c>
    </row>
    <row r="6126" spans="1:12">
      <c r="A6126" t="s">
        <v>6123</v>
      </c>
      <c r="B6126" s="1" t="s">
        <v>6124</v>
      </c>
      <c r="E6126">
        <v>1</v>
      </c>
      <c r="F6126">
        <v>1</v>
      </c>
      <c r="G6126" t="str">
        <f>HYPERLINK("http://babel.hathitrust.org/cgi/pt?id=nyp.33433069248130")</f>
        <v>http://babel.hathitrust.org/cgi/pt?id=nyp.33433069248130</v>
      </c>
      <c r="H6126" t="str">
        <f>HYPERLINK("http://catalog.hathitrust.org/Record/008675410")</f>
        <v>http://catalog.hathitrust.org/Record/008675410</v>
      </c>
      <c r="J6126" s="1">
        <v>1892</v>
      </c>
      <c r="K6126" t="s">
        <v>6266</v>
      </c>
      <c r="L6126" t="s">
        <v>14911</v>
      </c>
    </row>
    <row r="6127" spans="1:12">
      <c r="A6127" t="s">
        <v>6125</v>
      </c>
      <c r="B6127" s="1" t="s">
        <v>6126</v>
      </c>
      <c r="D6127">
        <v>1</v>
      </c>
      <c r="G6127" t="str">
        <f>HYPERLINK("http://babel.hathitrust.org/cgi/pt?id=nyp.33433069257222")</f>
        <v>http://babel.hathitrust.org/cgi/pt?id=nyp.33433069257222</v>
      </c>
      <c r="H6127" t="str">
        <f>HYPERLINK("http://catalog.hathitrust.org/Record/008675415")</f>
        <v>http://catalog.hathitrust.org/Record/008675415</v>
      </c>
      <c r="J6127" s="1">
        <v>1796</v>
      </c>
      <c r="K6127" t="s">
        <v>6127</v>
      </c>
      <c r="L6127" t="s">
        <v>6128</v>
      </c>
    </row>
    <row r="6128" spans="1:12">
      <c r="A6128" t="s">
        <v>6129</v>
      </c>
      <c r="B6128" s="1" t="s">
        <v>6130</v>
      </c>
      <c r="F6128">
        <v>1</v>
      </c>
      <c r="G6128" t="str">
        <f>HYPERLINK("http://babel.hathitrust.org/cgi/pt?id=nyp.33433069257347")</f>
        <v>http://babel.hathitrust.org/cgi/pt?id=nyp.33433069257347</v>
      </c>
      <c r="H6128" t="str">
        <f>HYPERLINK("http://catalog.hathitrust.org/Record/008675416")</f>
        <v>http://catalog.hathitrust.org/Record/008675416</v>
      </c>
      <c r="J6128" s="1">
        <v>1846</v>
      </c>
      <c r="K6128" t="s">
        <v>6131</v>
      </c>
      <c r="L6128" t="s">
        <v>15675</v>
      </c>
    </row>
    <row r="6129" spans="1:12">
      <c r="A6129" t="s">
        <v>6132</v>
      </c>
      <c r="B6129" s="1" t="s">
        <v>6133</v>
      </c>
      <c r="E6129">
        <v>1</v>
      </c>
      <c r="F6129">
        <v>1</v>
      </c>
      <c r="G6129" t="str">
        <f>HYPERLINK("http://babel.hathitrust.org/cgi/pt?id=nyp.33433069257255")</f>
        <v>http://babel.hathitrust.org/cgi/pt?id=nyp.33433069257255</v>
      </c>
      <c r="H6129" t="str">
        <f>HYPERLINK("http://catalog.hathitrust.org/Record/008675417")</f>
        <v>http://catalog.hathitrust.org/Record/008675417</v>
      </c>
      <c r="J6129" s="1">
        <v>1820</v>
      </c>
      <c r="K6129" t="s">
        <v>6134</v>
      </c>
      <c r="L6129" t="s">
        <v>6135</v>
      </c>
    </row>
    <row r="6130" spans="1:12">
      <c r="A6130" t="s">
        <v>6136</v>
      </c>
      <c r="B6130" s="1" t="s">
        <v>6137</v>
      </c>
      <c r="E6130">
        <v>1</v>
      </c>
      <c r="F6130">
        <v>1</v>
      </c>
      <c r="G6130" t="str">
        <f>HYPERLINK("http://babel.hathitrust.org/cgi/pt?id=nyp.33433081988531")</f>
        <v>http://babel.hathitrust.org/cgi/pt?id=nyp.33433081988531</v>
      </c>
      <c r="H6130" t="str">
        <f>HYPERLINK("http://catalog.hathitrust.org/Record/008675420")</f>
        <v>http://catalog.hathitrust.org/Record/008675420</v>
      </c>
      <c r="J6130" s="1">
        <v>1859</v>
      </c>
      <c r="K6130" t="s">
        <v>6138</v>
      </c>
      <c r="L6130" t="s">
        <v>6139</v>
      </c>
    </row>
    <row r="6131" spans="1:12">
      <c r="A6131" t="s">
        <v>6140</v>
      </c>
      <c r="B6131" s="1" t="s">
        <v>6141</v>
      </c>
      <c r="F6131">
        <v>1</v>
      </c>
      <c r="G6131" t="str">
        <f>HYPERLINK("http://babel.hathitrust.org/cgi/pt?id=njp.32101071985798")</f>
        <v>http://babel.hathitrust.org/cgi/pt?id=njp.32101071985798</v>
      </c>
      <c r="H6131" t="str">
        <f>HYPERLINK("http://catalog.hathitrust.org/Record/008675421")</f>
        <v>http://catalog.hathitrust.org/Record/008675421</v>
      </c>
      <c r="J6131" s="1">
        <v>1850</v>
      </c>
      <c r="K6131" t="s">
        <v>6142</v>
      </c>
      <c r="L6131" t="s">
        <v>6139</v>
      </c>
    </row>
    <row r="6132" spans="1:12">
      <c r="A6132" t="s">
        <v>6143</v>
      </c>
      <c r="B6132" s="1" t="s">
        <v>6141</v>
      </c>
      <c r="F6132">
        <v>1</v>
      </c>
      <c r="G6132" t="str">
        <f>HYPERLINK("http://babel.hathitrust.org/cgi/pt?id=nyp.33433081988168")</f>
        <v>http://babel.hathitrust.org/cgi/pt?id=nyp.33433081988168</v>
      </c>
      <c r="H6132" t="str">
        <f>HYPERLINK("http://catalog.hathitrust.org/Record/008675421")</f>
        <v>http://catalog.hathitrust.org/Record/008675421</v>
      </c>
      <c r="J6132" s="1">
        <v>1850</v>
      </c>
      <c r="K6132" t="s">
        <v>6142</v>
      </c>
      <c r="L6132" t="s">
        <v>6139</v>
      </c>
    </row>
    <row r="6133" spans="1:12">
      <c r="A6133" t="s">
        <v>6144</v>
      </c>
      <c r="B6133" s="1" t="s">
        <v>6145</v>
      </c>
      <c r="F6133">
        <v>1</v>
      </c>
      <c r="G6133" t="str">
        <f>HYPERLINK("http://babel.hathitrust.org/cgi/pt?id=hvd.hwk7n6")</f>
        <v>http://babel.hathitrust.org/cgi/pt?id=hvd.hwk7n6</v>
      </c>
      <c r="H6133" t="str">
        <f>HYPERLINK("http://catalog.hathitrust.org/Record/008675422")</f>
        <v>http://catalog.hathitrust.org/Record/008675422</v>
      </c>
      <c r="J6133" s="1">
        <v>1855</v>
      </c>
      <c r="K6133" t="s">
        <v>6146</v>
      </c>
      <c r="L6133" t="s">
        <v>6139</v>
      </c>
    </row>
    <row r="6134" spans="1:12">
      <c r="A6134" t="s">
        <v>6147</v>
      </c>
      <c r="B6134" s="1" t="s">
        <v>6145</v>
      </c>
      <c r="F6134">
        <v>1</v>
      </c>
      <c r="G6134" t="str">
        <f>HYPERLINK("http://babel.hathitrust.org/cgi/pt?id=nyp.33433069256869")</f>
        <v>http://babel.hathitrust.org/cgi/pt?id=nyp.33433069256869</v>
      </c>
      <c r="H6134" t="str">
        <f>HYPERLINK("http://catalog.hathitrust.org/Record/008675422")</f>
        <v>http://catalog.hathitrust.org/Record/008675422</v>
      </c>
      <c r="J6134" s="1">
        <v>1855</v>
      </c>
      <c r="K6134" t="s">
        <v>6146</v>
      </c>
      <c r="L6134" t="s">
        <v>6139</v>
      </c>
    </row>
    <row r="6135" spans="1:12">
      <c r="A6135" t="s">
        <v>6148</v>
      </c>
      <c r="B6135" s="1" t="s">
        <v>6149</v>
      </c>
      <c r="F6135">
        <v>1</v>
      </c>
      <c r="G6135" t="str">
        <f>HYPERLINK("http://babel.hathitrust.org/cgi/pt?id=nyp.33433069257081")</f>
        <v>http://babel.hathitrust.org/cgi/pt?id=nyp.33433069257081</v>
      </c>
      <c r="H6135" t="str">
        <f>HYPERLINK("http://catalog.hathitrust.org/Record/008675424")</f>
        <v>http://catalog.hathitrust.org/Record/008675424</v>
      </c>
      <c r="J6135" s="1">
        <v>1912</v>
      </c>
      <c r="K6135" t="s">
        <v>6150</v>
      </c>
      <c r="L6135" t="s">
        <v>6151</v>
      </c>
    </row>
    <row r="6136" spans="1:12">
      <c r="A6136" t="s">
        <v>6152</v>
      </c>
      <c r="B6136" s="1" t="s">
        <v>6153</v>
      </c>
      <c r="F6136">
        <v>1</v>
      </c>
      <c r="G6136" t="str">
        <f>HYPERLINK("http://babel.hathitrust.org/cgi/pt?id=nyp.33433069257271")</f>
        <v>http://babel.hathitrust.org/cgi/pt?id=nyp.33433069257271</v>
      </c>
      <c r="H6136" t="str">
        <f>HYPERLINK("http://catalog.hathitrust.org/Record/008675425")</f>
        <v>http://catalog.hathitrust.org/Record/008675425</v>
      </c>
      <c r="J6136" s="1">
        <v>1908</v>
      </c>
      <c r="K6136" t="s">
        <v>6154</v>
      </c>
      <c r="L6136" t="s">
        <v>6155</v>
      </c>
    </row>
    <row r="6137" spans="1:12">
      <c r="A6137" t="s">
        <v>6156</v>
      </c>
      <c r="B6137" s="1" t="s">
        <v>6157</v>
      </c>
      <c r="F6137">
        <v>1</v>
      </c>
      <c r="G6137" t="str">
        <f>HYPERLINK("http://babel.hathitrust.org/cgi/pt?id=nyp.33433082310933")</f>
        <v>http://babel.hathitrust.org/cgi/pt?id=nyp.33433082310933</v>
      </c>
      <c r="H6137" t="str">
        <f>HYPERLINK("http://catalog.hathitrust.org/Record/008675426")</f>
        <v>http://catalog.hathitrust.org/Record/008675426</v>
      </c>
      <c r="J6137" s="1">
        <v>1848</v>
      </c>
      <c r="K6137" t="s">
        <v>6158</v>
      </c>
      <c r="L6137" t="s">
        <v>12718</v>
      </c>
    </row>
    <row r="6138" spans="1:12">
      <c r="A6138" t="s">
        <v>6159</v>
      </c>
      <c r="B6138" s="1" t="s">
        <v>6160</v>
      </c>
      <c r="F6138">
        <v>1</v>
      </c>
      <c r="G6138" t="str">
        <f>HYPERLINK("http://babel.hathitrust.org/cgi/pt?id=nyp.33433069257123")</f>
        <v>http://babel.hathitrust.org/cgi/pt?id=nyp.33433069257123</v>
      </c>
      <c r="H6138" t="str">
        <f>HYPERLINK("http://catalog.hathitrust.org/Record/008675428")</f>
        <v>http://catalog.hathitrust.org/Record/008675428</v>
      </c>
      <c r="J6138" s="1">
        <v>1873</v>
      </c>
      <c r="K6138" t="s">
        <v>6161</v>
      </c>
      <c r="L6138" t="s">
        <v>12718</v>
      </c>
    </row>
    <row r="6139" spans="1:12">
      <c r="A6139" t="s">
        <v>6070</v>
      </c>
      <c r="B6139" s="1" t="s">
        <v>6071</v>
      </c>
      <c r="F6139">
        <v>1</v>
      </c>
      <c r="G6139" t="str">
        <f>HYPERLINK("http://babel.hathitrust.org/cgi/pt?id=nyp.33433081988184")</f>
        <v>http://babel.hathitrust.org/cgi/pt?id=nyp.33433081988184</v>
      </c>
      <c r="H6139" t="str">
        <f>HYPERLINK("http://catalog.hathitrust.org/Record/008675430")</f>
        <v>http://catalog.hathitrust.org/Record/008675430</v>
      </c>
      <c r="I6139" s="1" t="s">
        <v>6272</v>
      </c>
      <c r="J6139" s="1">
        <v>1889</v>
      </c>
      <c r="K6139" t="s">
        <v>6072</v>
      </c>
    </row>
    <row r="6140" spans="1:12">
      <c r="A6140" t="s">
        <v>6073</v>
      </c>
      <c r="B6140" s="1" t="s">
        <v>6071</v>
      </c>
      <c r="F6140">
        <v>1</v>
      </c>
      <c r="G6140" t="str">
        <f>HYPERLINK("http://babel.hathitrust.org/cgi/pt?id=nyp.33433081988192")</f>
        <v>http://babel.hathitrust.org/cgi/pt?id=nyp.33433081988192</v>
      </c>
      <c r="H6140" t="str">
        <f>HYPERLINK("http://catalog.hathitrust.org/Record/008675430")</f>
        <v>http://catalog.hathitrust.org/Record/008675430</v>
      </c>
      <c r="I6140" s="1" t="s">
        <v>6350</v>
      </c>
      <c r="J6140" s="1">
        <v>1889</v>
      </c>
      <c r="K6140" t="s">
        <v>6072</v>
      </c>
    </row>
    <row r="6141" spans="1:12">
      <c r="A6141" t="s">
        <v>6074</v>
      </c>
      <c r="B6141" s="1" t="s">
        <v>6075</v>
      </c>
      <c r="F6141">
        <v>1</v>
      </c>
      <c r="G6141" t="str">
        <f>HYPERLINK("http://babel.hathitrust.org/cgi/pt?id=nyp.33433069257263")</f>
        <v>http://babel.hathitrust.org/cgi/pt?id=nyp.33433069257263</v>
      </c>
      <c r="H6141" t="str">
        <f>HYPERLINK("http://catalog.hathitrust.org/Record/008675431")</f>
        <v>http://catalog.hathitrust.org/Record/008675431</v>
      </c>
      <c r="J6141" s="1">
        <v>1864</v>
      </c>
      <c r="K6141" t="s">
        <v>6161</v>
      </c>
      <c r="L6141" t="s">
        <v>11794</v>
      </c>
    </row>
    <row r="6142" spans="1:12">
      <c r="A6142" t="s">
        <v>6076</v>
      </c>
      <c r="B6142" s="1" t="s">
        <v>6077</v>
      </c>
      <c r="F6142">
        <v>1</v>
      </c>
      <c r="G6142" t="str">
        <f>HYPERLINK("http://babel.hathitrust.org/cgi/pt?id=nyp.33433069257107")</f>
        <v>http://babel.hathitrust.org/cgi/pt?id=nyp.33433069257107</v>
      </c>
      <c r="H6142" t="str">
        <f>HYPERLINK("http://catalog.hathitrust.org/Record/008675432")</f>
        <v>http://catalog.hathitrust.org/Record/008675432</v>
      </c>
      <c r="J6142" s="1">
        <v>1868</v>
      </c>
      <c r="K6142" t="s">
        <v>6078</v>
      </c>
      <c r="L6142" t="s">
        <v>12805</v>
      </c>
    </row>
    <row r="6143" spans="1:12">
      <c r="A6143" t="s">
        <v>6079</v>
      </c>
      <c r="B6143" s="1" t="s">
        <v>6080</v>
      </c>
      <c r="F6143">
        <v>1</v>
      </c>
      <c r="G6143" t="str">
        <f>HYPERLINK("http://babel.hathitrust.org/cgi/pt?id=nyp.33433069255424")</f>
        <v>http://babel.hathitrust.org/cgi/pt?id=nyp.33433069255424</v>
      </c>
      <c r="H6143" t="str">
        <f>HYPERLINK("http://catalog.hathitrust.org/Record/008675433")</f>
        <v>http://catalog.hathitrust.org/Record/008675433</v>
      </c>
      <c r="J6143" s="1">
        <v>1919</v>
      </c>
      <c r="K6143" t="s">
        <v>6081</v>
      </c>
      <c r="L6143" t="s">
        <v>6082</v>
      </c>
    </row>
    <row r="6144" spans="1:12">
      <c r="A6144" t="s">
        <v>6083</v>
      </c>
      <c r="B6144" s="1" t="s">
        <v>6084</v>
      </c>
      <c r="F6144">
        <v>1</v>
      </c>
      <c r="G6144" t="str">
        <f>HYPERLINK("http://babel.hathitrust.org/cgi/pt?id=nyp.33433082310735")</f>
        <v>http://babel.hathitrust.org/cgi/pt?id=nyp.33433082310735</v>
      </c>
      <c r="H6144" t="str">
        <f>HYPERLINK("http://catalog.hathitrust.org/Record/008675435")</f>
        <v>http://catalog.hathitrust.org/Record/008675435</v>
      </c>
      <c r="J6144" s="1">
        <v>1871</v>
      </c>
      <c r="K6144" t="s">
        <v>6161</v>
      </c>
      <c r="L6144" t="s">
        <v>6085</v>
      </c>
    </row>
    <row r="6145" spans="1:12">
      <c r="A6145" t="s">
        <v>6086</v>
      </c>
      <c r="B6145" s="1" t="s">
        <v>6087</v>
      </c>
      <c r="F6145">
        <v>1</v>
      </c>
      <c r="G6145" t="str">
        <f>HYPERLINK("http://babel.hathitrust.org/cgi/pt?id=hvd.32044102770518")</f>
        <v>http://babel.hathitrust.org/cgi/pt?id=hvd.32044102770518</v>
      </c>
      <c r="H6145" t="str">
        <f>HYPERLINK("http://catalog.hathitrust.org/Record/008675436")</f>
        <v>http://catalog.hathitrust.org/Record/008675436</v>
      </c>
      <c r="J6145" s="1">
        <v>1868</v>
      </c>
      <c r="K6145" t="s">
        <v>12863</v>
      </c>
      <c r="L6145" t="s">
        <v>19442</v>
      </c>
    </row>
    <row r="6146" spans="1:12">
      <c r="A6146" t="s">
        <v>6088</v>
      </c>
      <c r="B6146" s="1" t="s">
        <v>6087</v>
      </c>
      <c r="F6146">
        <v>1</v>
      </c>
      <c r="G6146" t="str">
        <f>HYPERLINK("http://babel.hathitrust.org/cgi/pt?id=nyp.33433082310792")</f>
        <v>http://babel.hathitrust.org/cgi/pt?id=nyp.33433082310792</v>
      </c>
      <c r="H6146" t="str">
        <f>HYPERLINK("http://catalog.hathitrust.org/Record/008675436")</f>
        <v>http://catalog.hathitrust.org/Record/008675436</v>
      </c>
      <c r="J6146" s="1">
        <v>1868</v>
      </c>
      <c r="K6146" t="s">
        <v>12863</v>
      </c>
      <c r="L6146" t="s">
        <v>19442</v>
      </c>
    </row>
    <row r="6147" spans="1:12">
      <c r="A6147" t="s">
        <v>6089</v>
      </c>
      <c r="B6147" s="1" t="s">
        <v>6090</v>
      </c>
      <c r="F6147">
        <v>1</v>
      </c>
      <c r="G6147" t="str">
        <f>HYPERLINK("http://babel.hathitrust.org/cgi/pt?id=nyp.33433069255507")</f>
        <v>http://babel.hathitrust.org/cgi/pt?id=nyp.33433069255507</v>
      </c>
      <c r="H6147" t="str">
        <f>HYPERLINK("http://catalog.hathitrust.org/Record/008675441")</f>
        <v>http://catalog.hathitrust.org/Record/008675441</v>
      </c>
      <c r="J6147" s="1">
        <v>1841</v>
      </c>
      <c r="K6147" t="s">
        <v>6091</v>
      </c>
      <c r="L6147" t="s">
        <v>16785</v>
      </c>
    </row>
    <row r="6148" spans="1:12">
      <c r="A6148" t="s">
        <v>6092</v>
      </c>
      <c r="B6148" s="1" t="s">
        <v>6093</v>
      </c>
      <c r="F6148">
        <v>1</v>
      </c>
      <c r="G6148" t="str">
        <f>HYPERLINK("http://babel.hathitrust.org/cgi/pt?id=nyp.33433069256661")</f>
        <v>http://babel.hathitrust.org/cgi/pt?id=nyp.33433069256661</v>
      </c>
      <c r="H6148" t="str">
        <f>HYPERLINK("http://catalog.hathitrust.org/Record/008675447")</f>
        <v>http://catalog.hathitrust.org/Record/008675447</v>
      </c>
      <c r="J6148" s="1">
        <v>1821</v>
      </c>
      <c r="K6148" t="s">
        <v>6094</v>
      </c>
      <c r="L6148" t="s">
        <v>6095</v>
      </c>
    </row>
    <row r="6149" spans="1:12">
      <c r="A6149" t="s">
        <v>6096</v>
      </c>
      <c r="B6149" s="1" t="s">
        <v>6097</v>
      </c>
      <c r="F6149">
        <v>1</v>
      </c>
      <c r="G6149" t="str">
        <f>HYPERLINK("http://babel.hathitrust.org/cgi/pt?id=nyp.33433069255242")</f>
        <v>http://babel.hathitrust.org/cgi/pt?id=nyp.33433069255242</v>
      </c>
      <c r="H6149" t="str">
        <f>HYPERLINK("http://catalog.hathitrust.org/Record/008675448")</f>
        <v>http://catalog.hathitrust.org/Record/008675448</v>
      </c>
      <c r="J6149" s="1">
        <v>1886</v>
      </c>
      <c r="K6149" t="s">
        <v>6098</v>
      </c>
      <c r="L6149" t="s">
        <v>6099</v>
      </c>
    </row>
    <row r="6150" spans="1:12">
      <c r="A6150" t="s">
        <v>6100</v>
      </c>
      <c r="B6150" s="1" t="s">
        <v>6101</v>
      </c>
      <c r="F6150">
        <v>1</v>
      </c>
      <c r="G6150" t="str">
        <f>HYPERLINK("http://babel.hathitrust.org/cgi/pt?id=nyp.33433069256588")</f>
        <v>http://babel.hathitrust.org/cgi/pt?id=nyp.33433069256588</v>
      </c>
      <c r="H6150" t="str">
        <f>HYPERLINK("http://catalog.hathitrust.org/Record/008675449")</f>
        <v>http://catalog.hathitrust.org/Record/008675449</v>
      </c>
      <c r="J6150" s="1">
        <v>1900</v>
      </c>
      <c r="K6150" t="s">
        <v>6102</v>
      </c>
      <c r="L6150" t="s">
        <v>6103</v>
      </c>
    </row>
    <row r="6151" spans="1:12">
      <c r="A6151" t="s">
        <v>6104</v>
      </c>
      <c r="B6151" s="1" t="s">
        <v>6105</v>
      </c>
      <c r="F6151">
        <v>1</v>
      </c>
      <c r="G6151" t="str">
        <f>HYPERLINK("http://babel.hathitrust.org/cgi/pt?id=nyp.33433069243131")</f>
        <v>http://babel.hathitrust.org/cgi/pt?id=nyp.33433069243131</v>
      </c>
      <c r="H6151" t="str">
        <f>HYPERLINK("http://catalog.hathitrust.org/Record/008675452")</f>
        <v>http://catalog.hathitrust.org/Record/008675452</v>
      </c>
      <c r="J6151" s="1">
        <v>1919</v>
      </c>
      <c r="K6151" t="s">
        <v>6106</v>
      </c>
      <c r="L6151" t="s">
        <v>8161</v>
      </c>
    </row>
    <row r="6152" spans="1:12">
      <c r="A6152" t="s">
        <v>6107</v>
      </c>
      <c r="B6152" s="1" t="s">
        <v>6108</v>
      </c>
      <c r="F6152">
        <v>1</v>
      </c>
      <c r="G6152" t="str">
        <f>HYPERLINK("http://babel.hathitrust.org/cgi/pt?id=nyp.33433082310974")</f>
        <v>http://babel.hathitrust.org/cgi/pt?id=nyp.33433082310974</v>
      </c>
      <c r="H6152" t="str">
        <f>HYPERLINK("http://catalog.hathitrust.org/Record/008675454")</f>
        <v>http://catalog.hathitrust.org/Record/008675454</v>
      </c>
      <c r="J6152" s="1">
        <v>1814</v>
      </c>
      <c r="K6152" t="s">
        <v>6109</v>
      </c>
      <c r="L6152" t="s">
        <v>6110</v>
      </c>
    </row>
    <row r="6153" spans="1:12">
      <c r="A6153" t="s">
        <v>6111</v>
      </c>
      <c r="B6153" s="1" t="s">
        <v>6112</v>
      </c>
      <c r="F6153">
        <v>1</v>
      </c>
      <c r="G6153" t="str">
        <f>HYPERLINK("http://babel.hathitrust.org/cgi/pt?id=nyp.33433069256653")</f>
        <v>http://babel.hathitrust.org/cgi/pt?id=nyp.33433069256653</v>
      </c>
      <c r="H6153" t="str">
        <f>HYPERLINK("http://catalog.hathitrust.org/Record/008675455")</f>
        <v>http://catalog.hathitrust.org/Record/008675455</v>
      </c>
      <c r="J6153" s="1">
        <v>1879</v>
      </c>
      <c r="K6153" t="s">
        <v>6113</v>
      </c>
      <c r="L6153" t="s">
        <v>12225</v>
      </c>
    </row>
    <row r="6154" spans="1:12">
      <c r="A6154" t="s">
        <v>6114</v>
      </c>
      <c r="B6154" s="1" t="s">
        <v>6115</v>
      </c>
      <c r="D6154">
        <v>1</v>
      </c>
      <c r="G6154" t="str">
        <f>HYPERLINK("http://babel.hathitrust.org/cgi/pt?id=nyp.33433069244394")</f>
        <v>http://babel.hathitrust.org/cgi/pt?id=nyp.33433069244394</v>
      </c>
      <c r="H6154" t="str">
        <f>HYPERLINK("http://catalog.hathitrust.org/Record/008675458")</f>
        <v>http://catalog.hathitrust.org/Record/008675458</v>
      </c>
      <c r="J6154" s="1">
        <v>1804</v>
      </c>
      <c r="K6154" t="s">
        <v>6044</v>
      </c>
      <c r="L6154" t="s">
        <v>20043</v>
      </c>
    </row>
    <row r="6155" spans="1:12">
      <c r="A6155" t="s">
        <v>6045</v>
      </c>
      <c r="B6155" s="1" t="s">
        <v>6046</v>
      </c>
      <c r="D6155">
        <v>1</v>
      </c>
      <c r="G6155" t="str">
        <f>HYPERLINK("http://babel.hathitrust.org/cgi/pt?id=nyp.33433069244402")</f>
        <v>http://babel.hathitrust.org/cgi/pt?id=nyp.33433069244402</v>
      </c>
      <c r="H6155" t="str">
        <f>HYPERLINK("http://catalog.hathitrust.org/Record/008675462")</f>
        <v>http://catalog.hathitrust.org/Record/008675462</v>
      </c>
      <c r="J6155" s="1">
        <v>1805</v>
      </c>
      <c r="K6155" t="s">
        <v>6047</v>
      </c>
      <c r="L6155" t="s">
        <v>20043</v>
      </c>
    </row>
    <row r="6156" spans="1:12">
      <c r="A6156" t="s">
        <v>6048</v>
      </c>
      <c r="B6156" s="1" t="s">
        <v>6049</v>
      </c>
      <c r="F6156">
        <v>1</v>
      </c>
      <c r="G6156" t="str">
        <f>HYPERLINK("http://babel.hathitrust.org/cgi/pt?id=nyp.33433069255192")</f>
        <v>http://babel.hathitrust.org/cgi/pt?id=nyp.33433069255192</v>
      </c>
      <c r="H6156" t="str">
        <f>HYPERLINK("http://catalog.hathitrust.org/Record/008675465")</f>
        <v>http://catalog.hathitrust.org/Record/008675465</v>
      </c>
      <c r="I6156" s="1" t="s">
        <v>20799</v>
      </c>
      <c r="J6156" s="1">
        <v>1808</v>
      </c>
      <c r="K6156" t="s">
        <v>6050</v>
      </c>
      <c r="L6156" t="s">
        <v>20043</v>
      </c>
    </row>
    <row r="6157" spans="1:12">
      <c r="A6157" t="s">
        <v>6051</v>
      </c>
      <c r="B6157" s="1" t="s">
        <v>6049</v>
      </c>
      <c r="F6157">
        <v>1</v>
      </c>
      <c r="G6157" t="str">
        <f>HYPERLINK("http://babel.hathitrust.org/cgi/pt?id=nyp.33433069255200")</f>
        <v>http://babel.hathitrust.org/cgi/pt?id=nyp.33433069255200</v>
      </c>
      <c r="H6157" t="str">
        <f>HYPERLINK("http://catalog.hathitrust.org/Record/008675465")</f>
        <v>http://catalog.hathitrust.org/Record/008675465</v>
      </c>
      <c r="I6157" s="1" t="s">
        <v>20796</v>
      </c>
      <c r="J6157" s="1">
        <v>1808</v>
      </c>
      <c r="K6157" t="s">
        <v>6050</v>
      </c>
      <c r="L6157" t="s">
        <v>20043</v>
      </c>
    </row>
    <row r="6158" spans="1:12">
      <c r="A6158" t="s">
        <v>6052</v>
      </c>
      <c r="B6158" s="1" t="s">
        <v>6053</v>
      </c>
      <c r="F6158">
        <v>1</v>
      </c>
      <c r="G6158" t="str">
        <f>HYPERLINK("http://babel.hathitrust.org/cgi/pt?id=nyp.33433069255077")</f>
        <v>http://babel.hathitrust.org/cgi/pt?id=nyp.33433069255077</v>
      </c>
      <c r="H6158" t="str">
        <f>HYPERLINK("http://catalog.hathitrust.org/Record/008675466")</f>
        <v>http://catalog.hathitrust.org/Record/008675466</v>
      </c>
      <c r="J6158" s="1">
        <v>1815</v>
      </c>
      <c r="K6158" t="s">
        <v>6054</v>
      </c>
      <c r="L6158" t="s">
        <v>20043</v>
      </c>
    </row>
    <row r="6159" spans="1:12">
      <c r="A6159" t="s">
        <v>6055</v>
      </c>
      <c r="B6159" s="1" t="s">
        <v>6056</v>
      </c>
      <c r="D6159">
        <v>1</v>
      </c>
      <c r="G6159" t="str">
        <f>HYPERLINK("http://babel.hathitrust.org/cgi/pt?id=nyp.33433081988549")</f>
        <v>http://babel.hathitrust.org/cgi/pt?id=nyp.33433081988549</v>
      </c>
      <c r="H6159" t="str">
        <f>HYPERLINK("http://catalog.hathitrust.org/Record/008675467")</f>
        <v>http://catalog.hathitrust.org/Record/008675467</v>
      </c>
      <c r="J6159" s="1">
        <v>1816</v>
      </c>
      <c r="K6159" t="s">
        <v>6057</v>
      </c>
      <c r="L6159" t="s">
        <v>20043</v>
      </c>
    </row>
    <row r="6160" spans="1:12">
      <c r="A6160" t="s">
        <v>6058</v>
      </c>
      <c r="B6160" s="1" t="s">
        <v>6059</v>
      </c>
      <c r="F6160">
        <v>1</v>
      </c>
      <c r="G6160" t="str">
        <f>HYPERLINK("http://babel.hathitrust.org/cgi/pt?id=nyp.33433081988556")</f>
        <v>http://babel.hathitrust.org/cgi/pt?id=nyp.33433081988556</v>
      </c>
      <c r="H6160" t="str">
        <f>HYPERLINK("http://catalog.hathitrust.org/Record/008675468")</f>
        <v>http://catalog.hathitrust.org/Record/008675468</v>
      </c>
      <c r="J6160" s="1">
        <v>1817</v>
      </c>
      <c r="K6160" t="s">
        <v>6060</v>
      </c>
      <c r="L6160" t="s">
        <v>20043</v>
      </c>
    </row>
    <row r="6161" spans="1:12">
      <c r="A6161" t="s">
        <v>6061</v>
      </c>
      <c r="B6161" s="1" t="s">
        <v>6062</v>
      </c>
      <c r="F6161">
        <v>1</v>
      </c>
      <c r="G6161" t="str">
        <f>HYPERLINK("http://babel.hathitrust.org/cgi/pt?id=nyp.33433069243271")</f>
        <v>http://babel.hathitrust.org/cgi/pt?id=nyp.33433069243271</v>
      </c>
      <c r="H6161" t="str">
        <f>HYPERLINK("http://catalog.hathitrust.org/Record/008675470")</f>
        <v>http://catalog.hathitrust.org/Record/008675470</v>
      </c>
      <c r="J6161" s="1">
        <v>1864</v>
      </c>
      <c r="K6161" t="s">
        <v>6063</v>
      </c>
    </row>
    <row r="6162" spans="1:12">
      <c r="A6162" t="s">
        <v>6064</v>
      </c>
      <c r="B6162" s="1" t="s">
        <v>6065</v>
      </c>
      <c r="F6162">
        <v>1</v>
      </c>
      <c r="G6162" t="str">
        <f>HYPERLINK("http://babel.hathitrust.org/cgi/pt?id=nyp.33433069243263")</f>
        <v>http://babel.hathitrust.org/cgi/pt?id=nyp.33433069243263</v>
      </c>
      <c r="H6162" t="str">
        <f>HYPERLINK("http://catalog.hathitrust.org/Record/008675475")</f>
        <v>http://catalog.hathitrust.org/Record/008675475</v>
      </c>
      <c r="J6162" s="1">
        <v>1903</v>
      </c>
      <c r="K6162" t="s">
        <v>6066</v>
      </c>
      <c r="L6162" t="s">
        <v>6067</v>
      </c>
    </row>
    <row r="6163" spans="1:12">
      <c r="A6163" t="s">
        <v>6068</v>
      </c>
      <c r="B6163" s="1" t="s">
        <v>6069</v>
      </c>
      <c r="F6163">
        <v>1</v>
      </c>
      <c r="G6163" t="str">
        <f>HYPERLINK("http://babel.hathitrust.org/cgi/pt?id=hvd.hx6h6a")</f>
        <v>http://babel.hathitrust.org/cgi/pt?id=hvd.hx6h6a</v>
      </c>
      <c r="H6163" t="str">
        <f>HYPERLINK("http://catalog.hathitrust.org/Record/008675478")</f>
        <v>http://catalog.hathitrust.org/Record/008675478</v>
      </c>
      <c r="J6163" s="1">
        <v>1858</v>
      </c>
      <c r="K6163" t="s">
        <v>6006</v>
      </c>
      <c r="L6163" t="s">
        <v>6139</v>
      </c>
    </row>
    <row r="6164" spans="1:12">
      <c r="A6164" t="s">
        <v>6007</v>
      </c>
      <c r="B6164" s="1" t="s">
        <v>6069</v>
      </c>
      <c r="F6164">
        <v>1</v>
      </c>
      <c r="G6164" t="str">
        <f>HYPERLINK("http://babel.hathitrust.org/cgi/pt?id=nyp.33433081988150")</f>
        <v>http://babel.hathitrust.org/cgi/pt?id=nyp.33433081988150</v>
      </c>
      <c r="H6164" t="str">
        <f>HYPERLINK("http://catalog.hathitrust.org/Record/008675478")</f>
        <v>http://catalog.hathitrust.org/Record/008675478</v>
      </c>
      <c r="J6164" s="1">
        <v>1858</v>
      </c>
      <c r="K6164" t="s">
        <v>6006</v>
      </c>
      <c r="L6164" t="s">
        <v>6139</v>
      </c>
    </row>
    <row r="6165" spans="1:12">
      <c r="A6165" t="s">
        <v>6008</v>
      </c>
      <c r="B6165" s="1" t="s">
        <v>6009</v>
      </c>
      <c r="F6165">
        <v>1</v>
      </c>
      <c r="G6165" t="str">
        <f>HYPERLINK("http://babel.hathitrust.org/cgi/pt?id=hvd.hwkm8g")</f>
        <v>http://babel.hathitrust.org/cgi/pt?id=hvd.hwkm8g</v>
      </c>
      <c r="H6165" t="str">
        <f>HYPERLINK("http://catalog.hathitrust.org/Record/008675498")</f>
        <v>http://catalog.hathitrust.org/Record/008675498</v>
      </c>
      <c r="J6165" s="1">
        <v>1830</v>
      </c>
      <c r="K6165" t="s">
        <v>6010</v>
      </c>
      <c r="L6165" t="s">
        <v>6011</v>
      </c>
    </row>
    <row r="6166" spans="1:12">
      <c r="A6166" t="s">
        <v>6012</v>
      </c>
      <c r="B6166" s="1" t="s">
        <v>6009</v>
      </c>
      <c r="F6166">
        <v>1</v>
      </c>
      <c r="G6166" t="str">
        <f>HYPERLINK("http://babel.hathitrust.org/cgi/pt?id=nyp.33433069243172")</f>
        <v>http://babel.hathitrust.org/cgi/pt?id=nyp.33433069243172</v>
      </c>
      <c r="H6166" t="str">
        <f>HYPERLINK("http://catalog.hathitrust.org/Record/008675498")</f>
        <v>http://catalog.hathitrust.org/Record/008675498</v>
      </c>
      <c r="J6166" s="1">
        <v>1830</v>
      </c>
      <c r="K6166" t="s">
        <v>6010</v>
      </c>
      <c r="L6166" t="s">
        <v>6011</v>
      </c>
    </row>
    <row r="6167" spans="1:12">
      <c r="A6167" t="s">
        <v>6013</v>
      </c>
      <c r="B6167" s="1" t="s">
        <v>6014</v>
      </c>
      <c r="F6167">
        <v>1</v>
      </c>
      <c r="G6167" t="str">
        <f>HYPERLINK("http://babel.hathitrust.org/cgi/pt?id=nyp.33433069243230")</f>
        <v>http://babel.hathitrust.org/cgi/pt?id=nyp.33433069243230</v>
      </c>
      <c r="H6167" t="str">
        <f>HYPERLINK("http://catalog.hathitrust.org/Record/008675507")</f>
        <v>http://catalog.hathitrust.org/Record/008675507</v>
      </c>
      <c r="J6167" s="1">
        <v>1901</v>
      </c>
      <c r="K6167" t="s">
        <v>12722</v>
      </c>
      <c r="L6167" t="s">
        <v>18400</v>
      </c>
    </row>
    <row r="6168" spans="1:12">
      <c r="A6168" t="s">
        <v>6015</v>
      </c>
      <c r="B6168" s="1" t="s">
        <v>6016</v>
      </c>
      <c r="E6168">
        <v>1</v>
      </c>
      <c r="F6168">
        <v>1</v>
      </c>
      <c r="G6168" t="str">
        <f>HYPERLINK("http://babel.hathitrust.org/cgi/pt?id=nyp.33433069242513")</f>
        <v>http://babel.hathitrust.org/cgi/pt?id=nyp.33433069242513</v>
      </c>
      <c r="H6168" t="str">
        <f>HYPERLINK("http://catalog.hathitrust.org/Record/008675517")</f>
        <v>http://catalog.hathitrust.org/Record/008675517</v>
      </c>
      <c r="J6168" s="1">
        <v>1792</v>
      </c>
      <c r="K6168" t="s">
        <v>6017</v>
      </c>
      <c r="L6168" t="s">
        <v>20807</v>
      </c>
    </row>
    <row r="6169" spans="1:12">
      <c r="A6169" t="s">
        <v>6018</v>
      </c>
      <c r="B6169" s="1" t="s">
        <v>6019</v>
      </c>
      <c r="F6169">
        <v>1</v>
      </c>
      <c r="G6169" t="str">
        <f>HYPERLINK("http://babel.hathitrust.org/cgi/pt?id=nyp.33433069242554")</f>
        <v>http://babel.hathitrust.org/cgi/pt?id=nyp.33433069242554</v>
      </c>
      <c r="H6169" t="str">
        <f>HYPERLINK("http://catalog.hathitrust.org/Record/008675519")</f>
        <v>http://catalog.hathitrust.org/Record/008675519</v>
      </c>
      <c r="J6169" s="1">
        <v>1884</v>
      </c>
      <c r="K6169" t="s">
        <v>20640</v>
      </c>
      <c r="L6169" t="s">
        <v>12623</v>
      </c>
    </row>
    <row r="6170" spans="1:12">
      <c r="A6170" t="s">
        <v>6020</v>
      </c>
      <c r="B6170" s="1" t="s">
        <v>6021</v>
      </c>
      <c r="F6170">
        <v>1</v>
      </c>
      <c r="G6170" t="str">
        <f>HYPERLINK("http://babel.hathitrust.org/cgi/pt?id=nyp.33433082311220")</f>
        <v>http://babel.hathitrust.org/cgi/pt?id=nyp.33433082311220</v>
      </c>
      <c r="H6170" t="str">
        <f>HYPERLINK("http://catalog.hathitrust.org/Record/008675520")</f>
        <v>http://catalog.hathitrust.org/Record/008675520</v>
      </c>
      <c r="J6170" s="1">
        <v>1888</v>
      </c>
      <c r="K6170" t="s">
        <v>6022</v>
      </c>
      <c r="L6170" t="s">
        <v>6023</v>
      </c>
    </row>
    <row r="6171" spans="1:12">
      <c r="A6171" t="s">
        <v>6024</v>
      </c>
      <c r="B6171" s="1" t="s">
        <v>6025</v>
      </c>
      <c r="F6171">
        <v>1</v>
      </c>
      <c r="G6171" t="str">
        <f>HYPERLINK("http://babel.hathitrust.org/cgi/pt?id=nyp.33433081988770")</f>
        <v>http://babel.hathitrust.org/cgi/pt?id=nyp.33433081988770</v>
      </c>
      <c r="H6171" t="str">
        <f>HYPERLINK("http://catalog.hathitrust.org/Record/008675521")</f>
        <v>http://catalog.hathitrust.org/Record/008675521</v>
      </c>
      <c r="J6171" s="1">
        <v>1885</v>
      </c>
      <c r="K6171" t="s">
        <v>6026</v>
      </c>
      <c r="L6171" t="s">
        <v>13364</v>
      </c>
    </row>
    <row r="6172" spans="1:12">
      <c r="A6172" t="s">
        <v>6027</v>
      </c>
      <c r="B6172" s="1" t="s">
        <v>6028</v>
      </c>
      <c r="F6172">
        <v>1</v>
      </c>
      <c r="G6172" t="str">
        <f>HYPERLINK("http://babel.hathitrust.org/cgi/pt?id=nyp.33433069242547")</f>
        <v>http://babel.hathitrust.org/cgi/pt?id=nyp.33433069242547</v>
      </c>
      <c r="H6172" t="str">
        <f>HYPERLINK("http://catalog.hathitrust.org/Record/008675524")</f>
        <v>http://catalog.hathitrust.org/Record/008675524</v>
      </c>
      <c r="J6172" s="1">
        <v>1894</v>
      </c>
      <c r="K6172" t="s">
        <v>6029</v>
      </c>
      <c r="L6172" t="s">
        <v>12623</v>
      </c>
    </row>
    <row r="6173" spans="1:12">
      <c r="A6173" t="s">
        <v>6030</v>
      </c>
      <c r="B6173" s="1" t="s">
        <v>6031</v>
      </c>
      <c r="F6173">
        <v>1</v>
      </c>
      <c r="G6173" t="str">
        <f>HYPERLINK("http://babel.hathitrust.org/cgi/pt?id=nyp.33433069242539")</f>
        <v>http://babel.hathitrust.org/cgi/pt?id=nyp.33433069242539</v>
      </c>
      <c r="H6173" t="str">
        <f>HYPERLINK("http://catalog.hathitrust.org/Record/008675550")</f>
        <v>http://catalog.hathitrust.org/Record/008675550</v>
      </c>
      <c r="J6173" s="1">
        <v>1903</v>
      </c>
      <c r="K6173" t="s">
        <v>6032</v>
      </c>
      <c r="L6173" t="s">
        <v>6033</v>
      </c>
    </row>
    <row r="6174" spans="1:12">
      <c r="A6174" t="s">
        <v>6034</v>
      </c>
      <c r="B6174" s="1" t="s">
        <v>6035</v>
      </c>
      <c r="F6174">
        <v>1</v>
      </c>
      <c r="G6174" t="str">
        <f>HYPERLINK("http://babel.hathitrust.org/cgi/pt?id=nyp.33433081990420")</f>
        <v>http://babel.hathitrust.org/cgi/pt?id=nyp.33433081990420</v>
      </c>
      <c r="H6174" t="str">
        <f>HYPERLINK("http://catalog.hathitrust.org/Record/008675551")</f>
        <v>http://catalog.hathitrust.org/Record/008675551</v>
      </c>
      <c r="J6174" s="1">
        <v>1908</v>
      </c>
      <c r="K6174" t="s">
        <v>6036</v>
      </c>
      <c r="L6174" t="s">
        <v>6033</v>
      </c>
    </row>
    <row r="6175" spans="1:12">
      <c r="A6175" t="s">
        <v>6037</v>
      </c>
      <c r="B6175" s="1" t="s">
        <v>6038</v>
      </c>
      <c r="F6175">
        <v>1</v>
      </c>
      <c r="G6175" t="str">
        <f>HYPERLINK("http://babel.hathitrust.org/cgi/pt?id=nyp.33433081990438")</f>
        <v>http://babel.hathitrust.org/cgi/pt?id=nyp.33433081990438</v>
      </c>
      <c r="H6175" t="str">
        <f>HYPERLINK("http://catalog.hathitrust.org/Record/008675552")</f>
        <v>http://catalog.hathitrust.org/Record/008675552</v>
      </c>
      <c r="J6175" s="1">
        <v>1910</v>
      </c>
      <c r="K6175" t="s">
        <v>6039</v>
      </c>
      <c r="L6175" t="s">
        <v>6033</v>
      </c>
    </row>
    <row r="6176" spans="1:12">
      <c r="A6176" t="s">
        <v>6040</v>
      </c>
      <c r="B6176" s="1" t="s">
        <v>6041</v>
      </c>
      <c r="D6176">
        <v>1</v>
      </c>
      <c r="G6176" t="str">
        <f>HYPERLINK("http://babel.hathitrust.org/cgi/pt?id=nyp.33433069244386")</f>
        <v>http://babel.hathitrust.org/cgi/pt?id=nyp.33433069244386</v>
      </c>
      <c r="H6176" t="str">
        <f>HYPERLINK("http://catalog.hathitrust.org/Record/008675563")</f>
        <v>http://catalog.hathitrust.org/Record/008675563</v>
      </c>
      <c r="J6176" s="1">
        <v>1819</v>
      </c>
      <c r="K6176" t="s">
        <v>6042</v>
      </c>
      <c r="L6176" t="s">
        <v>20043</v>
      </c>
    </row>
    <row r="6177" spans="1:12">
      <c r="A6177" t="s">
        <v>6043</v>
      </c>
      <c r="B6177" s="1" t="s">
        <v>5969</v>
      </c>
      <c r="D6177">
        <v>1</v>
      </c>
      <c r="G6177" t="str">
        <f>HYPERLINK("http://babel.hathitrust.org/cgi/pt?id=nyp.33433069255069")</f>
        <v>http://babel.hathitrust.org/cgi/pt?id=nyp.33433069255069</v>
      </c>
      <c r="H6177" t="str">
        <f>HYPERLINK("http://catalog.hathitrust.org/Record/008675565")</f>
        <v>http://catalog.hathitrust.org/Record/008675565</v>
      </c>
      <c r="J6177" s="1">
        <v>1821</v>
      </c>
      <c r="K6177" t="s">
        <v>5970</v>
      </c>
      <c r="L6177" t="s">
        <v>20043</v>
      </c>
    </row>
    <row r="6178" spans="1:12">
      <c r="A6178" t="s">
        <v>5971</v>
      </c>
      <c r="B6178" s="1" t="s">
        <v>5972</v>
      </c>
      <c r="F6178">
        <v>1</v>
      </c>
      <c r="G6178" t="str">
        <f>HYPERLINK("http://babel.hathitrust.org/cgi/pt?id=nyp.33433081988572")</f>
        <v>http://babel.hathitrust.org/cgi/pt?id=nyp.33433081988572</v>
      </c>
      <c r="H6178" t="str">
        <f>HYPERLINK("http://catalog.hathitrust.org/Record/008675566")</f>
        <v>http://catalog.hathitrust.org/Record/008675566</v>
      </c>
      <c r="J6178" s="1">
        <v>1819</v>
      </c>
      <c r="K6178" t="s">
        <v>8494</v>
      </c>
      <c r="L6178" t="s">
        <v>20043</v>
      </c>
    </row>
    <row r="6179" spans="1:12">
      <c r="A6179" t="s">
        <v>5973</v>
      </c>
      <c r="B6179" s="1" t="s">
        <v>5974</v>
      </c>
      <c r="F6179">
        <v>1</v>
      </c>
      <c r="G6179" t="str">
        <f>HYPERLINK("http://babel.hathitrust.org/cgi/pt?id=nyp.33433081988564")</f>
        <v>http://babel.hathitrust.org/cgi/pt?id=nyp.33433081988564</v>
      </c>
      <c r="H6179" t="str">
        <f>HYPERLINK("http://catalog.hathitrust.org/Record/008675567")</f>
        <v>http://catalog.hathitrust.org/Record/008675567</v>
      </c>
      <c r="J6179" s="1">
        <v>1819</v>
      </c>
      <c r="K6179" t="s">
        <v>5975</v>
      </c>
      <c r="L6179" t="s">
        <v>20043</v>
      </c>
    </row>
    <row r="6180" spans="1:12">
      <c r="A6180" t="s">
        <v>5976</v>
      </c>
      <c r="B6180" s="1" t="s">
        <v>5977</v>
      </c>
      <c r="F6180">
        <v>1</v>
      </c>
      <c r="G6180" t="str">
        <f>HYPERLINK("http://babel.hathitrust.org/cgi/pt?id=nyp.33433069255325")</f>
        <v>http://babel.hathitrust.org/cgi/pt?id=nyp.33433069255325</v>
      </c>
      <c r="H6180" t="str">
        <f>HYPERLINK("http://catalog.hathitrust.org/Record/008675568")</f>
        <v>http://catalog.hathitrust.org/Record/008675568</v>
      </c>
      <c r="I6180" s="1" t="s">
        <v>20796</v>
      </c>
      <c r="J6180" s="1">
        <v>1819</v>
      </c>
      <c r="K6180" t="s">
        <v>5978</v>
      </c>
      <c r="L6180" t="s">
        <v>20043</v>
      </c>
    </row>
    <row r="6181" spans="1:12">
      <c r="A6181" t="s">
        <v>5979</v>
      </c>
      <c r="B6181" s="1" t="s">
        <v>5980</v>
      </c>
      <c r="F6181">
        <v>1</v>
      </c>
      <c r="G6181" t="str">
        <f>HYPERLINK("http://babel.hathitrust.org/cgi/pt?id=hvd.hw26yf")</f>
        <v>http://babel.hathitrust.org/cgi/pt?id=hvd.hw26yf</v>
      </c>
      <c r="H6181" t="str">
        <f>HYPERLINK("http://catalog.hathitrust.org/Record/008675569")</f>
        <v>http://catalog.hathitrust.org/Record/008675569</v>
      </c>
      <c r="J6181" s="1">
        <v>1823</v>
      </c>
      <c r="K6181" t="s">
        <v>5978</v>
      </c>
      <c r="L6181" t="s">
        <v>20043</v>
      </c>
    </row>
    <row r="6182" spans="1:12">
      <c r="A6182" t="s">
        <v>5981</v>
      </c>
      <c r="B6182" s="1" t="s">
        <v>5980</v>
      </c>
      <c r="F6182">
        <v>1</v>
      </c>
      <c r="G6182" t="str">
        <f>HYPERLINK("http://babel.hathitrust.org/cgi/pt?id=nyp.33433069255333")</f>
        <v>http://babel.hathitrust.org/cgi/pt?id=nyp.33433069255333</v>
      </c>
      <c r="H6182" t="str">
        <f>HYPERLINK("http://catalog.hathitrust.org/Record/008675569")</f>
        <v>http://catalog.hathitrust.org/Record/008675569</v>
      </c>
      <c r="I6182" s="1" t="s">
        <v>20796</v>
      </c>
      <c r="J6182" s="1">
        <v>1823</v>
      </c>
      <c r="K6182" t="s">
        <v>5978</v>
      </c>
      <c r="L6182" t="s">
        <v>20043</v>
      </c>
    </row>
    <row r="6183" spans="1:12">
      <c r="A6183" t="s">
        <v>5982</v>
      </c>
      <c r="B6183" s="1" t="s">
        <v>5983</v>
      </c>
      <c r="D6183">
        <v>1</v>
      </c>
      <c r="G6183" t="str">
        <f>HYPERLINK("http://babel.hathitrust.org/cgi/pt?id=nyp.33433069244352")</f>
        <v>http://babel.hathitrust.org/cgi/pt?id=nyp.33433069244352</v>
      </c>
      <c r="H6183" t="str">
        <f>HYPERLINK("http://catalog.hathitrust.org/Record/008675570")</f>
        <v>http://catalog.hathitrust.org/Record/008675570</v>
      </c>
      <c r="J6183" s="1">
        <v>1825</v>
      </c>
      <c r="K6183" t="s">
        <v>5984</v>
      </c>
      <c r="L6183" t="s">
        <v>20043</v>
      </c>
    </row>
    <row r="6184" spans="1:12">
      <c r="A6184" t="s">
        <v>5985</v>
      </c>
      <c r="B6184" s="1" t="s">
        <v>5986</v>
      </c>
      <c r="F6184">
        <v>1</v>
      </c>
      <c r="G6184" t="str">
        <f>HYPERLINK("http://babel.hathitrust.org/cgi/pt?id=nyp.33433081988580")</f>
        <v>http://babel.hathitrust.org/cgi/pt?id=nyp.33433081988580</v>
      </c>
      <c r="H6184" t="str">
        <f>HYPERLINK("http://catalog.hathitrust.org/Record/008675571")</f>
        <v>http://catalog.hathitrust.org/Record/008675571</v>
      </c>
      <c r="J6184" s="1">
        <v>1826</v>
      </c>
      <c r="K6184" t="s">
        <v>5987</v>
      </c>
      <c r="L6184" t="s">
        <v>20043</v>
      </c>
    </row>
    <row r="6185" spans="1:12">
      <c r="A6185" t="s">
        <v>5988</v>
      </c>
      <c r="B6185" s="1" t="s">
        <v>5989</v>
      </c>
      <c r="F6185">
        <v>1</v>
      </c>
      <c r="G6185" t="str">
        <f>HYPERLINK("http://babel.hathitrust.org/cgi/pt?id=hvd.32044018912147")</f>
        <v>http://babel.hathitrust.org/cgi/pt?id=hvd.32044018912147</v>
      </c>
      <c r="H6185" t="str">
        <f>HYPERLINK("http://catalog.hathitrust.org/Record/008675572")</f>
        <v>http://catalog.hathitrust.org/Record/008675572</v>
      </c>
      <c r="J6185" s="1">
        <v>1829</v>
      </c>
      <c r="K6185" t="s">
        <v>6050</v>
      </c>
      <c r="L6185" t="s">
        <v>20043</v>
      </c>
    </row>
    <row r="6186" spans="1:12">
      <c r="A6186" t="s">
        <v>5990</v>
      </c>
      <c r="B6186" s="1" t="s">
        <v>5989</v>
      </c>
      <c r="F6186">
        <v>1</v>
      </c>
      <c r="G6186" t="str">
        <f>HYPERLINK("http://babel.hathitrust.org/cgi/pt?id=nyp.33433069256844")</f>
        <v>http://babel.hathitrust.org/cgi/pt?id=nyp.33433069256844</v>
      </c>
      <c r="H6186" t="str">
        <f>HYPERLINK("http://catalog.hathitrust.org/Record/008675572")</f>
        <v>http://catalog.hathitrust.org/Record/008675572</v>
      </c>
      <c r="I6186" s="1" t="s">
        <v>20701</v>
      </c>
      <c r="J6186" s="1">
        <v>1829</v>
      </c>
      <c r="K6186" t="s">
        <v>6050</v>
      </c>
      <c r="L6186" t="s">
        <v>20043</v>
      </c>
    </row>
    <row r="6187" spans="1:12">
      <c r="A6187" t="s">
        <v>5991</v>
      </c>
      <c r="B6187" s="1" t="s">
        <v>5992</v>
      </c>
      <c r="D6187">
        <v>1</v>
      </c>
      <c r="G6187" t="str">
        <f>HYPERLINK("http://babel.hathitrust.org/cgi/pt?id=nyp.33433081988598")</f>
        <v>http://babel.hathitrust.org/cgi/pt?id=nyp.33433081988598</v>
      </c>
      <c r="H6187" t="str">
        <f>HYPERLINK("http://catalog.hathitrust.org/Record/008675574")</f>
        <v>http://catalog.hathitrust.org/Record/008675574</v>
      </c>
      <c r="J6187" s="1">
        <v>1838</v>
      </c>
      <c r="K6187" t="s">
        <v>11740</v>
      </c>
      <c r="L6187" t="s">
        <v>20043</v>
      </c>
    </row>
    <row r="6188" spans="1:12">
      <c r="A6188" t="s">
        <v>5993</v>
      </c>
      <c r="B6188" s="1" t="s">
        <v>5994</v>
      </c>
      <c r="D6188">
        <v>1</v>
      </c>
      <c r="G6188" t="str">
        <f>HYPERLINK("http://babel.hathitrust.org/cgi/pt?id=nyp.33433069257420")</f>
        <v>http://babel.hathitrust.org/cgi/pt?id=nyp.33433069257420</v>
      </c>
      <c r="H6188" t="str">
        <f>HYPERLINK("http://catalog.hathitrust.org/Record/008675577")</f>
        <v>http://catalog.hathitrust.org/Record/008675577</v>
      </c>
      <c r="J6188" s="1">
        <v>1822</v>
      </c>
      <c r="K6188" t="s">
        <v>5995</v>
      </c>
      <c r="L6188" t="s">
        <v>5996</v>
      </c>
    </row>
    <row r="6189" spans="1:12">
      <c r="A6189" t="s">
        <v>5997</v>
      </c>
      <c r="B6189" s="1" t="s">
        <v>5998</v>
      </c>
      <c r="F6189">
        <v>1</v>
      </c>
      <c r="G6189" t="str">
        <f>HYPERLINK("http://babel.hathitrust.org/cgi/pt?id=nyp.33433069244329")</f>
        <v>http://babel.hathitrust.org/cgi/pt?id=nyp.33433069244329</v>
      </c>
      <c r="H6189" t="str">
        <f>HYPERLINK("http://catalog.hathitrust.org/Record/008675581")</f>
        <v>http://catalog.hathitrust.org/Record/008675581</v>
      </c>
      <c r="J6189" s="1">
        <v>1868</v>
      </c>
      <c r="K6189" t="s">
        <v>5999</v>
      </c>
      <c r="L6189" t="s">
        <v>17959</v>
      </c>
    </row>
    <row r="6190" spans="1:12">
      <c r="A6190" t="s">
        <v>6000</v>
      </c>
      <c r="B6190" s="1" t="s">
        <v>6001</v>
      </c>
      <c r="F6190">
        <v>1</v>
      </c>
      <c r="G6190" t="str">
        <f>HYPERLINK("http://babel.hathitrust.org/cgi/pt?id=hvd.hn1ezi")</f>
        <v>http://babel.hathitrust.org/cgi/pt?id=hvd.hn1ezi</v>
      </c>
      <c r="H6190" t="str">
        <f>HYPERLINK("http://catalog.hathitrust.org/Record/008675585")</f>
        <v>http://catalog.hathitrust.org/Record/008675585</v>
      </c>
      <c r="J6190" s="1">
        <v>1857</v>
      </c>
      <c r="K6190" t="s">
        <v>6002</v>
      </c>
      <c r="L6190" t="s">
        <v>11681</v>
      </c>
    </row>
    <row r="6191" spans="1:12">
      <c r="A6191" t="s">
        <v>6003</v>
      </c>
      <c r="B6191" s="1" t="s">
        <v>6001</v>
      </c>
      <c r="F6191">
        <v>1</v>
      </c>
      <c r="G6191" t="str">
        <f>HYPERLINK("http://babel.hathitrust.org/cgi/pt?id=nyp.33433069244006")</f>
        <v>http://babel.hathitrust.org/cgi/pt?id=nyp.33433069244006</v>
      </c>
      <c r="H6191" t="str">
        <f>HYPERLINK("http://catalog.hathitrust.org/Record/008675585")</f>
        <v>http://catalog.hathitrust.org/Record/008675585</v>
      </c>
      <c r="J6191" s="1">
        <v>1857</v>
      </c>
      <c r="K6191" t="s">
        <v>6002</v>
      </c>
      <c r="L6191" t="s">
        <v>11681</v>
      </c>
    </row>
    <row r="6192" spans="1:12">
      <c r="A6192" t="s">
        <v>6004</v>
      </c>
      <c r="B6192" s="1" t="s">
        <v>6005</v>
      </c>
      <c r="E6192">
        <v>1</v>
      </c>
      <c r="F6192">
        <v>1</v>
      </c>
      <c r="G6192" t="str">
        <f>HYPERLINK("http://babel.hathitrust.org/cgi/pt?id=nyp.33433069244345")</f>
        <v>http://babel.hathitrust.org/cgi/pt?id=nyp.33433069244345</v>
      </c>
      <c r="H6192" t="str">
        <f>HYPERLINK("http://catalog.hathitrust.org/Record/008675586")</f>
        <v>http://catalog.hathitrust.org/Record/008675586</v>
      </c>
      <c r="J6192" s="1">
        <v>1869</v>
      </c>
      <c r="K6192" t="s">
        <v>6002</v>
      </c>
      <c r="L6192" t="s">
        <v>11681</v>
      </c>
    </row>
    <row r="6193" spans="1:12">
      <c r="A6193" t="s">
        <v>5932</v>
      </c>
      <c r="B6193" s="1" t="s">
        <v>5933</v>
      </c>
      <c r="E6193">
        <v>1</v>
      </c>
      <c r="G6193" t="str">
        <f>HYPERLINK("http://babel.hathitrust.org/cgi/pt?id=nyp.33433069247389")</f>
        <v>http://babel.hathitrust.org/cgi/pt?id=nyp.33433069247389</v>
      </c>
      <c r="H6193" t="str">
        <f>HYPERLINK("http://catalog.hathitrust.org/Record/008675589")</f>
        <v>http://catalog.hathitrust.org/Record/008675589</v>
      </c>
      <c r="J6193" s="1">
        <v>1815</v>
      </c>
      <c r="K6193" t="s">
        <v>12178</v>
      </c>
      <c r="L6193" t="s">
        <v>20043</v>
      </c>
    </row>
    <row r="6194" spans="1:12">
      <c r="A6194" t="s">
        <v>5934</v>
      </c>
      <c r="B6194" s="1" t="s">
        <v>5935</v>
      </c>
      <c r="F6194">
        <v>1</v>
      </c>
      <c r="G6194" t="str">
        <f>HYPERLINK("http://babel.hathitrust.org/cgi/pt?id=nyp.33433081988630")</f>
        <v>http://babel.hathitrust.org/cgi/pt?id=nyp.33433081988630</v>
      </c>
      <c r="H6194" t="str">
        <f>HYPERLINK("http://catalog.hathitrust.org/Record/008675590")</f>
        <v>http://catalog.hathitrust.org/Record/008675590</v>
      </c>
      <c r="J6194" s="1">
        <v>1878</v>
      </c>
      <c r="K6194" t="s">
        <v>5936</v>
      </c>
      <c r="L6194" t="s">
        <v>5937</v>
      </c>
    </row>
    <row r="6195" spans="1:12">
      <c r="A6195" t="s">
        <v>5938</v>
      </c>
      <c r="B6195" s="1" t="s">
        <v>5939</v>
      </c>
      <c r="F6195">
        <v>1</v>
      </c>
      <c r="G6195" t="str">
        <f>HYPERLINK("http://babel.hathitrust.org/cgi/pt?id=nyp.33433069244287")</f>
        <v>http://babel.hathitrust.org/cgi/pt?id=nyp.33433069244287</v>
      </c>
      <c r="H6195" t="str">
        <f>HYPERLINK("http://catalog.hathitrust.org/Record/008675591")</f>
        <v>http://catalog.hathitrust.org/Record/008675591</v>
      </c>
      <c r="J6195" s="1">
        <v>1847</v>
      </c>
      <c r="K6195" t="s">
        <v>5940</v>
      </c>
      <c r="L6195" t="s">
        <v>6295</v>
      </c>
    </row>
    <row r="6196" spans="1:12">
      <c r="A6196" t="s">
        <v>5941</v>
      </c>
      <c r="B6196" s="1" t="s">
        <v>5942</v>
      </c>
      <c r="F6196">
        <v>1</v>
      </c>
      <c r="G6196" t="str">
        <f>HYPERLINK("http://babel.hathitrust.org/cgi/pt?id=nyp.33433069242596")</f>
        <v>http://babel.hathitrust.org/cgi/pt?id=nyp.33433069242596</v>
      </c>
      <c r="H6196" t="str">
        <f>HYPERLINK("http://catalog.hathitrust.org/Record/008675594")</f>
        <v>http://catalog.hathitrust.org/Record/008675594</v>
      </c>
      <c r="J6196" s="1">
        <v>1872</v>
      </c>
      <c r="K6196" t="s">
        <v>5943</v>
      </c>
      <c r="L6196" t="s">
        <v>20526</v>
      </c>
    </row>
    <row r="6197" spans="1:12">
      <c r="A6197" t="s">
        <v>5944</v>
      </c>
      <c r="B6197" s="1" t="s">
        <v>5945</v>
      </c>
      <c r="F6197">
        <v>1</v>
      </c>
      <c r="G6197" t="str">
        <f>HYPERLINK("http://babel.hathitrust.org/cgi/pt?id=nyp.33433069256646")</f>
        <v>http://babel.hathitrust.org/cgi/pt?id=nyp.33433069256646</v>
      </c>
      <c r="H6197" t="str">
        <f>HYPERLINK("http://catalog.hathitrust.org/Record/008675595")</f>
        <v>http://catalog.hathitrust.org/Record/008675595</v>
      </c>
      <c r="J6197" s="1">
        <v>1804</v>
      </c>
      <c r="K6197" t="s">
        <v>5946</v>
      </c>
      <c r="L6197" t="s">
        <v>18581</v>
      </c>
    </row>
    <row r="6198" spans="1:12">
      <c r="A6198" t="s">
        <v>5947</v>
      </c>
      <c r="B6198" s="1" t="s">
        <v>5948</v>
      </c>
      <c r="E6198">
        <v>1</v>
      </c>
      <c r="G6198" t="str">
        <f>HYPERLINK("http://babel.hathitrust.org/cgi/pt?id=nyp.33433081988960")</f>
        <v>http://babel.hathitrust.org/cgi/pt?id=nyp.33433081988960</v>
      </c>
      <c r="H6198" t="str">
        <f>HYPERLINK("http://catalog.hathitrust.org/Record/008675599")</f>
        <v>http://catalog.hathitrust.org/Record/008675599</v>
      </c>
      <c r="J6198" s="1">
        <v>1827</v>
      </c>
      <c r="K6198" t="s">
        <v>5949</v>
      </c>
      <c r="L6198" t="s">
        <v>20043</v>
      </c>
    </row>
    <row r="6199" spans="1:12">
      <c r="A6199" t="s">
        <v>5950</v>
      </c>
      <c r="B6199" s="1" t="s">
        <v>5951</v>
      </c>
      <c r="F6199">
        <v>1</v>
      </c>
      <c r="G6199" t="str">
        <f>HYPERLINK("http://babel.hathitrust.org/cgi/pt?id=nyp.33433069256554")</f>
        <v>http://babel.hathitrust.org/cgi/pt?id=nyp.33433069256554</v>
      </c>
      <c r="H6199" t="str">
        <f>HYPERLINK("http://catalog.hathitrust.org/Record/008675601")</f>
        <v>http://catalog.hathitrust.org/Record/008675601</v>
      </c>
      <c r="J6199" s="1">
        <v>1839</v>
      </c>
      <c r="K6199" t="s">
        <v>8112</v>
      </c>
      <c r="L6199" t="s">
        <v>18581</v>
      </c>
    </row>
    <row r="6200" spans="1:12">
      <c r="A6200" t="s">
        <v>5952</v>
      </c>
      <c r="B6200" s="1" t="s">
        <v>5953</v>
      </c>
      <c r="F6200">
        <v>1</v>
      </c>
      <c r="G6200" t="str">
        <f>HYPERLINK("http://babel.hathitrust.org/cgi/pt?id=nyp.33433069256547")</f>
        <v>http://babel.hathitrust.org/cgi/pt?id=nyp.33433069256547</v>
      </c>
      <c r="H6200" t="str">
        <f>HYPERLINK("http://catalog.hathitrust.org/Record/008675602")</f>
        <v>http://catalog.hathitrust.org/Record/008675602</v>
      </c>
      <c r="J6200" s="1">
        <v>1843</v>
      </c>
      <c r="K6200" t="s">
        <v>8112</v>
      </c>
      <c r="L6200" t="s">
        <v>18581</v>
      </c>
    </row>
    <row r="6201" spans="1:12">
      <c r="A6201" t="s">
        <v>5954</v>
      </c>
      <c r="B6201" s="1" t="s">
        <v>5955</v>
      </c>
      <c r="F6201">
        <v>1</v>
      </c>
      <c r="G6201" t="str">
        <f>HYPERLINK("http://babel.hathitrust.org/cgi/pt?id=hvd.32044097056865")</f>
        <v>http://babel.hathitrust.org/cgi/pt?id=hvd.32044097056865</v>
      </c>
      <c r="H6201" t="str">
        <f>HYPERLINK("http://catalog.hathitrust.org/Record/008675604")</f>
        <v>http://catalog.hathitrust.org/Record/008675604</v>
      </c>
      <c r="J6201" s="1">
        <v>1822</v>
      </c>
      <c r="K6201" t="s">
        <v>5956</v>
      </c>
      <c r="L6201" t="s">
        <v>18581</v>
      </c>
    </row>
    <row r="6202" spans="1:12">
      <c r="A6202" t="s">
        <v>5957</v>
      </c>
      <c r="B6202" s="1" t="s">
        <v>5955</v>
      </c>
      <c r="F6202">
        <v>1</v>
      </c>
      <c r="G6202" t="str">
        <f>HYPERLINK("http://babel.hathitrust.org/cgi/pt?id=nyp.33433069256612")</f>
        <v>http://babel.hathitrust.org/cgi/pt?id=nyp.33433069256612</v>
      </c>
      <c r="H6202" t="str">
        <f>HYPERLINK("http://catalog.hathitrust.org/Record/008675604")</f>
        <v>http://catalog.hathitrust.org/Record/008675604</v>
      </c>
      <c r="J6202" s="1">
        <v>1822</v>
      </c>
      <c r="K6202" t="s">
        <v>5956</v>
      </c>
      <c r="L6202" t="s">
        <v>18581</v>
      </c>
    </row>
    <row r="6203" spans="1:12">
      <c r="A6203" t="s">
        <v>5958</v>
      </c>
      <c r="B6203" s="1" t="s">
        <v>5959</v>
      </c>
      <c r="F6203">
        <v>1</v>
      </c>
      <c r="G6203" t="str">
        <f>HYPERLINK("http://babel.hathitrust.org/cgi/pt?id=nyp.33433069256679")</f>
        <v>http://babel.hathitrust.org/cgi/pt?id=nyp.33433069256679</v>
      </c>
      <c r="H6203" t="str">
        <f>HYPERLINK("http://catalog.hathitrust.org/Record/008675605")</f>
        <v>http://catalog.hathitrust.org/Record/008675605</v>
      </c>
      <c r="J6203" s="1">
        <v>1831</v>
      </c>
      <c r="K6203" t="s">
        <v>5960</v>
      </c>
      <c r="L6203" t="s">
        <v>18581</v>
      </c>
    </row>
    <row r="6204" spans="1:12">
      <c r="A6204" t="s">
        <v>5961</v>
      </c>
      <c r="B6204" s="1" t="s">
        <v>5962</v>
      </c>
      <c r="F6204">
        <v>1</v>
      </c>
      <c r="G6204" t="str">
        <f>HYPERLINK("http://babel.hathitrust.org/cgi/pt?id=nyp.33433069256604")</f>
        <v>http://babel.hathitrust.org/cgi/pt?id=nyp.33433069256604</v>
      </c>
      <c r="H6204" t="str">
        <f>HYPERLINK("http://catalog.hathitrust.org/Record/008675606")</f>
        <v>http://catalog.hathitrust.org/Record/008675606</v>
      </c>
      <c r="J6204" s="1">
        <v>1848</v>
      </c>
      <c r="K6204" t="s">
        <v>5963</v>
      </c>
      <c r="L6204" t="s">
        <v>14907</v>
      </c>
    </row>
    <row r="6205" spans="1:12">
      <c r="A6205" t="s">
        <v>5964</v>
      </c>
      <c r="B6205" s="1" t="s">
        <v>5965</v>
      </c>
      <c r="F6205">
        <v>1</v>
      </c>
      <c r="G6205" t="str">
        <f>HYPERLINK("http://babel.hathitrust.org/cgi/pt?id=nyp.33433069255440")</f>
        <v>http://babel.hathitrust.org/cgi/pt?id=nyp.33433069255440</v>
      </c>
      <c r="H6205" t="str">
        <f>HYPERLINK("http://catalog.hathitrust.org/Record/008675608")</f>
        <v>http://catalog.hathitrust.org/Record/008675608</v>
      </c>
      <c r="J6205" s="1">
        <v>1883</v>
      </c>
      <c r="K6205" t="s">
        <v>5966</v>
      </c>
      <c r="L6205" t="s">
        <v>8045</v>
      </c>
    </row>
    <row r="6206" spans="1:12">
      <c r="A6206" t="s">
        <v>5967</v>
      </c>
      <c r="B6206" s="1" t="s">
        <v>5968</v>
      </c>
      <c r="E6206">
        <v>1</v>
      </c>
      <c r="G6206" t="str">
        <f>HYPERLINK("http://babel.hathitrust.org/cgi/pt?id=nyp.33433069247363")</f>
        <v>http://babel.hathitrust.org/cgi/pt?id=nyp.33433069247363</v>
      </c>
      <c r="H6206" t="str">
        <f>HYPERLINK("http://catalog.hathitrust.org/Record/008675611")</f>
        <v>http://catalog.hathitrust.org/Record/008675611</v>
      </c>
      <c r="J6206" s="1">
        <v>1813</v>
      </c>
      <c r="K6206" t="s">
        <v>5898</v>
      </c>
      <c r="L6206" t="s">
        <v>20043</v>
      </c>
    </row>
    <row r="6207" spans="1:12">
      <c r="A6207" t="s">
        <v>5899</v>
      </c>
      <c r="B6207" s="1" t="s">
        <v>5900</v>
      </c>
      <c r="E6207">
        <v>1</v>
      </c>
      <c r="G6207" t="str">
        <f>HYPERLINK("http://babel.hathitrust.org/cgi/pt?id=nyp.33433069247371")</f>
        <v>http://babel.hathitrust.org/cgi/pt?id=nyp.33433069247371</v>
      </c>
      <c r="H6207" t="str">
        <f>HYPERLINK("http://catalog.hathitrust.org/Record/008675612")</f>
        <v>http://catalog.hathitrust.org/Record/008675612</v>
      </c>
      <c r="J6207" s="1">
        <v>1814</v>
      </c>
      <c r="K6207" t="s">
        <v>5901</v>
      </c>
      <c r="L6207" t="s">
        <v>20043</v>
      </c>
    </row>
    <row r="6208" spans="1:12">
      <c r="A6208" t="s">
        <v>5902</v>
      </c>
      <c r="B6208" s="1" t="s">
        <v>5903</v>
      </c>
      <c r="F6208">
        <v>1</v>
      </c>
      <c r="G6208" t="str">
        <f>HYPERLINK("http://babel.hathitrust.org/cgi/pt?id=nyp.33433081988283")</f>
        <v>http://babel.hathitrust.org/cgi/pt?id=nyp.33433081988283</v>
      </c>
      <c r="H6208" t="str">
        <f>HYPERLINK("http://catalog.hathitrust.org/Record/008675617")</f>
        <v>http://catalog.hathitrust.org/Record/008675617</v>
      </c>
      <c r="J6208" s="1">
        <v>1824</v>
      </c>
      <c r="K6208" t="s">
        <v>5904</v>
      </c>
      <c r="L6208" t="s">
        <v>5905</v>
      </c>
    </row>
    <row r="6209" spans="1:12">
      <c r="A6209" t="s">
        <v>5906</v>
      </c>
      <c r="B6209" s="1" t="s">
        <v>5903</v>
      </c>
      <c r="F6209">
        <v>1</v>
      </c>
      <c r="G6209" t="str">
        <f>HYPERLINK("http://babel.hathitrust.org/cgi/pt?id=wu.89099896540")</f>
        <v>http://babel.hathitrust.org/cgi/pt?id=wu.89099896540</v>
      </c>
      <c r="H6209" t="str">
        <f>HYPERLINK("http://catalog.hathitrust.org/Record/008675617")</f>
        <v>http://catalog.hathitrust.org/Record/008675617</v>
      </c>
      <c r="J6209" s="1">
        <v>1824</v>
      </c>
      <c r="K6209" t="s">
        <v>5904</v>
      </c>
      <c r="L6209" t="s">
        <v>5905</v>
      </c>
    </row>
    <row r="6210" spans="1:12">
      <c r="A6210" t="s">
        <v>5907</v>
      </c>
      <c r="B6210" s="1" t="s">
        <v>5908</v>
      </c>
      <c r="E6210">
        <v>1</v>
      </c>
      <c r="G6210" t="str">
        <f>HYPERLINK("http://babel.hathitrust.org/cgi/pt?id=nyp.33433081989000")</f>
        <v>http://babel.hathitrust.org/cgi/pt?id=nyp.33433081989000</v>
      </c>
      <c r="H6210" t="str">
        <f>HYPERLINK("http://catalog.hathitrust.org/Record/008675620")</f>
        <v>http://catalog.hathitrust.org/Record/008675620</v>
      </c>
      <c r="J6210" s="1">
        <v>1817</v>
      </c>
      <c r="K6210" t="s">
        <v>5909</v>
      </c>
      <c r="L6210" t="s">
        <v>20043</v>
      </c>
    </row>
    <row r="6211" spans="1:12">
      <c r="A6211" t="s">
        <v>5910</v>
      </c>
      <c r="B6211" s="1" t="s">
        <v>5911</v>
      </c>
      <c r="F6211">
        <v>1</v>
      </c>
      <c r="G6211" t="str">
        <f>HYPERLINK("http://babel.hathitrust.org/cgi/pt?id=nyp.33433069255465")</f>
        <v>http://babel.hathitrust.org/cgi/pt?id=nyp.33433069255465</v>
      </c>
      <c r="H6211" t="str">
        <f>HYPERLINK("http://catalog.hathitrust.org/Record/008675627")</f>
        <v>http://catalog.hathitrust.org/Record/008675627</v>
      </c>
      <c r="J6211" s="1">
        <v>1921</v>
      </c>
      <c r="K6211" t="s">
        <v>5912</v>
      </c>
      <c r="L6211" t="s">
        <v>12188</v>
      </c>
    </row>
    <row r="6212" spans="1:12">
      <c r="A6212" t="s">
        <v>5913</v>
      </c>
      <c r="B6212" s="1" t="s">
        <v>5914</v>
      </c>
      <c r="E6212">
        <v>1</v>
      </c>
      <c r="F6212">
        <v>1</v>
      </c>
      <c r="G6212" t="str">
        <f>HYPERLINK("http://babel.hathitrust.org/cgi/pt?id=nyp.33433069255481")</f>
        <v>http://babel.hathitrust.org/cgi/pt?id=nyp.33433069255481</v>
      </c>
      <c r="H6212" t="str">
        <f>HYPERLINK("http://catalog.hathitrust.org/Record/008675630")</f>
        <v>http://catalog.hathitrust.org/Record/008675630</v>
      </c>
      <c r="J6212" s="1">
        <v>1900</v>
      </c>
      <c r="K6212" t="s">
        <v>5915</v>
      </c>
      <c r="L6212" t="s">
        <v>13935</v>
      </c>
    </row>
    <row r="6213" spans="1:12">
      <c r="A6213" t="s">
        <v>5916</v>
      </c>
      <c r="B6213" s="1" t="s">
        <v>5917</v>
      </c>
      <c r="F6213">
        <v>1</v>
      </c>
      <c r="G6213" t="str">
        <f>HYPERLINK("http://babel.hathitrust.org/cgi/pt?id=nyp.33433069255036")</f>
        <v>http://babel.hathitrust.org/cgi/pt?id=nyp.33433069255036</v>
      </c>
      <c r="H6213" t="str">
        <f>HYPERLINK("http://catalog.hathitrust.org/Record/008675633")</f>
        <v>http://catalog.hathitrust.org/Record/008675633</v>
      </c>
      <c r="J6213" s="1">
        <v>1900</v>
      </c>
      <c r="K6213" t="s">
        <v>5918</v>
      </c>
      <c r="L6213" t="s">
        <v>10406</v>
      </c>
    </row>
    <row r="6214" spans="1:12">
      <c r="A6214" t="s">
        <v>5919</v>
      </c>
      <c r="B6214" s="1" t="s">
        <v>5920</v>
      </c>
      <c r="F6214">
        <v>1</v>
      </c>
      <c r="G6214" t="str">
        <f>HYPERLINK("http://babel.hathitrust.org/cgi/pt?id=nyp.33433081988648")</f>
        <v>http://babel.hathitrust.org/cgi/pt?id=nyp.33433081988648</v>
      </c>
      <c r="H6214" t="str">
        <f>HYPERLINK("http://catalog.hathitrust.org/Record/008675634")</f>
        <v>http://catalog.hathitrust.org/Record/008675634</v>
      </c>
      <c r="J6214" s="1">
        <v>1903</v>
      </c>
      <c r="K6214" t="s">
        <v>5921</v>
      </c>
      <c r="L6214" t="s">
        <v>10406</v>
      </c>
    </row>
    <row r="6215" spans="1:12">
      <c r="A6215" t="s">
        <v>5922</v>
      </c>
      <c r="B6215" s="1" t="s">
        <v>5923</v>
      </c>
      <c r="F6215">
        <v>1</v>
      </c>
      <c r="G6215" t="str">
        <f>HYPERLINK("http://babel.hathitrust.org/cgi/pt?id=nyp.33433081988655")</f>
        <v>http://babel.hathitrust.org/cgi/pt?id=nyp.33433081988655</v>
      </c>
      <c r="H6215" t="str">
        <f>HYPERLINK("http://catalog.hathitrust.org/Record/008675636")</f>
        <v>http://catalog.hathitrust.org/Record/008675636</v>
      </c>
      <c r="J6215" s="1">
        <v>1906</v>
      </c>
      <c r="K6215" t="s">
        <v>5918</v>
      </c>
      <c r="L6215" t="s">
        <v>10406</v>
      </c>
    </row>
    <row r="6216" spans="1:12">
      <c r="A6216" t="s">
        <v>5924</v>
      </c>
      <c r="B6216" s="1" t="s">
        <v>5925</v>
      </c>
      <c r="F6216">
        <v>1</v>
      </c>
      <c r="G6216" t="str">
        <f>HYPERLINK("http://babel.hathitrust.org/cgi/pt?id=nyp.33433082311204")</f>
        <v>http://babel.hathitrust.org/cgi/pt?id=nyp.33433082311204</v>
      </c>
      <c r="H6216" t="str">
        <f>HYPERLINK("http://catalog.hathitrust.org/Record/008675637")</f>
        <v>http://catalog.hathitrust.org/Record/008675637</v>
      </c>
      <c r="J6216" s="1">
        <v>1859</v>
      </c>
      <c r="K6216" t="s">
        <v>8624</v>
      </c>
      <c r="L6216" t="s">
        <v>12780</v>
      </c>
    </row>
    <row r="6217" spans="1:12">
      <c r="A6217" t="s">
        <v>5926</v>
      </c>
      <c r="B6217" s="1" t="s">
        <v>5927</v>
      </c>
      <c r="F6217">
        <v>1</v>
      </c>
      <c r="G6217" t="str">
        <f>HYPERLINK("http://babel.hathitrust.org/cgi/pt?id=nyp.33433069256422")</f>
        <v>http://babel.hathitrust.org/cgi/pt?id=nyp.33433069256422</v>
      </c>
      <c r="H6217" t="str">
        <f>HYPERLINK("http://catalog.hathitrust.org/Record/008675639")</f>
        <v>http://catalog.hathitrust.org/Record/008675639</v>
      </c>
      <c r="J6217" s="1">
        <v>1874</v>
      </c>
      <c r="K6217" t="s">
        <v>5928</v>
      </c>
      <c r="L6217" t="s">
        <v>5929</v>
      </c>
    </row>
    <row r="6218" spans="1:12">
      <c r="A6218" t="s">
        <v>5930</v>
      </c>
      <c r="B6218" s="1" t="s">
        <v>5931</v>
      </c>
      <c r="E6218">
        <v>1</v>
      </c>
      <c r="F6218">
        <v>1</v>
      </c>
      <c r="G6218" t="str">
        <f>HYPERLINK("http://babel.hathitrust.org/cgi/pt?id=nyp.33433069244337")</f>
        <v>http://babel.hathitrust.org/cgi/pt?id=nyp.33433069244337</v>
      </c>
      <c r="H6218" t="str">
        <f>HYPERLINK("http://catalog.hathitrust.org/Record/008675643")</f>
        <v>http://catalog.hathitrust.org/Record/008675643</v>
      </c>
      <c r="J6218" s="1">
        <v>1841</v>
      </c>
      <c r="K6218" t="s">
        <v>5850</v>
      </c>
      <c r="L6218" t="s">
        <v>11681</v>
      </c>
    </row>
    <row r="6219" spans="1:12">
      <c r="A6219" t="s">
        <v>5851</v>
      </c>
      <c r="B6219" s="1" t="s">
        <v>5852</v>
      </c>
      <c r="E6219">
        <v>1</v>
      </c>
      <c r="F6219">
        <v>1</v>
      </c>
      <c r="G6219" t="str">
        <f>HYPERLINK("http://babel.hathitrust.org/cgi/pt?id=nyp.33433069242752")</f>
        <v>http://babel.hathitrust.org/cgi/pt?id=nyp.33433069242752</v>
      </c>
      <c r="H6219" t="str">
        <f>HYPERLINK("http://catalog.hathitrust.org/Record/008675645")</f>
        <v>http://catalog.hathitrust.org/Record/008675645</v>
      </c>
      <c r="J6219" s="1">
        <v>1797</v>
      </c>
      <c r="K6219" t="s">
        <v>5853</v>
      </c>
    </row>
    <row r="6220" spans="1:12">
      <c r="A6220" t="s">
        <v>5854</v>
      </c>
      <c r="B6220" s="1" t="s">
        <v>5855</v>
      </c>
      <c r="F6220">
        <v>1</v>
      </c>
      <c r="G6220" t="str">
        <f>HYPERLINK("http://babel.hathitrust.org/cgi/pt?id=nyp.33433069242562")</f>
        <v>http://babel.hathitrust.org/cgi/pt?id=nyp.33433069242562</v>
      </c>
      <c r="H6220" t="str">
        <f>HYPERLINK("http://catalog.hathitrust.org/Record/008675655")</f>
        <v>http://catalog.hathitrust.org/Record/008675655</v>
      </c>
      <c r="J6220" s="1">
        <v>1823</v>
      </c>
      <c r="K6220" t="s">
        <v>5856</v>
      </c>
      <c r="L6220" t="s">
        <v>5857</v>
      </c>
    </row>
    <row r="6221" spans="1:12">
      <c r="A6221" t="s">
        <v>5858</v>
      </c>
      <c r="B6221" s="1" t="s">
        <v>5859</v>
      </c>
      <c r="E6221">
        <v>1</v>
      </c>
      <c r="F6221">
        <v>1</v>
      </c>
      <c r="G6221" t="str">
        <f>HYPERLINK("http://babel.hathitrust.org/cgi/pt?id=nyp.33433069244360")</f>
        <v>http://babel.hathitrust.org/cgi/pt?id=nyp.33433069244360</v>
      </c>
      <c r="H6221" t="str">
        <f>HYPERLINK("http://catalog.hathitrust.org/Record/008675665")</f>
        <v>http://catalog.hathitrust.org/Record/008675665</v>
      </c>
      <c r="J6221" s="1">
        <v>1849</v>
      </c>
      <c r="K6221" t="s">
        <v>5860</v>
      </c>
      <c r="L6221" t="s">
        <v>11681</v>
      </c>
    </row>
    <row r="6222" spans="1:12">
      <c r="A6222" t="s">
        <v>5861</v>
      </c>
      <c r="B6222" s="1" t="s">
        <v>5862</v>
      </c>
      <c r="F6222">
        <v>1</v>
      </c>
      <c r="G6222" t="str">
        <f>HYPERLINK("http://babel.hathitrust.org/cgi/pt?id=nyp.33433081989364")</f>
        <v>http://babel.hathitrust.org/cgi/pt?id=nyp.33433081989364</v>
      </c>
      <c r="H6222" t="str">
        <f>HYPERLINK("http://catalog.hathitrust.org/Record/008675696")</f>
        <v>http://catalog.hathitrust.org/Record/008675696</v>
      </c>
      <c r="J6222" s="1">
        <v>1901</v>
      </c>
      <c r="K6222" t="s">
        <v>5863</v>
      </c>
      <c r="L6222" t="s">
        <v>5864</v>
      </c>
    </row>
    <row r="6223" spans="1:12">
      <c r="A6223" t="s">
        <v>5865</v>
      </c>
      <c r="B6223" s="1" t="s">
        <v>5866</v>
      </c>
      <c r="F6223">
        <v>1</v>
      </c>
      <c r="G6223" t="str">
        <f>HYPERLINK("http://babel.hathitrust.org/cgi/pt?id=nyp.33433081988671")</f>
        <v>http://babel.hathitrust.org/cgi/pt?id=nyp.33433081988671</v>
      </c>
      <c r="H6223" t="str">
        <f>HYPERLINK("http://catalog.hathitrust.org/Record/008675730")</f>
        <v>http://catalog.hathitrust.org/Record/008675730</v>
      </c>
      <c r="J6223" s="1">
        <v>1826</v>
      </c>
      <c r="K6223" t="s">
        <v>5867</v>
      </c>
      <c r="L6223" t="s">
        <v>5868</v>
      </c>
    </row>
    <row r="6224" spans="1:12">
      <c r="A6224" t="s">
        <v>5869</v>
      </c>
      <c r="B6224" s="1" t="s">
        <v>5870</v>
      </c>
      <c r="F6224">
        <v>1</v>
      </c>
      <c r="G6224" t="str">
        <f>HYPERLINK("http://babel.hathitrust.org/cgi/pt?id=nyp.33433069256414")</f>
        <v>http://babel.hathitrust.org/cgi/pt?id=nyp.33433069256414</v>
      </c>
      <c r="H6224" t="str">
        <f>HYPERLINK("http://catalog.hathitrust.org/Record/008675732")</f>
        <v>http://catalog.hathitrust.org/Record/008675732</v>
      </c>
      <c r="J6224" s="1">
        <v>1913</v>
      </c>
      <c r="K6224" t="s">
        <v>5871</v>
      </c>
      <c r="L6224" t="s">
        <v>9638</v>
      </c>
    </row>
    <row r="6225" spans="1:12">
      <c r="A6225" t="s">
        <v>5872</v>
      </c>
      <c r="B6225" s="1" t="s">
        <v>5873</v>
      </c>
      <c r="F6225">
        <v>1</v>
      </c>
      <c r="G6225" t="str">
        <f>HYPERLINK("http://babel.hathitrust.org/cgi/pt?id=nyp.33433069256406")</f>
        <v>http://babel.hathitrust.org/cgi/pt?id=nyp.33433069256406</v>
      </c>
      <c r="H6225" t="str">
        <f>HYPERLINK("http://catalog.hathitrust.org/Record/008675733")</f>
        <v>http://catalog.hathitrust.org/Record/008675733</v>
      </c>
      <c r="J6225" s="1">
        <v>1912</v>
      </c>
      <c r="K6225" t="s">
        <v>5874</v>
      </c>
      <c r="L6225" t="s">
        <v>5875</v>
      </c>
    </row>
    <row r="6226" spans="1:12">
      <c r="A6226" t="s">
        <v>5876</v>
      </c>
      <c r="B6226" s="1" t="s">
        <v>5877</v>
      </c>
      <c r="F6226">
        <v>1</v>
      </c>
      <c r="G6226" t="str">
        <f>HYPERLINK("http://babel.hathitrust.org/cgi/pt?id=nyp.33433081988317")</f>
        <v>http://babel.hathitrust.org/cgi/pt?id=nyp.33433081988317</v>
      </c>
      <c r="H6226" t="str">
        <f>HYPERLINK("http://catalog.hathitrust.org/Record/008675736")</f>
        <v>http://catalog.hathitrust.org/Record/008675736</v>
      </c>
      <c r="J6226" s="1">
        <v>1920</v>
      </c>
      <c r="K6226" t="s">
        <v>5878</v>
      </c>
      <c r="L6226" t="s">
        <v>11082</v>
      </c>
    </row>
    <row r="6227" spans="1:12">
      <c r="A6227" t="s">
        <v>5879</v>
      </c>
      <c r="B6227" s="1" t="s">
        <v>5880</v>
      </c>
      <c r="F6227">
        <v>1</v>
      </c>
      <c r="G6227" t="str">
        <f>HYPERLINK("http://babel.hathitrust.org/cgi/pt?id=nyp.33433082311170")</f>
        <v>http://babel.hathitrust.org/cgi/pt?id=nyp.33433082311170</v>
      </c>
      <c r="H6227" t="str">
        <f>HYPERLINK("http://catalog.hathitrust.org/Record/008675737")</f>
        <v>http://catalog.hathitrust.org/Record/008675737</v>
      </c>
      <c r="J6227" s="1">
        <v>1888</v>
      </c>
      <c r="K6227" t="s">
        <v>5881</v>
      </c>
      <c r="L6227" t="s">
        <v>5882</v>
      </c>
    </row>
    <row r="6228" spans="1:12">
      <c r="A6228" t="s">
        <v>5883</v>
      </c>
      <c r="B6228" s="1" t="s">
        <v>5884</v>
      </c>
      <c r="F6228">
        <v>1</v>
      </c>
      <c r="G6228" t="str">
        <f>HYPERLINK("http://babel.hathitrust.org/cgi/pt?id=nyp.33433069256349")</f>
        <v>http://babel.hathitrust.org/cgi/pt?id=nyp.33433069256349</v>
      </c>
      <c r="H6228" t="str">
        <f>HYPERLINK("http://catalog.hathitrust.org/Record/008675739")</f>
        <v>http://catalog.hathitrust.org/Record/008675739</v>
      </c>
      <c r="J6228" s="1">
        <v>1870</v>
      </c>
      <c r="K6228" t="s">
        <v>5885</v>
      </c>
      <c r="L6228" t="s">
        <v>17034</v>
      </c>
    </row>
    <row r="6229" spans="1:12">
      <c r="A6229" t="s">
        <v>5886</v>
      </c>
      <c r="B6229" s="1" t="s">
        <v>5887</v>
      </c>
      <c r="F6229">
        <v>1</v>
      </c>
      <c r="G6229" t="str">
        <f>HYPERLINK("http://babel.hathitrust.org/cgi/pt?id=nyp.33433082311188")</f>
        <v>http://babel.hathitrust.org/cgi/pt?id=nyp.33433082311188</v>
      </c>
      <c r="H6229" t="str">
        <f>HYPERLINK("http://catalog.hathitrust.org/Record/008675740")</f>
        <v>http://catalog.hathitrust.org/Record/008675740</v>
      </c>
      <c r="J6229" s="1">
        <v>1896</v>
      </c>
      <c r="K6229" t="s">
        <v>5888</v>
      </c>
      <c r="L6229" t="s">
        <v>5889</v>
      </c>
    </row>
    <row r="6230" spans="1:12">
      <c r="A6230" t="s">
        <v>5890</v>
      </c>
      <c r="B6230" s="1" t="s">
        <v>5891</v>
      </c>
      <c r="F6230">
        <v>1</v>
      </c>
      <c r="G6230" t="str">
        <f>HYPERLINK("http://babel.hathitrust.org/cgi/pt?id=nyp.33433081988689")</f>
        <v>http://babel.hathitrust.org/cgi/pt?id=nyp.33433081988689</v>
      </c>
      <c r="H6230" t="str">
        <f>HYPERLINK("http://catalog.hathitrust.org/Record/008675742")</f>
        <v>http://catalog.hathitrust.org/Record/008675742</v>
      </c>
      <c r="J6230" s="1">
        <v>1902</v>
      </c>
      <c r="K6230" t="s">
        <v>5892</v>
      </c>
      <c r="L6230" t="s">
        <v>5893</v>
      </c>
    </row>
    <row r="6231" spans="1:12">
      <c r="A6231" t="s">
        <v>5894</v>
      </c>
      <c r="B6231" s="1" t="s">
        <v>5895</v>
      </c>
      <c r="F6231">
        <v>1</v>
      </c>
      <c r="G6231" t="str">
        <f>HYPERLINK("http://babel.hathitrust.org/cgi/pt?id=nyp.33433082310990")</f>
        <v>http://babel.hathitrust.org/cgi/pt?id=nyp.33433082310990</v>
      </c>
      <c r="H6231" t="str">
        <f>HYPERLINK("http://catalog.hathitrust.org/Record/008675743")</f>
        <v>http://catalog.hathitrust.org/Record/008675743</v>
      </c>
      <c r="J6231" s="1">
        <v>1890</v>
      </c>
      <c r="K6231" t="s">
        <v>5896</v>
      </c>
      <c r="L6231" t="s">
        <v>5897</v>
      </c>
    </row>
    <row r="6232" spans="1:12">
      <c r="A6232" t="s">
        <v>5804</v>
      </c>
      <c r="B6232" s="1" t="s">
        <v>5805</v>
      </c>
      <c r="F6232">
        <v>1</v>
      </c>
      <c r="G6232" t="str">
        <f>HYPERLINK("http://babel.hathitrust.org/cgi/pt?id=nyp.33433082311006")</f>
        <v>http://babel.hathitrust.org/cgi/pt?id=nyp.33433082311006</v>
      </c>
      <c r="H6232" t="str">
        <f>HYPERLINK("http://catalog.hathitrust.org/Record/008675745")</f>
        <v>http://catalog.hathitrust.org/Record/008675745</v>
      </c>
      <c r="J6232" s="1">
        <v>1908</v>
      </c>
      <c r="K6232" t="s">
        <v>5915</v>
      </c>
      <c r="L6232" t="s">
        <v>5806</v>
      </c>
    </row>
    <row r="6233" spans="1:12">
      <c r="A6233" t="s">
        <v>5807</v>
      </c>
      <c r="B6233" s="1" t="s">
        <v>5808</v>
      </c>
      <c r="F6233">
        <v>1</v>
      </c>
      <c r="G6233" t="str">
        <f>HYPERLINK("http://babel.hathitrust.org/cgi/pt?id=nyp.33433069247322")</f>
        <v>http://babel.hathitrust.org/cgi/pt?id=nyp.33433069247322</v>
      </c>
      <c r="H6233" t="str">
        <f>HYPERLINK("http://catalog.hathitrust.org/Record/008675746")</f>
        <v>http://catalog.hathitrust.org/Record/008675746</v>
      </c>
      <c r="J6233" s="1">
        <v>1829</v>
      </c>
      <c r="K6233" t="s">
        <v>5809</v>
      </c>
      <c r="L6233" t="s">
        <v>5810</v>
      </c>
    </row>
    <row r="6234" spans="1:12">
      <c r="A6234" t="s">
        <v>5811</v>
      </c>
      <c r="B6234" s="1" t="s">
        <v>5812</v>
      </c>
      <c r="F6234">
        <v>1</v>
      </c>
      <c r="G6234" t="str">
        <f>HYPERLINK("http://babel.hathitrust.org/cgi/pt?id=nyp.33433069248262")</f>
        <v>http://babel.hathitrust.org/cgi/pt?id=nyp.33433069248262</v>
      </c>
      <c r="H6234" t="str">
        <f>HYPERLINK("http://catalog.hathitrust.org/Record/008675747")</f>
        <v>http://catalog.hathitrust.org/Record/008675747</v>
      </c>
      <c r="J6234" s="1">
        <v>1909</v>
      </c>
      <c r="K6234" t="s">
        <v>5813</v>
      </c>
      <c r="L6234" t="s">
        <v>6151</v>
      </c>
    </row>
    <row r="6235" spans="1:12">
      <c r="A6235" t="s">
        <v>5814</v>
      </c>
      <c r="B6235" s="1" t="s">
        <v>5815</v>
      </c>
      <c r="E6235">
        <v>1</v>
      </c>
      <c r="F6235">
        <v>1</v>
      </c>
      <c r="G6235" t="str">
        <f>HYPERLINK("http://babel.hathitrust.org/cgi/pt?id=nyp.33433069247330")</f>
        <v>http://babel.hathitrust.org/cgi/pt?id=nyp.33433069247330</v>
      </c>
      <c r="H6235" t="str">
        <f>HYPERLINK("http://catalog.hathitrust.org/Record/008675750")</f>
        <v>http://catalog.hathitrust.org/Record/008675750</v>
      </c>
      <c r="J6235" s="1">
        <v>1874</v>
      </c>
      <c r="K6235" t="s">
        <v>5816</v>
      </c>
      <c r="L6235" t="s">
        <v>12718</v>
      </c>
    </row>
    <row r="6236" spans="1:12">
      <c r="A6236" t="s">
        <v>5817</v>
      </c>
      <c r="B6236" s="1" t="s">
        <v>5818</v>
      </c>
      <c r="F6236">
        <v>1</v>
      </c>
      <c r="G6236" t="str">
        <f>HYPERLINK("http://babel.hathitrust.org/cgi/pt?id=nyp.33433069241895")</f>
        <v>http://babel.hathitrust.org/cgi/pt?id=nyp.33433069241895</v>
      </c>
      <c r="H6236" t="str">
        <f>HYPERLINK("http://catalog.hathitrust.org/Record/008675793")</f>
        <v>http://catalog.hathitrust.org/Record/008675793</v>
      </c>
      <c r="J6236" s="1">
        <v>1884</v>
      </c>
      <c r="K6236" t="s">
        <v>5819</v>
      </c>
      <c r="L6236" t="s">
        <v>5820</v>
      </c>
    </row>
    <row r="6237" spans="1:12">
      <c r="A6237" t="s">
        <v>5821</v>
      </c>
      <c r="B6237" s="1" t="s">
        <v>5822</v>
      </c>
      <c r="F6237">
        <v>1</v>
      </c>
      <c r="G6237" t="str">
        <f>HYPERLINK("http://babel.hathitrust.org/cgi/pt?id=nyp.33433069246597")</f>
        <v>http://babel.hathitrust.org/cgi/pt?id=nyp.33433069246597</v>
      </c>
      <c r="H6237" t="str">
        <f>HYPERLINK("http://catalog.hathitrust.org/Record/008675825")</f>
        <v>http://catalog.hathitrust.org/Record/008675825</v>
      </c>
      <c r="J6237" s="1">
        <v>1871</v>
      </c>
      <c r="K6237" t="s">
        <v>5823</v>
      </c>
      <c r="L6237" t="s">
        <v>11568</v>
      </c>
    </row>
    <row r="6238" spans="1:12">
      <c r="A6238" t="s">
        <v>5824</v>
      </c>
      <c r="B6238" s="1" t="s">
        <v>5825</v>
      </c>
      <c r="F6238">
        <v>1</v>
      </c>
      <c r="G6238" t="str">
        <f>HYPERLINK("http://babel.hathitrust.org/cgi/pt?id=nyp.33433069241762")</f>
        <v>http://babel.hathitrust.org/cgi/pt?id=nyp.33433069241762</v>
      </c>
      <c r="H6238" t="str">
        <f>HYPERLINK("http://catalog.hathitrust.org/Record/008675833")</f>
        <v>http://catalog.hathitrust.org/Record/008675833</v>
      </c>
      <c r="J6238" s="1">
        <v>1865</v>
      </c>
      <c r="K6238" t="s">
        <v>11567</v>
      </c>
      <c r="L6238" t="s">
        <v>11568</v>
      </c>
    </row>
    <row r="6239" spans="1:12">
      <c r="A6239" t="s">
        <v>5826</v>
      </c>
      <c r="B6239" s="1" t="s">
        <v>5827</v>
      </c>
      <c r="F6239">
        <v>1</v>
      </c>
      <c r="G6239" t="str">
        <f>HYPERLINK("http://babel.hathitrust.org/cgi/pt?id=nyp.33433069256281")</f>
        <v>http://babel.hathitrust.org/cgi/pt?id=nyp.33433069256281</v>
      </c>
      <c r="H6239" t="str">
        <f>HYPERLINK("http://catalog.hathitrust.org/Record/008675946")</f>
        <v>http://catalog.hathitrust.org/Record/008675946</v>
      </c>
      <c r="J6239" s="1">
        <v>1874</v>
      </c>
      <c r="K6239" t="s">
        <v>11793</v>
      </c>
      <c r="L6239" t="s">
        <v>11794</v>
      </c>
    </row>
    <row r="6240" spans="1:12">
      <c r="A6240" t="s">
        <v>5828</v>
      </c>
      <c r="B6240" s="1" t="s">
        <v>5829</v>
      </c>
      <c r="F6240">
        <v>1</v>
      </c>
      <c r="G6240" t="str">
        <f>HYPERLINK("http://babel.hathitrust.org/cgi/pt?id=nyp.33433069247314")</f>
        <v>http://babel.hathitrust.org/cgi/pt?id=nyp.33433069247314</v>
      </c>
      <c r="H6240" t="str">
        <f>HYPERLINK("http://catalog.hathitrust.org/Record/008675947")</f>
        <v>http://catalog.hathitrust.org/Record/008675947</v>
      </c>
      <c r="J6240" s="1">
        <v>1875</v>
      </c>
      <c r="K6240" t="s">
        <v>5830</v>
      </c>
      <c r="L6240" t="s">
        <v>12805</v>
      </c>
    </row>
    <row r="6241" spans="1:12">
      <c r="A6241" t="s">
        <v>5831</v>
      </c>
      <c r="B6241" s="1" t="s">
        <v>5832</v>
      </c>
      <c r="F6241">
        <v>1</v>
      </c>
      <c r="G6241" t="str">
        <f>HYPERLINK("http://babel.hathitrust.org/cgi/pt?id=nyp.33433069256273")</f>
        <v>http://babel.hathitrust.org/cgi/pt?id=nyp.33433069256273</v>
      </c>
      <c r="H6241" t="str">
        <f>HYPERLINK("http://catalog.hathitrust.org/Record/008675948")</f>
        <v>http://catalog.hathitrust.org/Record/008675948</v>
      </c>
      <c r="J6241" s="1">
        <v>1900</v>
      </c>
      <c r="K6241" t="s">
        <v>5833</v>
      </c>
      <c r="L6241" t="s">
        <v>12805</v>
      </c>
    </row>
    <row r="6242" spans="1:12">
      <c r="A6242" t="s">
        <v>5834</v>
      </c>
      <c r="B6242" s="1" t="s">
        <v>5835</v>
      </c>
      <c r="F6242">
        <v>1</v>
      </c>
      <c r="G6242" t="str">
        <f>HYPERLINK("http://babel.hathitrust.org/cgi/pt?id=nyp.33433082311253")</f>
        <v>http://babel.hathitrust.org/cgi/pt?id=nyp.33433082311253</v>
      </c>
      <c r="H6242" t="str">
        <f>HYPERLINK("http://catalog.hathitrust.org/Record/008675949")</f>
        <v>http://catalog.hathitrust.org/Record/008675949</v>
      </c>
      <c r="J6242" s="1">
        <v>1868</v>
      </c>
      <c r="K6242" t="s">
        <v>6078</v>
      </c>
      <c r="L6242" t="s">
        <v>12805</v>
      </c>
    </row>
    <row r="6243" spans="1:12">
      <c r="A6243" t="s">
        <v>5836</v>
      </c>
      <c r="B6243" s="1" t="s">
        <v>5837</v>
      </c>
      <c r="E6243">
        <v>1</v>
      </c>
      <c r="G6243" t="str">
        <f>HYPERLINK("http://babel.hathitrust.org/cgi/pt?id=nyp.33433069238438")</f>
        <v>http://babel.hathitrust.org/cgi/pt?id=nyp.33433069238438</v>
      </c>
      <c r="H6243" t="str">
        <f>HYPERLINK("http://catalog.hathitrust.org/Record/008676046")</f>
        <v>http://catalog.hathitrust.org/Record/008676046</v>
      </c>
      <c r="J6243" s="1">
        <v>1911</v>
      </c>
      <c r="K6243" t="s">
        <v>5838</v>
      </c>
      <c r="L6243" t="s">
        <v>20331</v>
      </c>
    </row>
    <row r="6244" spans="1:12">
      <c r="A6244" t="s">
        <v>5839</v>
      </c>
      <c r="B6244" s="1" t="s">
        <v>5840</v>
      </c>
      <c r="C6244">
        <v>1</v>
      </c>
      <c r="E6244">
        <v>1</v>
      </c>
      <c r="F6244">
        <v>1</v>
      </c>
      <c r="G6244" t="str">
        <f>HYPERLINK("http://babel.hathitrust.org/cgi/pt?id=nyp.33433082185335")</f>
        <v>http://babel.hathitrust.org/cgi/pt?id=nyp.33433082185335</v>
      </c>
      <c r="H6244" t="str">
        <f>HYPERLINK("http://catalog.hathitrust.org/Record/008678165")</f>
        <v>http://catalog.hathitrust.org/Record/008678165</v>
      </c>
      <c r="J6244" s="1">
        <v>1848</v>
      </c>
      <c r="K6244" t="s">
        <v>5841</v>
      </c>
      <c r="L6244" t="s">
        <v>20553</v>
      </c>
    </row>
    <row r="6245" spans="1:12">
      <c r="A6245" t="s">
        <v>5842</v>
      </c>
      <c r="B6245" s="1" t="s">
        <v>5843</v>
      </c>
      <c r="F6245">
        <v>1</v>
      </c>
      <c r="G6245" t="str">
        <f>HYPERLINK("http://babel.hathitrust.org/cgi/pt?id=nyp.33433082185343")</f>
        <v>http://babel.hathitrust.org/cgi/pt?id=nyp.33433082185343</v>
      </c>
      <c r="H6245" t="str">
        <f>HYPERLINK("http://catalog.hathitrust.org/Record/008678168")</f>
        <v>http://catalog.hathitrust.org/Record/008678168</v>
      </c>
      <c r="J6245" s="1">
        <v>1891</v>
      </c>
      <c r="K6245" t="s">
        <v>5844</v>
      </c>
      <c r="L6245" t="s">
        <v>20872</v>
      </c>
    </row>
    <row r="6246" spans="1:12">
      <c r="A6246" t="s">
        <v>5845</v>
      </c>
      <c r="B6246" s="1" t="s">
        <v>5846</v>
      </c>
      <c r="F6246">
        <v>1</v>
      </c>
      <c r="G6246" t="str">
        <f>HYPERLINK("http://babel.hathitrust.org/cgi/pt?id=nyp.33433082181227")</f>
        <v>http://babel.hathitrust.org/cgi/pt?id=nyp.33433082181227</v>
      </c>
      <c r="H6246" t="str">
        <f>HYPERLINK("http://catalog.hathitrust.org/Record/008678188")</f>
        <v>http://catalog.hathitrust.org/Record/008678188</v>
      </c>
      <c r="J6246" s="1">
        <v>1894</v>
      </c>
      <c r="K6246" t="s">
        <v>5847</v>
      </c>
      <c r="L6246" t="s">
        <v>20937</v>
      </c>
    </row>
    <row r="6247" spans="1:12">
      <c r="A6247" t="s">
        <v>5848</v>
      </c>
      <c r="B6247" s="1" t="s">
        <v>5849</v>
      </c>
      <c r="F6247">
        <v>1</v>
      </c>
      <c r="G6247" t="str">
        <f>HYPERLINK("http://babel.hathitrust.org/cgi/pt?id=nyp.33433082313754")</f>
        <v>http://babel.hathitrust.org/cgi/pt?id=nyp.33433082313754</v>
      </c>
      <c r="H6247" t="str">
        <f>HYPERLINK("http://catalog.hathitrust.org/Record/008678432")</f>
        <v>http://catalog.hathitrust.org/Record/008678432</v>
      </c>
      <c r="J6247" s="1">
        <v>1846</v>
      </c>
      <c r="K6247" t="s">
        <v>5757</v>
      </c>
      <c r="L6247" t="s">
        <v>14444</v>
      </c>
    </row>
    <row r="6248" spans="1:12">
      <c r="A6248" t="s">
        <v>5758</v>
      </c>
      <c r="B6248" s="1" t="s">
        <v>5759</v>
      </c>
      <c r="E6248">
        <v>1</v>
      </c>
      <c r="F6248">
        <v>1</v>
      </c>
      <c r="G6248" t="str">
        <f>HYPERLINK("http://babel.hathitrust.org/cgi/pt?id=nyp.33433075914410")</f>
        <v>http://babel.hathitrust.org/cgi/pt?id=nyp.33433075914410</v>
      </c>
      <c r="H6248" t="str">
        <f>HYPERLINK("http://catalog.hathitrust.org/Record/008678739")</f>
        <v>http://catalog.hathitrust.org/Record/008678739</v>
      </c>
      <c r="J6248" s="1">
        <v>1866</v>
      </c>
      <c r="K6248" t="s">
        <v>5760</v>
      </c>
      <c r="L6248" t="s">
        <v>19446</v>
      </c>
    </row>
    <row r="6249" spans="1:12">
      <c r="A6249" t="s">
        <v>5761</v>
      </c>
      <c r="B6249" s="1" t="s">
        <v>5762</v>
      </c>
      <c r="D6249">
        <v>1</v>
      </c>
      <c r="G6249" t="str">
        <f>HYPERLINK("http://babel.hathitrust.org/cgi/pt?id=nyp.33433081987947")</f>
        <v>http://babel.hathitrust.org/cgi/pt?id=nyp.33433081987947</v>
      </c>
      <c r="H6249" t="str">
        <f>HYPERLINK("http://catalog.hathitrust.org/Record/008678743")</f>
        <v>http://catalog.hathitrust.org/Record/008678743</v>
      </c>
      <c r="I6249" s="1" t="s">
        <v>5764</v>
      </c>
      <c r="J6249" s="1">
        <v>1783</v>
      </c>
      <c r="K6249" t="s">
        <v>5763</v>
      </c>
      <c r="L6249" t="s">
        <v>5765</v>
      </c>
    </row>
    <row r="6250" spans="1:12">
      <c r="A6250" t="s">
        <v>5766</v>
      </c>
      <c r="B6250" s="1" t="s">
        <v>5767</v>
      </c>
      <c r="D6250">
        <v>1</v>
      </c>
      <c r="G6250" t="str">
        <f>HYPERLINK("http://babel.hathitrust.org/cgi/pt?id=nyp.33433081987913")</f>
        <v>http://babel.hathitrust.org/cgi/pt?id=nyp.33433081987913</v>
      </c>
      <c r="H6250" t="str">
        <f>HYPERLINK("http://catalog.hathitrust.org/Record/008678745")</f>
        <v>http://catalog.hathitrust.org/Record/008678745</v>
      </c>
      <c r="J6250" s="1">
        <v>1820</v>
      </c>
      <c r="K6250" t="s">
        <v>5768</v>
      </c>
      <c r="L6250" t="s">
        <v>20086</v>
      </c>
    </row>
    <row r="6251" spans="1:12">
      <c r="A6251" t="s">
        <v>5769</v>
      </c>
      <c r="B6251" s="1" t="s">
        <v>5770</v>
      </c>
      <c r="D6251">
        <v>1</v>
      </c>
      <c r="G6251" t="str">
        <f>HYPERLINK("http://babel.hathitrust.org/cgi/pt?id=nyp.33433081987889")</f>
        <v>http://babel.hathitrust.org/cgi/pt?id=nyp.33433081987889</v>
      </c>
      <c r="H6251" t="str">
        <f>HYPERLINK("http://catalog.hathitrust.org/Record/008678746")</f>
        <v>http://catalog.hathitrust.org/Record/008678746</v>
      </c>
      <c r="J6251" s="1">
        <v>1828</v>
      </c>
      <c r="K6251" t="s">
        <v>5771</v>
      </c>
      <c r="L6251" t="s">
        <v>20086</v>
      </c>
    </row>
    <row r="6252" spans="1:12">
      <c r="A6252" t="s">
        <v>5772</v>
      </c>
      <c r="B6252" s="1" t="s">
        <v>5773</v>
      </c>
      <c r="E6252">
        <v>1</v>
      </c>
      <c r="G6252" t="str">
        <f>HYPERLINK("http://babel.hathitrust.org/cgi/pt?id=nyp.33433075975346")</f>
        <v>http://babel.hathitrust.org/cgi/pt?id=nyp.33433075975346</v>
      </c>
      <c r="H6252" t="str">
        <f>HYPERLINK("http://catalog.hathitrust.org/Record/008678895")</f>
        <v>http://catalog.hathitrust.org/Record/008678895</v>
      </c>
      <c r="J6252" s="1">
        <v>1912</v>
      </c>
      <c r="K6252" t="s">
        <v>10771</v>
      </c>
      <c r="L6252" t="s">
        <v>10772</v>
      </c>
    </row>
    <row r="6253" spans="1:12">
      <c r="A6253" t="s">
        <v>5774</v>
      </c>
      <c r="B6253" s="1" t="s">
        <v>5775</v>
      </c>
      <c r="F6253">
        <v>1</v>
      </c>
      <c r="G6253" t="str">
        <f>HYPERLINK("http://babel.hathitrust.org/cgi/pt?id=nyp.33433081982245")</f>
        <v>http://babel.hathitrust.org/cgi/pt?id=nyp.33433081982245</v>
      </c>
      <c r="H6253" t="str">
        <f>HYPERLINK("http://catalog.hathitrust.org/Record/008678925")</f>
        <v>http://catalog.hathitrust.org/Record/008678925</v>
      </c>
      <c r="J6253" s="1">
        <v>1897</v>
      </c>
      <c r="K6253" t="s">
        <v>5776</v>
      </c>
      <c r="L6253" t="s">
        <v>17075</v>
      </c>
    </row>
    <row r="6254" spans="1:12">
      <c r="A6254" t="s">
        <v>5777</v>
      </c>
      <c r="B6254" s="1" t="s">
        <v>5775</v>
      </c>
      <c r="F6254">
        <v>1</v>
      </c>
      <c r="G6254" t="str">
        <f>HYPERLINK("http://babel.hathitrust.org/cgi/pt?id=wu.89099408783")</f>
        <v>http://babel.hathitrust.org/cgi/pt?id=wu.89099408783</v>
      </c>
      <c r="H6254" t="str">
        <f>HYPERLINK("http://catalog.hathitrust.org/Record/008678925")</f>
        <v>http://catalog.hathitrust.org/Record/008678925</v>
      </c>
      <c r="J6254" s="1">
        <v>1897</v>
      </c>
      <c r="K6254" t="s">
        <v>5776</v>
      </c>
      <c r="L6254" t="s">
        <v>17075</v>
      </c>
    </row>
    <row r="6255" spans="1:12">
      <c r="A6255" t="s">
        <v>5778</v>
      </c>
      <c r="B6255" s="1" t="s">
        <v>5779</v>
      </c>
      <c r="F6255">
        <v>1</v>
      </c>
      <c r="G6255" t="str">
        <f>HYPERLINK("http://babel.hathitrust.org/cgi/pt?id=nyp.33433082312442")</f>
        <v>http://babel.hathitrust.org/cgi/pt?id=nyp.33433082312442</v>
      </c>
      <c r="H6255" t="str">
        <f>HYPERLINK("http://catalog.hathitrust.org/Record/008679093")</f>
        <v>http://catalog.hathitrust.org/Record/008679093</v>
      </c>
      <c r="J6255" s="1">
        <v>1893</v>
      </c>
      <c r="K6255" t="s">
        <v>5780</v>
      </c>
      <c r="L6255" t="s">
        <v>5781</v>
      </c>
    </row>
    <row r="6256" spans="1:12">
      <c r="A6256" t="s">
        <v>5782</v>
      </c>
      <c r="B6256" s="1" t="s">
        <v>5783</v>
      </c>
      <c r="E6256">
        <v>1</v>
      </c>
      <c r="G6256" t="str">
        <f>HYPERLINK("http://babel.hathitrust.org/cgi/pt?id=nyp.33433075976716")</f>
        <v>http://babel.hathitrust.org/cgi/pt?id=nyp.33433075976716</v>
      </c>
      <c r="H6256" t="str">
        <f>HYPERLINK("http://catalog.hathitrust.org/Record/008679120")</f>
        <v>http://catalog.hathitrust.org/Record/008679120</v>
      </c>
      <c r="I6256" s="1" t="s">
        <v>5785</v>
      </c>
      <c r="J6256" s="1">
        <v>1875</v>
      </c>
      <c r="K6256" t="s">
        <v>5784</v>
      </c>
    </row>
    <row r="6257" spans="1:12">
      <c r="A6257" t="s">
        <v>5786</v>
      </c>
      <c r="B6257" s="1" t="s">
        <v>5787</v>
      </c>
      <c r="F6257">
        <v>1</v>
      </c>
      <c r="G6257" t="str">
        <f>HYPERLINK("http://babel.hathitrust.org/cgi/pt?id=nyp.33433075986756")</f>
        <v>http://babel.hathitrust.org/cgi/pt?id=nyp.33433075986756</v>
      </c>
      <c r="H6257" t="str">
        <f>HYPERLINK("http://catalog.hathitrust.org/Record/008679353")</f>
        <v>http://catalog.hathitrust.org/Record/008679353</v>
      </c>
      <c r="J6257" s="1">
        <v>1837</v>
      </c>
      <c r="K6257" t="s">
        <v>5788</v>
      </c>
      <c r="L6257" t="s">
        <v>18581</v>
      </c>
    </row>
    <row r="6258" spans="1:12">
      <c r="A6258" t="s">
        <v>5789</v>
      </c>
      <c r="B6258" s="1" t="s">
        <v>5790</v>
      </c>
      <c r="E6258">
        <v>1</v>
      </c>
      <c r="F6258">
        <v>1</v>
      </c>
      <c r="G6258" t="str">
        <f>HYPERLINK("http://babel.hathitrust.org/cgi/pt?id=nyp.33433082184726")</f>
        <v>http://babel.hathitrust.org/cgi/pt?id=nyp.33433082184726</v>
      </c>
      <c r="H6258" t="str">
        <f>HYPERLINK("http://catalog.hathitrust.org/Record/008679527")</f>
        <v>http://catalog.hathitrust.org/Record/008679527</v>
      </c>
      <c r="J6258" s="1">
        <v>1856</v>
      </c>
      <c r="K6258" t="s">
        <v>5791</v>
      </c>
      <c r="L6258" t="s">
        <v>8546</v>
      </c>
    </row>
    <row r="6259" spans="1:12">
      <c r="A6259" t="s">
        <v>5792</v>
      </c>
      <c r="B6259" s="1" t="s">
        <v>5793</v>
      </c>
      <c r="D6259">
        <v>1</v>
      </c>
      <c r="G6259" t="str">
        <f>HYPERLINK("http://babel.hathitrust.org/cgi/pt?id=nyp.33433069244428")</f>
        <v>http://babel.hathitrust.org/cgi/pt?id=nyp.33433069244428</v>
      </c>
      <c r="H6259" t="str">
        <f>HYPERLINK("http://catalog.hathitrust.org/Record/008679649")</f>
        <v>http://catalog.hathitrust.org/Record/008679649</v>
      </c>
      <c r="J6259" s="1">
        <v>1829</v>
      </c>
      <c r="K6259" t="s">
        <v>5794</v>
      </c>
      <c r="L6259" t="s">
        <v>20043</v>
      </c>
    </row>
    <row r="6260" spans="1:12">
      <c r="A6260" t="s">
        <v>5795</v>
      </c>
      <c r="B6260" s="1" t="s">
        <v>5796</v>
      </c>
      <c r="D6260">
        <v>1</v>
      </c>
      <c r="G6260" t="str">
        <f>HYPERLINK("http://babel.hathitrust.org/cgi/pt?id=nyp.33433069244436")</f>
        <v>http://babel.hathitrust.org/cgi/pt?id=nyp.33433069244436</v>
      </c>
      <c r="H6260" t="str">
        <f>HYPERLINK("http://catalog.hathitrust.org/Record/008679650")</f>
        <v>http://catalog.hathitrust.org/Record/008679650</v>
      </c>
      <c r="J6260" s="1">
        <v>1855</v>
      </c>
      <c r="K6260" t="s">
        <v>8521</v>
      </c>
      <c r="L6260" t="s">
        <v>20043</v>
      </c>
    </row>
    <row r="6261" spans="1:12">
      <c r="A6261" t="s">
        <v>5797</v>
      </c>
      <c r="B6261" s="1" t="s">
        <v>5798</v>
      </c>
      <c r="F6261">
        <v>1</v>
      </c>
      <c r="G6261" t="str">
        <f>HYPERLINK("http://babel.hathitrust.org/cgi/pt?id=nyp.33433069255051")</f>
        <v>http://babel.hathitrust.org/cgi/pt?id=nyp.33433069255051</v>
      </c>
      <c r="H6261" t="str">
        <f>HYPERLINK("http://catalog.hathitrust.org/Record/008679651")</f>
        <v>http://catalog.hathitrust.org/Record/008679651</v>
      </c>
      <c r="J6261" s="1">
        <v>1878</v>
      </c>
      <c r="K6261" t="s">
        <v>5799</v>
      </c>
      <c r="L6261" t="s">
        <v>5800</v>
      </c>
    </row>
    <row r="6262" spans="1:12">
      <c r="A6262" t="s">
        <v>5801</v>
      </c>
      <c r="B6262" s="1" t="s">
        <v>5798</v>
      </c>
      <c r="F6262">
        <v>1</v>
      </c>
      <c r="G6262" t="str">
        <f>HYPERLINK("http://babel.hathitrust.org/cgi/pt?id=wu.89099896565")</f>
        <v>http://babel.hathitrust.org/cgi/pt?id=wu.89099896565</v>
      </c>
      <c r="H6262" t="str">
        <f>HYPERLINK("http://catalog.hathitrust.org/Record/008679651")</f>
        <v>http://catalog.hathitrust.org/Record/008679651</v>
      </c>
      <c r="J6262" s="1">
        <v>1878</v>
      </c>
      <c r="K6262" t="s">
        <v>5799</v>
      </c>
      <c r="L6262" t="s">
        <v>5800</v>
      </c>
    </row>
    <row r="6263" spans="1:12">
      <c r="A6263" t="s">
        <v>5802</v>
      </c>
      <c r="B6263" s="1" t="s">
        <v>5803</v>
      </c>
      <c r="F6263">
        <v>1</v>
      </c>
      <c r="G6263" t="str">
        <f>HYPERLINK("http://babel.hathitrust.org/cgi/pt?id=nyp.33433069244311")</f>
        <v>http://babel.hathitrust.org/cgi/pt?id=nyp.33433069244311</v>
      </c>
      <c r="H6263" t="str">
        <f>HYPERLINK("http://catalog.hathitrust.org/Record/008679652")</f>
        <v>http://catalog.hathitrust.org/Record/008679652</v>
      </c>
      <c r="J6263" s="1">
        <v>1906</v>
      </c>
      <c r="K6263" t="s">
        <v>5713</v>
      </c>
      <c r="L6263" t="s">
        <v>13364</v>
      </c>
    </row>
    <row r="6264" spans="1:12">
      <c r="A6264" t="s">
        <v>5714</v>
      </c>
      <c r="B6264" s="1" t="s">
        <v>5715</v>
      </c>
      <c r="F6264">
        <v>1</v>
      </c>
      <c r="G6264" t="str">
        <f>HYPERLINK("http://babel.hathitrust.org/cgi/pt?id=nyp.33433069244303")</f>
        <v>http://babel.hathitrust.org/cgi/pt?id=nyp.33433069244303</v>
      </c>
      <c r="H6264" t="str">
        <f>HYPERLINK("http://catalog.hathitrust.org/Record/008679653")</f>
        <v>http://catalog.hathitrust.org/Record/008679653</v>
      </c>
      <c r="J6264" s="1">
        <v>1855</v>
      </c>
      <c r="K6264" t="s">
        <v>5716</v>
      </c>
      <c r="L6264" t="s">
        <v>5717</v>
      </c>
    </row>
    <row r="6265" spans="1:12">
      <c r="A6265" t="s">
        <v>5718</v>
      </c>
      <c r="B6265" s="1" t="s">
        <v>5719</v>
      </c>
      <c r="F6265">
        <v>1</v>
      </c>
      <c r="G6265" t="str">
        <f>HYPERLINK("http://babel.hathitrust.org/cgi/pt?id=nyp.33433081988606")</f>
        <v>http://babel.hathitrust.org/cgi/pt?id=nyp.33433081988606</v>
      </c>
      <c r="H6265" t="str">
        <f>HYPERLINK("http://catalog.hathitrust.org/Record/008679656")</f>
        <v>http://catalog.hathitrust.org/Record/008679656</v>
      </c>
      <c r="J6265" s="1">
        <v>1902</v>
      </c>
      <c r="K6265" t="s">
        <v>5720</v>
      </c>
      <c r="L6265" t="s">
        <v>5721</v>
      </c>
    </row>
    <row r="6266" spans="1:12">
      <c r="A6266" t="s">
        <v>5722</v>
      </c>
      <c r="B6266" s="1" t="s">
        <v>5723</v>
      </c>
      <c r="F6266">
        <v>1</v>
      </c>
      <c r="G6266" t="str">
        <f>HYPERLINK("http://babel.hathitrust.org/cgi/pt?id=nyp.33433069244279")</f>
        <v>http://babel.hathitrust.org/cgi/pt?id=nyp.33433069244279</v>
      </c>
      <c r="H6266" t="str">
        <f>HYPERLINK("http://catalog.hathitrust.org/Record/008679667")</f>
        <v>http://catalog.hathitrust.org/Record/008679667</v>
      </c>
      <c r="J6266" s="1">
        <v>1888</v>
      </c>
      <c r="K6266" t="s">
        <v>5724</v>
      </c>
      <c r="L6266" t="s">
        <v>5725</v>
      </c>
    </row>
    <row r="6267" spans="1:12">
      <c r="A6267" t="s">
        <v>5726</v>
      </c>
      <c r="B6267" s="1" t="s">
        <v>5727</v>
      </c>
      <c r="E6267">
        <v>1</v>
      </c>
      <c r="F6267">
        <v>1</v>
      </c>
      <c r="G6267" t="str">
        <f>HYPERLINK("http://babel.hathitrust.org/cgi/pt?id=nyp.33433069255473")</f>
        <v>http://babel.hathitrust.org/cgi/pt?id=nyp.33433069255473</v>
      </c>
      <c r="H6267" t="str">
        <f>HYPERLINK("http://catalog.hathitrust.org/Record/008679681")</f>
        <v>http://catalog.hathitrust.org/Record/008679681</v>
      </c>
      <c r="J6267" s="1">
        <v>1847</v>
      </c>
      <c r="K6267" t="s">
        <v>5728</v>
      </c>
      <c r="L6267" t="s">
        <v>11854</v>
      </c>
    </row>
    <row r="6268" spans="1:12">
      <c r="A6268" t="s">
        <v>5729</v>
      </c>
      <c r="B6268" s="1" t="s">
        <v>5730</v>
      </c>
      <c r="F6268">
        <v>1</v>
      </c>
      <c r="G6268" t="str">
        <f>HYPERLINK("http://babel.hathitrust.org/cgi/pt?id=nyp.33433069255432")</f>
        <v>http://babel.hathitrust.org/cgi/pt?id=nyp.33433069255432</v>
      </c>
      <c r="H6268" t="str">
        <f>HYPERLINK("http://catalog.hathitrust.org/Record/008679682")</f>
        <v>http://catalog.hathitrust.org/Record/008679682</v>
      </c>
      <c r="J6268" s="1">
        <v>1882</v>
      </c>
      <c r="K6268" t="s">
        <v>5731</v>
      </c>
      <c r="L6268" t="s">
        <v>5732</v>
      </c>
    </row>
    <row r="6269" spans="1:12">
      <c r="A6269" t="s">
        <v>5733</v>
      </c>
      <c r="B6269" s="1" t="s">
        <v>5734</v>
      </c>
      <c r="F6269">
        <v>1</v>
      </c>
      <c r="G6269" t="str">
        <f>HYPERLINK("http://babel.hathitrust.org/cgi/pt?id=hvd.hn1qdk")</f>
        <v>http://babel.hathitrust.org/cgi/pt?id=hvd.hn1qdk</v>
      </c>
      <c r="H6269" t="str">
        <f>HYPERLINK("http://catalog.hathitrust.org/Record/008679684")</f>
        <v>http://catalog.hathitrust.org/Record/008679684</v>
      </c>
      <c r="J6269" s="1">
        <v>1849</v>
      </c>
      <c r="K6269" t="s">
        <v>5735</v>
      </c>
      <c r="L6269" t="s">
        <v>12780</v>
      </c>
    </row>
    <row r="6270" spans="1:12">
      <c r="A6270" t="s">
        <v>5736</v>
      </c>
      <c r="B6270" s="1" t="s">
        <v>5734</v>
      </c>
      <c r="F6270">
        <v>1</v>
      </c>
      <c r="G6270" t="str">
        <f>HYPERLINK("http://babel.hathitrust.org/cgi/pt?id=nyp.33433069255028")</f>
        <v>http://babel.hathitrust.org/cgi/pt?id=nyp.33433069255028</v>
      </c>
      <c r="H6270" t="str">
        <f>HYPERLINK("http://catalog.hathitrust.org/Record/008679684")</f>
        <v>http://catalog.hathitrust.org/Record/008679684</v>
      </c>
      <c r="J6270" s="1">
        <v>1849</v>
      </c>
      <c r="K6270" t="s">
        <v>5735</v>
      </c>
      <c r="L6270" t="s">
        <v>12780</v>
      </c>
    </row>
    <row r="6271" spans="1:12">
      <c r="A6271" t="s">
        <v>5737</v>
      </c>
      <c r="B6271" s="1" t="s">
        <v>5738</v>
      </c>
      <c r="F6271">
        <v>1</v>
      </c>
      <c r="G6271" t="str">
        <f>HYPERLINK("http://babel.hathitrust.org/cgi/pt?id=nyp.33433069255010")</f>
        <v>http://babel.hathitrust.org/cgi/pt?id=nyp.33433069255010</v>
      </c>
      <c r="H6271" t="str">
        <f>HYPERLINK("http://catalog.hathitrust.org/Record/008679686")</f>
        <v>http://catalog.hathitrust.org/Record/008679686</v>
      </c>
      <c r="J6271" s="1">
        <v>1867</v>
      </c>
      <c r="K6271" t="s">
        <v>5739</v>
      </c>
      <c r="L6271" t="s">
        <v>12780</v>
      </c>
    </row>
    <row r="6272" spans="1:12">
      <c r="A6272" t="s">
        <v>5740</v>
      </c>
      <c r="B6272" s="1" t="s">
        <v>5741</v>
      </c>
      <c r="F6272">
        <v>1</v>
      </c>
      <c r="G6272" t="str">
        <f>HYPERLINK("http://babel.hathitrust.org/cgi/pt?id=nyp.33433082311196")</f>
        <v>http://babel.hathitrust.org/cgi/pt?id=nyp.33433082311196</v>
      </c>
      <c r="H6272" t="str">
        <f>HYPERLINK("http://catalog.hathitrust.org/Record/008679687")</f>
        <v>http://catalog.hathitrust.org/Record/008679687</v>
      </c>
      <c r="J6272" s="1">
        <v>1881</v>
      </c>
      <c r="K6272" t="s">
        <v>5742</v>
      </c>
      <c r="L6272" t="s">
        <v>12780</v>
      </c>
    </row>
    <row r="6273" spans="1:12">
      <c r="A6273" t="s">
        <v>5743</v>
      </c>
      <c r="B6273" s="1" t="s">
        <v>5744</v>
      </c>
      <c r="E6273">
        <v>1</v>
      </c>
      <c r="F6273">
        <v>1</v>
      </c>
      <c r="G6273" t="str">
        <f>HYPERLINK("http://babel.hathitrust.org/cgi/pt?id=nyp.33433081988663")</f>
        <v>http://babel.hathitrust.org/cgi/pt?id=nyp.33433081988663</v>
      </c>
      <c r="H6273" t="str">
        <f>HYPERLINK("http://catalog.hathitrust.org/Record/008679688")</f>
        <v>http://catalog.hathitrust.org/Record/008679688</v>
      </c>
      <c r="J6273" s="1">
        <v>1856</v>
      </c>
      <c r="K6273" t="s">
        <v>5745</v>
      </c>
      <c r="L6273" t="s">
        <v>12780</v>
      </c>
    </row>
    <row r="6274" spans="1:12">
      <c r="A6274" t="s">
        <v>5746</v>
      </c>
      <c r="B6274" s="1" t="s">
        <v>5747</v>
      </c>
      <c r="F6274">
        <v>1</v>
      </c>
      <c r="G6274" t="str">
        <f>HYPERLINK("http://babel.hathitrust.org/cgi/pt?id=nyp.33433069256794")</f>
        <v>http://babel.hathitrust.org/cgi/pt?id=nyp.33433069256794</v>
      </c>
      <c r="H6274" t="str">
        <f>HYPERLINK("http://catalog.hathitrust.org/Record/008679718")</f>
        <v>http://catalog.hathitrust.org/Record/008679718</v>
      </c>
      <c r="J6274" s="1">
        <v>1892</v>
      </c>
      <c r="K6274" t="s">
        <v>5748</v>
      </c>
      <c r="L6274" t="s">
        <v>5749</v>
      </c>
    </row>
    <row r="6275" spans="1:12">
      <c r="A6275" t="s">
        <v>5750</v>
      </c>
      <c r="B6275" s="1" t="s">
        <v>5751</v>
      </c>
      <c r="F6275">
        <v>1</v>
      </c>
      <c r="G6275" t="str">
        <f>HYPERLINK("http://babel.hathitrust.org/cgi/pt?id=nyp.33433082311212")</f>
        <v>http://babel.hathitrust.org/cgi/pt?id=nyp.33433082311212</v>
      </c>
      <c r="H6275" t="str">
        <f>HYPERLINK("http://catalog.hathitrust.org/Record/008679721")</f>
        <v>http://catalog.hathitrust.org/Record/008679721</v>
      </c>
      <c r="J6275" s="1">
        <v>1870</v>
      </c>
      <c r="K6275" t="s">
        <v>12810</v>
      </c>
      <c r="L6275" t="s">
        <v>12718</v>
      </c>
    </row>
    <row r="6276" spans="1:12">
      <c r="A6276" t="s">
        <v>5752</v>
      </c>
      <c r="B6276" s="1" t="s">
        <v>5753</v>
      </c>
      <c r="E6276">
        <v>1</v>
      </c>
      <c r="G6276" t="str">
        <f>HYPERLINK("http://babel.hathitrust.org/cgi/pt?id=nyp.33433081638797")</f>
        <v>http://babel.hathitrust.org/cgi/pt?id=nyp.33433081638797</v>
      </c>
      <c r="H6276" t="str">
        <f>HYPERLINK("http://catalog.hathitrust.org/Record/008679765")</f>
        <v>http://catalog.hathitrust.org/Record/008679765</v>
      </c>
      <c r="J6276" s="1">
        <v>1819</v>
      </c>
      <c r="K6276" t="s">
        <v>5754</v>
      </c>
      <c r="L6276" t="s">
        <v>20960</v>
      </c>
    </row>
    <row r="6277" spans="1:12">
      <c r="A6277" t="s">
        <v>5755</v>
      </c>
      <c r="B6277" s="1" t="s">
        <v>5756</v>
      </c>
      <c r="E6277">
        <v>1</v>
      </c>
      <c r="G6277" t="str">
        <f>HYPERLINK("http://babel.hathitrust.org/cgi/pt?id=nyp.33433081987558")</f>
        <v>http://babel.hathitrust.org/cgi/pt?id=nyp.33433081987558</v>
      </c>
      <c r="H6277" t="str">
        <f>HYPERLINK("http://catalog.hathitrust.org/Record/008679766")</f>
        <v>http://catalog.hathitrust.org/Record/008679766</v>
      </c>
      <c r="J6277" s="1">
        <v>1836</v>
      </c>
      <c r="K6277" t="s">
        <v>5690</v>
      </c>
      <c r="L6277" t="s">
        <v>20960</v>
      </c>
    </row>
    <row r="6278" spans="1:12">
      <c r="A6278" t="s">
        <v>5691</v>
      </c>
      <c r="B6278" s="1" t="s">
        <v>5692</v>
      </c>
      <c r="E6278">
        <v>1</v>
      </c>
      <c r="G6278" t="str">
        <f>HYPERLINK("http://babel.hathitrust.org/cgi/pt?id=nyp.33433081987574")</f>
        <v>http://babel.hathitrust.org/cgi/pt?id=nyp.33433081987574</v>
      </c>
      <c r="H6278" t="str">
        <f>HYPERLINK("http://catalog.hathitrust.org/Record/008679767")</f>
        <v>http://catalog.hathitrust.org/Record/008679767</v>
      </c>
      <c r="J6278" s="1">
        <v>1839</v>
      </c>
      <c r="K6278" t="s">
        <v>5693</v>
      </c>
      <c r="L6278" t="s">
        <v>20960</v>
      </c>
    </row>
    <row r="6279" spans="1:12">
      <c r="A6279" t="s">
        <v>5694</v>
      </c>
      <c r="B6279" s="1" t="s">
        <v>5695</v>
      </c>
      <c r="E6279">
        <v>1</v>
      </c>
      <c r="G6279" t="str">
        <f>HYPERLINK("http://babel.hathitrust.org/cgi/pt?id=nyp.33433081638771")</f>
        <v>http://babel.hathitrust.org/cgi/pt?id=nyp.33433081638771</v>
      </c>
      <c r="H6279" t="str">
        <f>HYPERLINK("http://catalog.hathitrust.org/Record/008679768")</f>
        <v>http://catalog.hathitrust.org/Record/008679768</v>
      </c>
      <c r="J6279" s="1">
        <v>1858</v>
      </c>
      <c r="K6279" t="s">
        <v>5696</v>
      </c>
      <c r="L6279" t="s">
        <v>20960</v>
      </c>
    </row>
    <row r="6280" spans="1:12">
      <c r="A6280" t="s">
        <v>5697</v>
      </c>
      <c r="B6280" s="1" t="s">
        <v>5698</v>
      </c>
      <c r="F6280">
        <v>1</v>
      </c>
      <c r="G6280" t="str">
        <f>HYPERLINK("http://babel.hathitrust.org/cgi/pt?id=nyp.33433081982112")</f>
        <v>http://babel.hathitrust.org/cgi/pt?id=nyp.33433081982112</v>
      </c>
      <c r="H6280" t="str">
        <f>HYPERLINK("http://catalog.hathitrust.org/Record/008679894")</f>
        <v>http://catalog.hathitrust.org/Record/008679894</v>
      </c>
      <c r="J6280" s="1">
        <v>1870</v>
      </c>
      <c r="K6280" t="s">
        <v>5699</v>
      </c>
      <c r="L6280" t="s">
        <v>5700</v>
      </c>
    </row>
    <row r="6281" spans="1:12">
      <c r="A6281" t="s">
        <v>5701</v>
      </c>
      <c r="B6281" s="1" t="s">
        <v>5702</v>
      </c>
      <c r="F6281">
        <v>1</v>
      </c>
      <c r="G6281" t="str">
        <f>HYPERLINK("http://babel.hathitrust.org/cgi/pt?id=nyp.33433081968319")</f>
        <v>http://babel.hathitrust.org/cgi/pt?id=nyp.33433081968319</v>
      </c>
      <c r="H6281" t="str">
        <f>HYPERLINK("http://catalog.hathitrust.org/Record/008679994")</f>
        <v>http://catalog.hathitrust.org/Record/008679994</v>
      </c>
      <c r="J6281" s="1">
        <v>1886</v>
      </c>
      <c r="K6281" t="s">
        <v>5703</v>
      </c>
      <c r="L6281" t="s">
        <v>5704</v>
      </c>
    </row>
    <row r="6282" spans="1:12">
      <c r="A6282" t="s">
        <v>5705</v>
      </c>
      <c r="B6282" s="1" t="s">
        <v>5706</v>
      </c>
      <c r="F6282">
        <v>1</v>
      </c>
      <c r="G6282" t="str">
        <f>HYPERLINK("http://babel.hathitrust.org/cgi/pt?id=nyp.33433082312319")</f>
        <v>http://babel.hathitrust.org/cgi/pt?id=nyp.33433082312319</v>
      </c>
      <c r="H6282" t="str">
        <f>HYPERLINK("http://catalog.hathitrust.org/Record/008680133")</f>
        <v>http://catalog.hathitrust.org/Record/008680133</v>
      </c>
      <c r="J6282" s="1">
        <v>1873</v>
      </c>
      <c r="K6282" t="s">
        <v>5707</v>
      </c>
      <c r="L6282" t="s">
        <v>13255</v>
      </c>
    </row>
    <row r="6283" spans="1:12">
      <c r="A6283" t="s">
        <v>5708</v>
      </c>
      <c r="B6283" s="1" t="s">
        <v>5709</v>
      </c>
      <c r="F6283">
        <v>1</v>
      </c>
      <c r="G6283" t="str">
        <f>HYPERLINK("http://babel.hathitrust.org/cgi/pt?id=nyp.33433081638839")</f>
        <v>http://babel.hathitrust.org/cgi/pt?id=nyp.33433081638839</v>
      </c>
      <c r="H6283" t="str">
        <f>HYPERLINK("http://catalog.hathitrust.org/Record/008680135")</f>
        <v>http://catalog.hathitrust.org/Record/008680135</v>
      </c>
      <c r="J6283" s="1">
        <v>1870</v>
      </c>
      <c r="K6283" t="s">
        <v>5710</v>
      </c>
      <c r="L6283" t="s">
        <v>13255</v>
      </c>
    </row>
    <row r="6284" spans="1:12">
      <c r="A6284" t="s">
        <v>5711</v>
      </c>
      <c r="B6284" s="1" t="s">
        <v>5712</v>
      </c>
      <c r="E6284">
        <v>1</v>
      </c>
      <c r="G6284" t="str">
        <f>HYPERLINK("http://babel.hathitrust.org/cgi/pt?id=nyp.33433069243180")</f>
        <v>http://babel.hathitrust.org/cgi/pt?id=nyp.33433069243180</v>
      </c>
      <c r="H6284" t="str">
        <f>HYPERLINK("http://catalog.hathitrust.org/Record/008680273")</f>
        <v>http://catalog.hathitrust.org/Record/008680273</v>
      </c>
      <c r="J6284" s="1">
        <v>1911</v>
      </c>
      <c r="K6284" t="s">
        <v>5650</v>
      </c>
      <c r="L6284" t="s">
        <v>14864</v>
      </c>
    </row>
    <row r="6285" spans="1:12">
      <c r="A6285" t="s">
        <v>5651</v>
      </c>
      <c r="B6285" s="1" t="s">
        <v>5652</v>
      </c>
      <c r="F6285">
        <v>1</v>
      </c>
      <c r="G6285" t="str">
        <f>HYPERLINK("http://babel.hathitrust.org/cgi/pt?id=nyp.33433069243156")</f>
        <v>http://babel.hathitrust.org/cgi/pt?id=nyp.33433069243156</v>
      </c>
      <c r="H6285" t="str">
        <f>HYPERLINK("http://catalog.hathitrust.org/Record/008680274")</f>
        <v>http://catalog.hathitrust.org/Record/008680274</v>
      </c>
      <c r="J6285" s="1">
        <v>1891</v>
      </c>
      <c r="K6285" t="s">
        <v>5653</v>
      </c>
      <c r="L6285" t="s">
        <v>5654</v>
      </c>
    </row>
    <row r="6286" spans="1:12">
      <c r="A6286" t="s">
        <v>5655</v>
      </c>
      <c r="B6286" s="1" t="s">
        <v>5656</v>
      </c>
      <c r="F6286">
        <v>1</v>
      </c>
      <c r="G6286" t="str">
        <f>HYPERLINK("http://babel.hathitrust.org/cgi/pt?id=nyp.33433081990396")</f>
        <v>http://babel.hathitrust.org/cgi/pt?id=nyp.33433081990396</v>
      </c>
      <c r="H6286" t="str">
        <f>HYPERLINK("http://catalog.hathitrust.org/Record/008680278")</f>
        <v>http://catalog.hathitrust.org/Record/008680278</v>
      </c>
      <c r="J6286" s="1">
        <v>1888</v>
      </c>
      <c r="K6286" t="s">
        <v>5657</v>
      </c>
      <c r="L6286" t="s">
        <v>12623</v>
      </c>
    </row>
    <row r="6287" spans="1:12">
      <c r="A6287" t="s">
        <v>5658</v>
      </c>
      <c r="B6287" s="1" t="s">
        <v>5659</v>
      </c>
      <c r="F6287">
        <v>1</v>
      </c>
      <c r="G6287" t="str">
        <f>HYPERLINK("http://babel.hathitrust.org/cgi/pt?id=nyp.33433081990404")</f>
        <v>http://babel.hathitrust.org/cgi/pt?id=nyp.33433081990404</v>
      </c>
      <c r="H6287" t="str">
        <f>HYPERLINK("http://catalog.hathitrust.org/Record/008680281")</f>
        <v>http://catalog.hathitrust.org/Record/008680281</v>
      </c>
      <c r="J6287" s="1">
        <v>1895</v>
      </c>
      <c r="K6287" t="s">
        <v>5660</v>
      </c>
      <c r="L6287" t="s">
        <v>12623</v>
      </c>
    </row>
    <row r="6288" spans="1:12">
      <c r="A6288" t="s">
        <v>5661</v>
      </c>
      <c r="B6288" s="1" t="s">
        <v>5662</v>
      </c>
      <c r="F6288">
        <v>1</v>
      </c>
      <c r="G6288" t="str">
        <f>HYPERLINK("http://babel.hathitrust.org/cgi/pt?id=nyp.33433081990412")</f>
        <v>http://babel.hathitrust.org/cgi/pt?id=nyp.33433081990412</v>
      </c>
      <c r="H6288" t="str">
        <f>HYPERLINK("http://catalog.hathitrust.org/Record/008680285")</f>
        <v>http://catalog.hathitrust.org/Record/008680285</v>
      </c>
      <c r="J6288" s="1">
        <v>1905</v>
      </c>
      <c r="K6288" t="s">
        <v>5663</v>
      </c>
      <c r="L6288" t="s">
        <v>6033</v>
      </c>
    </row>
    <row r="6289" spans="1:12">
      <c r="A6289" t="s">
        <v>5664</v>
      </c>
      <c r="B6289" s="1" t="s">
        <v>5665</v>
      </c>
      <c r="F6289">
        <v>1</v>
      </c>
      <c r="G6289" t="str">
        <f>HYPERLINK("http://babel.hathitrust.org/cgi/pt?id=nyp.33433069242604")</f>
        <v>http://babel.hathitrust.org/cgi/pt?id=nyp.33433069242604</v>
      </c>
      <c r="H6289" t="str">
        <f>HYPERLINK("http://catalog.hathitrust.org/Record/008680286")</f>
        <v>http://catalog.hathitrust.org/Record/008680286</v>
      </c>
      <c r="J6289" s="1">
        <v>1920</v>
      </c>
      <c r="K6289" t="s">
        <v>8665</v>
      </c>
      <c r="L6289" t="s">
        <v>16396</v>
      </c>
    </row>
    <row r="6290" spans="1:12">
      <c r="A6290" t="s">
        <v>5666</v>
      </c>
      <c r="B6290" s="1" t="s">
        <v>5667</v>
      </c>
      <c r="F6290">
        <v>1</v>
      </c>
      <c r="G6290" t="str">
        <f>HYPERLINK("http://babel.hathitrust.org/cgi/pt?id=nyp.33433082311733")</f>
        <v>http://babel.hathitrust.org/cgi/pt?id=nyp.33433082311733</v>
      </c>
      <c r="H6290" t="str">
        <f>HYPERLINK("http://catalog.hathitrust.org/Record/008680302")</f>
        <v>http://catalog.hathitrust.org/Record/008680302</v>
      </c>
      <c r="I6290" s="1" t="s">
        <v>5669</v>
      </c>
      <c r="J6290" s="1">
        <v>1878</v>
      </c>
      <c r="K6290" t="s">
        <v>5668</v>
      </c>
      <c r="L6290" t="s">
        <v>5670</v>
      </c>
    </row>
    <row r="6291" spans="1:12">
      <c r="A6291" t="s">
        <v>5671</v>
      </c>
      <c r="B6291" s="1" t="s">
        <v>5667</v>
      </c>
      <c r="F6291">
        <v>1</v>
      </c>
      <c r="G6291" t="str">
        <f>HYPERLINK("http://babel.hathitrust.org/cgi/pt?id=nyp.33433082311741")</f>
        <v>http://babel.hathitrust.org/cgi/pt?id=nyp.33433082311741</v>
      </c>
      <c r="H6291" t="str">
        <f>HYPERLINK("http://catalog.hathitrust.org/Record/008680302")</f>
        <v>http://catalog.hathitrust.org/Record/008680302</v>
      </c>
      <c r="I6291" s="1" t="s">
        <v>5672</v>
      </c>
      <c r="J6291" s="1">
        <v>1878</v>
      </c>
      <c r="K6291" t="s">
        <v>5668</v>
      </c>
      <c r="L6291" t="s">
        <v>5670</v>
      </c>
    </row>
    <row r="6292" spans="1:12">
      <c r="A6292" t="s">
        <v>5673</v>
      </c>
      <c r="B6292" s="1" t="s">
        <v>5674</v>
      </c>
      <c r="E6292">
        <v>1</v>
      </c>
      <c r="F6292">
        <v>1</v>
      </c>
      <c r="G6292" t="str">
        <f>HYPERLINK("http://babel.hathitrust.org/cgi/pt?id=nyp.33433069256471")</f>
        <v>http://babel.hathitrust.org/cgi/pt?id=nyp.33433069256471</v>
      </c>
      <c r="H6292" t="str">
        <f>HYPERLINK("http://catalog.hathitrust.org/Record/008680455")</f>
        <v>http://catalog.hathitrust.org/Record/008680455</v>
      </c>
      <c r="J6292" s="1">
        <v>1897</v>
      </c>
      <c r="K6292" t="s">
        <v>5675</v>
      </c>
      <c r="L6292" t="s">
        <v>21014</v>
      </c>
    </row>
    <row r="6293" spans="1:12">
      <c r="A6293" t="s">
        <v>5676</v>
      </c>
      <c r="B6293" s="1" t="s">
        <v>5677</v>
      </c>
      <c r="F6293">
        <v>1</v>
      </c>
      <c r="G6293" t="str">
        <f>HYPERLINK("http://babel.hathitrust.org/cgi/pt?id=nyp.33433069256836")</f>
        <v>http://babel.hathitrust.org/cgi/pt?id=nyp.33433069256836</v>
      </c>
      <c r="H6293" t="str">
        <f>HYPERLINK("http://catalog.hathitrust.org/Record/008680457")</f>
        <v>http://catalog.hathitrust.org/Record/008680457</v>
      </c>
      <c r="J6293" s="1">
        <v>1832</v>
      </c>
      <c r="K6293" t="s">
        <v>5678</v>
      </c>
    </row>
    <row r="6294" spans="1:12">
      <c r="A6294" t="s">
        <v>5679</v>
      </c>
      <c r="B6294" s="1" t="s">
        <v>5680</v>
      </c>
      <c r="F6294">
        <v>1</v>
      </c>
      <c r="G6294" t="str">
        <f>HYPERLINK("http://babel.hathitrust.org/cgi/pt?id=nyp.33433082311238")</f>
        <v>http://babel.hathitrust.org/cgi/pt?id=nyp.33433082311238</v>
      </c>
      <c r="H6294" t="str">
        <f>HYPERLINK("http://catalog.hathitrust.org/Record/008680466")</f>
        <v>http://catalog.hathitrust.org/Record/008680466</v>
      </c>
      <c r="J6294" s="1">
        <v>1922</v>
      </c>
      <c r="K6294" t="s">
        <v>5681</v>
      </c>
      <c r="L6294" t="s">
        <v>12800</v>
      </c>
    </row>
    <row r="6295" spans="1:12">
      <c r="A6295" t="s">
        <v>5682</v>
      </c>
      <c r="B6295" s="1" t="s">
        <v>5683</v>
      </c>
      <c r="E6295">
        <v>1</v>
      </c>
      <c r="F6295">
        <v>1</v>
      </c>
      <c r="G6295" t="str">
        <f>HYPERLINK("http://babel.hathitrust.org/cgi/pt?id=nyp.33433069256802")</f>
        <v>http://babel.hathitrust.org/cgi/pt?id=nyp.33433069256802</v>
      </c>
      <c r="H6295" t="str">
        <f>HYPERLINK("http://catalog.hathitrust.org/Record/008680467")</f>
        <v>http://catalog.hathitrust.org/Record/008680467</v>
      </c>
      <c r="J6295" s="1">
        <v>1853</v>
      </c>
      <c r="K6295" t="s">
        <v>5684</v>
      </c>
      <c r="L6295" t="s">
        <v>19446</v>
      </c>
    </row>
    <row r="6296" spans="1:12">
      <c r="A6296" t="s">
        <v>5685</v>
      </c>
      <c r="B6296" s="1" t="s">
        <v>5686</v>
      </c>
      <c r="F6296">
        <v>1</v>
      </c>
      <c r="G6296" t="str">
        <f>HYPERLINK("http://babel.hathitrust.org/cgi/pt?id=nyp.33433069247892")</f>
        <v>http://babel.hathitrust.org/cgi/pt?id=nyp.33433069247892</v>
      </c>
      <c r="H6296" t="str">
        <f>HYPERLINK("http://catalog.hathitrust.org/Record/008680494")</f>
        <v>http://catalog.hathitrust.org/Record/008680494</v>
      </c>
      <c r="J6296" s="1">
        <v>1907</v>
      </c>
      <c r="K6296" t="s">
        <v>5687</v>
      </c>
    </row>
    <row r="6297" spans="1:12">
      <c r="A6297" t="s">
        <v>5688</v>
      </c>
      <c r="B6297" s="1" t="s">
        <v>5689</v>
      </c>
      <c r="F6297">
        <v>1</v>
      </c>
      <c r="G6297" t="str">
        <f>HYPERLINK("http://babel.hathitrust.org/cgi/pt?id=nyp.33433069248049")</f>
        <v>http://babel.hathitrust.org/cgi/pt?id=nyp.33433069248049</v>
      </c>
      <c r="H6297" t="str">
        <f>HYPERLINK("http://catalog.hathitrust.org/Record/008680506")</f>
        <v>http://catalog.hathitrust.org/Record/008680506</v>
      </c>
      <c r="J6297" s="1">
        <v>1866</v>
      </c>
      <c r="K6297" t="s">
        <v>5627</v>
      </c>
      <c r="L6297" t="s">
        <v>5628</v>
      </c>
    </row>
    <row r="6298" spans="1:12">
      <c r="A6298" t="s">
        <v>5629</v>
      </c>
      <c r="B6298" s="1" t="s">
        <v>5630</v>
      </c>
      <c r="F6298">
        <v>1</v>
      </c>
      <c r="G6298" t="str">
        <f>HYPERLINK("http://babel.hathitrust.org/cgi/pt?id=nyp.33433069247827")</f>
        <v>http://babel.hathitrust.org/cgi/pt?id=nyp.33433069247827</v>
      </c>
      <c r="H6298" t="str">
        <f>HYPERLINK("http://catalog.hathitrust.org/Record/008680511")</f>
        <v>http://catalog.hathitrust.org/Record/008680511</v>
      </c>
      <c r="J6298" s="1">
        <v>1908</v>
      </c>
      <c r="K6298" t="s">
        <v>16399</v>
      </c>
      <c r="L6298" t="s">
        <v>16984</v>
      </c>
    </row>
    <row r="6299" spans="1:12">
      <c r="A6299" t="s">
        <v>5631</v>
      </c>
      <c r="B6299" s="1" t="s">
        <v>5632</v>
      </c>
      <c r="F6299">
        <v>1</v>
      </c>
      <c r="G6299" t="str">
        <f>HYPERLINK("http://babel.hathitrust.org/cgi/pt?id=nyp.33433069248163")</f>
        <v>http://babel.hathitrust.org/cgi/pt?id=nyp.33433069248163</v>
      </c>
      <c r="H6299" t="str">
        <f>HYPERLINK("http://catalog.hathitrust.org/Record/008680518")</f>
        <v>http://catalog.hathitrust.org/Record/008680518</v>
      </c>
      <c r="J6299" s="1">
        <v>1848</v>
      </c>
      <c r="K6299" t="s">
        <v>5633</v>
      </c>
      <c r="L6299" t="s">
        <v>5634</v>
      </c>
    </row>
    <row r="6300" spans="1:12">
      <c r="A6300" t="s">
        <v>5635</v>
      </c>
      <c r="B6300" s="1" t="s">
        <v>5636</v>
      </c>
      <c r="F6300">
        <v>1</v>
      </c>
      <c r="G6300" t="str">
        <f>HYPERLINK("http://babel.hathitrust.org/cgi/pt?id=nyp.33433069247983")</f>
        <v>http://babel.hathitrust.org/cgi/pt?id=nyp.33433069247983</v>
      </c>
      <c r="H6300" t="str">
        <f>HYPERLINK("http://catalog.hathitrust.org/Record/008680520")</f>
        <v>http://catalog.hathitrust.org/Record/008680520</v>
      </c>
      <c r="J6300" s="1">
        <v>1849</v>
      </c>
      <c r="K6300" t="s">
        <v>5637</v>
      </c>
      <c r="L6300" t="s">
        <v>6119</v>
      </c>
    </row>
    <row r="6301" spans="1:12">
      <c r="A6301" t="s">
        <v>5638</v>
      </c>
      <c r="B6301" s="1" t="s">
        <v>5639</v>
      </c>
      <c r="F6301">
        <v>1</v>
      </c>
      <c r="G6301" t="str">
        <f>HYPERLINK("http://babel.hathitrust.org/cgi/pt?id=nyp.33433069248148")</f>
        <v>http://babel.hathitrust.org/cgi/pt?id=nyp.33433069248148</v>
      </c>
      <c r="H6301" t="str">
        <f>HYPERLINK("http://catalog.hathitrust.org/Record/008680521")</f>
        <v>http://catalog.hathitrust.org/Record/008680521</v>
      </c>
      <c r="J6301" s="1">
        <v>1892</v>
      </c>
      <c r="K6301" t="s">
        <v>5640</v>
      </c>
      <c r="L6301" t="s">
        <v>6672</v>
      </c>
    </row>
    <row r="6302" spans="1:12">
      <c r="A6302" t="s">
        <v>5641</v>
      </c>
      <c r="B6302" s="1" t="s">
        <v>5642</v>
      </c>
      <c r="E6302">
        <v>1</v>
      </c>
      <c r="G6302" t="str">
        <f>HYPERLINK("http://babel.hathitrust.org/cgi/pt?id=nyp.33433081987582")</f>
        <v>http://babel.hathitrust.org/cgi/pt?id=nyp.33433081987582</v>
      </c>
      <c r="H6302" t="str">
        <f>HYPERLINK("http://catalog.hathitrust.org/Record/008680630")</f>
        <v>http://catalog.hathitrust.org/Record/008680630</v>
      </c>
      <c r="J6302" s="1">
        <v>1848</v>
      </c>
      <c r="K6302" t="s">
        <v>5643</v>
      </c>
      <c r="L6302" t="s">
        <v>20960</v>
      </c>
    </row>
    <row r="6303" spans="1:12">
      <c r="A6303" t="s">
        <v>5644</v>
      </c>
      <c r="B6303" s="1" t="s">
        <v>5645</v>
      </c>
      <c r="E6303">
        <v>1</v>
      </c>
      <c r="F6303">
        <v>1</v>
      </c>
      <c r="G6303" t="str">
        <f>HYPERLINK("http://babel.hathitrust.org/cgi/pt?id=nyp.33433082310842")</f>
        <v>http://babel.hathitrust.org/cgi/pt?id=nyp.33433082310842</v>
      </c>
      <c r="H6303" t="str">
        <f>HYPERLINK("http://catalog.hathitrust.org/Record/008680793")</f>
        <v>http://catalog.hathitrust.org/Record/008680793</v>
      </c>
      <c r="J6303" s="1">
        <v>1894</v>
      </c>
      <c r="K6303" t="s">
        <v>5646</v>
      </c>
      <c r="L6303" t="s">
        <v>14911</v>
      </c>
    </row>
    <row r="6304" spans="1:12">
      <c r="A6304" t="s">
        <v>5647</v>
      </c>
      <c r="B6304" s="1" t="s">
        <v>5648</v>
      </c>
      <c r="E6304">
        <v>1</v>
      </c>
      <c r="F6304">
        <v>1</v>
      </c>
      <c r="G6304" t="str">
        <f>HYPERLINK("http://babel.hathitrust.org/cgi/pt?id=nyp.33433081988259")</f>
        <v>http://babel.hathitrust.org/cgi/pt?id=nyp.33433081988259</v>
      </c>
      <c r="H6304" t="str">
        <f>HYPERLINK("http://catalog.hathitrust.org/Record/008680794")</f>
        <v>http://catalog.hathitrust.org/Record/008680794</v>
      </c>
      <c r="J6304" s="1">
        <v>1860</v>
      </c>
      <c r="K6304" t="s">
        <v>5649</v>
      </c>
      <c r="L6304" t="s">
        <v>15662</v>
      </c>
    </row>
    <row r="6305" spans="1:12">
      <c r="A6305" t="s">
        <v>5597</v>
      </c>
      <c r="B6305" s="1" t="s">
        <v>5598</v>
      </c>
      <c r="E6305">
        <v>1</v>
      </c>
      <c r="F6305">
        <v>1</v>
      </c>
      <c r="G6305" t="str">
        <f>HYPERLINK("http://babel.hathitrust.org/cgi/pt?id=nyp.33433069257156")</f>
        <v>http://babel.hathitrust.org/cgi/pt?id=nyp.33433069257156</v>
      </c>
      <c r="H6305" t="str">
        <f>HYPERLINK("http://catalog.hathitrust.org/Record/008680795")</f>
        <v>http://catalog.hathitrust.org/Record/008680795</v>
      </c>
      <c r="J6305" s="1">
        <v>1875</v>
      </c>
      <c r="K6305" t="s">
        <v>5599</v>
      </c>
      <c r="L6305" t="s">
        <v>15662</v>
      </c>
    </row>
    <row r="6306" spans="1:12">
      <c r="A6306" t="s">
        <v>5600</v>
      </c>
      <c r="B6306" s="1" t="s">
        <v>5601</v>
      </c>
      <c r="E6306">
        <v>1</v>
      </c>
      <c r="F6306">
        <v>1</v>
      </c>
      <c r="G6306" t="str">
        <f>HYPERLINK("http://babel.hathitrust.org/cgi/pt?id=hvd.hn1q7n")</f>
        <v>http://babel.hathitrust.org/cgi/pt?id=hvd.hn1q7n</v>
      </c>
      <c r="H6306" t="str">
        <f>HYPERLINK("http://catalog.hathitrust.org/Record/008680796")</f>
        <v>http://catalog.hathitrust.org/Record/008680796</v>
      </c>
      <c r="J6306" s="1">
        <v>1854</v>
      </c>
      <c r="K6306" t="s">
        <v>5602</v>
      </c>
      <c r="L6306" t="s">
        <v>15662</v>
      </c>
    </row>
    <row r="6307" spans="1:12">
      <c r="A6307" t="s">
        <v>5603</v>
      </c>
      <c r="B6307" s="1" t="s">
        <v>5601</v>
      </c>
      <c r="F6307">
        <v>1</v>
      </c>
      <c r="G6307" t="str">
        <f>HYPERLINK("http://babel.hathitrust.org/cgi/pt?id=nyp.33433082310768")</f>
        <v>http://babel.hathitrust.org/cgi/pt?id=nyp.33433082310768</v>
      </c>
      <c r="H6307" t="str">
        <f>HYPERLINK("http://catalog.hathitrust.org/Record/008680796")</f>
        <v>http://catalog.hathitrust.org/Record/008680796</v>
      </c>
      <c r="J6307" s="1">
        <v>1854</v>
      </c>
      <c r="K6307" t="s">
        <v>5602</v>
      </c>
      <c r="L6307" t="s">
        <v>15662</v>
      </c>
    </row>
    <row r="6308" spans="1:12">
      <c r="A6308" t="s">
        <v>5604</v>
      </c>
      <c r="B6308" s="1" t="s">
        <v>5605</v>
      </c>
      <c r="E6308">
        <v>1</v>
      </c>
      <c r="F6308">
        <v>1</v>
      </c>
      <c r="G6308" t="str">
        <f>HYPERLINK("http://babel.hathitrust.org/cgi/pt?id=nyp.33433082310875")</f>
        <v>http://babel.hathitrust.org/cgi/pt?id=nyp.33433082310875</v>
      </c>
      <c r="H6308" t="str">
        <f>HYPERLINK("http://catalog.hathitrust.org/Record/008680798")</f>
        <v>http://catalog.hathitrust.org/Record/008680798</v>
      </c>
      <c r="J6308" s="1">
        <v>1862</v>
      </c>
      <c r="K6308" t="s">
        <v>5606</v>
      </c>
      <c r="L6308" t="s">
        <v>15662</v>
      </c>
    </row>
    <row r="6309" spans="1:12">
      <c r="A6309" t="s">
        <v>5607</v>
      </c>
      <c r="B6309" s="1" t="s">
        <v>5608</v>
      </c>
      <c r="E6309">
        <v>1</v>
      </c>
      <c r="F6309">
        <v>1</v>
      </c>
      <c r="G6309" t="str">
        <f>HYPERLINK("http://babel.hathitrust.org/cgi/pt?id=nyp.33433082310883")</f>
        <v>http://babel.hathitrust.org/cgi/pt?id=nyp.33433082310883</v>
      </c>
      <c r="H6309" t="str">
        <f>HYPERLINK("http://catalog.hathitrust.org/Record/008680799")</f>
        <v>http://catalog.hathitrust.org/Record/008680799</v>
      </c>
      <c r="J6309" s="1">
        <v>1865</v>
      </c>
      <c r="K6309" t="s">
        <v>5609</v>
      </c>
      <c r="L6309" t="s">
        <v>15662</v>
      </c>
    </row>
    <row r="6310" spans="1:12">
      <c r="A6310" t="s">
        <v>5610</v>
      </c>
      <c r="B6310" s="1" t="s">
        <v>5611</v>
      </c>
      <c r="F6310">
        <v>1</v>
      </c>
      <c r="G6310" t="str">
        <f>HYPERLINK("http://babel.hathitrust.org/cgi/pt?id=nyp.33433069257404")</f>
        <v>http://babel.hathitrust.org/cgi/pt?id=nyp.33433069257404</v>
      </c>
      <c r="H6310" t="str">
        <f>HYPERLINK("http://catalog.hathitrust.org/Record/008680802")</f>
        <v>http://catalog.hathitrust.org/Record/008680802</v>
      </c>
      <c r="J6310" s="1">
        <v>1863</v>
      </c>
      <c r="K6310" t="s">
        <v>5612</v>
      </c>
    </row>
    <row r="6311" spans="1:12">
      <c r="A6311" t="s">
        <v>5613</v>
      </c>
      <c r="B6311" s="1" t="s">
        <v>5614</v>
      </c>
      <c r="E6311">
        <v>1</v>
      </c>
      <c r="F6311">
        <v>1</v>
      </c>
      <c r="G6311" t="str">
        <f>HYPERLINK("http://babel.hathitrust.org/cgi/pt?id=nyp.33433069257131")</f>
        <v>http://babel.hathitrust.org/cgi/pt?id=nyp.33433069257131</v>
      </c>
      <c r="H6311" t="str">
        <f>HYPERLINK("http://catalog.hathitrust.org/Record/008680804")</f>
        <v>http://catalog.hathitrust.org/Record/008680804</v>
      </c>
      <c r="J6311" s="1">
        <v>1842</v>
      </c>
      <c r="K6311" t="s">
        <v>5615</v>
      </c>
      <c r="L6311" t="s">
        <v>5616</v>
      </c>
    </row>
    <row r="6312" spans="1:12">
      <c r="A6312" t="s">
        <v>5617</v>
      </c>
      <c r="B6312" s="1" t="s">
        <v>5614</v>
      </c>
      <c r="F6312">
        <v>1</v>
      </c>
      <c r="G6312" t="str">
        <f>HYPERLINK("http://babel.hathitrust.org/cgi/pt?id=wu.89099894057")</f>
        <v>http://babel.hathitrust.org/cgi/pt?id=wu.89099894057</v>
      </c>
      <c r="H6312" t="str">
        <f>HYPERLINK("http://catalog.hathitrust.org/Record/008680804")</f>
        <v>http://catalog.hathitrust.org/Record/008680804</v>
      </c>
      <c r="J6312" s="1">
        <v>1842</v>
      </c>
      <c r="K6312" t="s">
        <v>5615</v>
      </c>
      <c r="L6312" t="s">
        <v>5616</v>
      </c>
    </row>
    <row r="6313" spans="1:12">
      <c r="A6313" t="s">
        <v>5618</v>
      </c>
      <c r="B6313" s="1" t="s">
        <v>5619</v>
      </c>
      <c r="F6313">
        <v>1</v>
      </c>
      <c r="G6313" t="str">
        <f>HYPERLINK("http://babel.hathitrust.org/cgi/pt?id=nyp.33433069257115")</f>
        <v>http://babel.hathitrust.org/cgi/pt?id=nyp.33433069257115</v>
      </c>
      <c r="H6313" t="str">
        <f>HYPERLINK("http://catalog.hathitrust.org/Record/008680805")</f>
        <v>http://catalog.hathitrust.org/Record/008680805</v>
      </c>
      <c r="I6313" s="1" t="s">
        <v>5621</v>
      </c>
      <c r="J6313" s="1">
        <v>1891</v>
      </c>
      <c r="K6313" t="s">
        <v>5620</v>
      </c>
      <c r="L6313" t="s">
        <v>5622</v>
      </c>
    </row>
    <row r="6314" spans="1:12">
      <c r="A6314" t="s">
        <v>5623</v>
      </c>
      <c r="B6314" s="1" t="s">
        <v>5619</v>
      </c>
      <c r="F6314">
        <v>1</v>
      </c>
      <c r="G6314" t="str">
        <f>HYPERLINK("http://babel.hathitrust.org/cgi/pt?id=wu.89099894305")</f>
        <v>http://babel.hathitrust.org/cgi/pt?id=wu.89099894305</v>
      </c>
      <c r="H6314" t="str">
        <f>HYPERLINK("http://catalog.hathitrust.org/Record/008680805")</f>
        <v>http://catalog.hathitrust.org/Record/008680805</v>
      </c>
      <c r="I6314" s="1" t="s">
        <v>20916</v>
      </c>
      <c r="J6314" s="1">
        <v>1891</v>
      </c>
      <c r="K6314" t="s">
        <v>5620</v>
      </c>
      <c r="L6314" t="s">
        <v>5622</v>
      </c>
    </row>
    <row r="6315" spans="1:12">
      <c r="A6315" t="s">
        <v>5624</v>
      </c>
      <c r="B6315" s="1" t="s">
        <v>5619</v>
      </c>
      <c r="F6315">
        <v>1</v>
      </c>
      <c r="G6315" t="str">
        <f>HYPERLINK("http://babel.hathitrust.org/cgi/pt?id=wu.89099894313")</f>
        <v>http://babel.hathitrust.org/cgi/pt?id=wu.89099894313</v>
      </c>
      <c r="H6315" t="str">
        <f>HYPERLINK("http://catalog.hathitrust.org/Record/008680805")</f>
        <v>http://catalog.hathitrust.org/Record/008680805</v>
      </c>
      <c r="I6315" s="1" t="s">
        <v>20755</v>
      </c>
      <c r="J6315" s="1">
        <v>1891</v>
      </c>
      <c r="K6315" t="s">
        <v>5620</v>
      </c>
      <c r="L6315" t="s">
        <v>5622</v>
      </c>
    </row>
    <row r="6316" spans="1:12">
      <c r="A6316" t="s">
        <v>5625</v>
      </c>
      <c r="B6316" s="1" t="s">
        <v>5626</v>
      </c>
      <c r="F6316">
        <v>1</v>
      </c>
      <c r="G6316" t="str">
        <f>HYPERLINK("http://babel.hathitrust.org/cgi/pt?id=nyp.33433069255499")</f>
        <v>http://babel.hathitrust.org/cgi/pt?id=nyp.33433069255499</v>
      </c>
      <c r="H6316" t="str">
        <f>HYPERLINK("http://catalog.hathitrust.org/Record/008680814")</f>
        <v>http://catalog.hathitrust.org/Record/008680814</v>
      </c>
      <c r="J6316" s="1">
        <v>1945</v>
      </c>
      <c r="K6316" t="s">
        <v>5561</v>
      </c>
      <c r="L6316" t="s">
        <v>16785</v>
      </c>
    </row>
    <row r="6317" spans="1:12">
      <c r="A6317" t="s">
        <v>5562</v>
      </c>
      <c r="B6317" s="1" t="s">
        <v>5563</v>
      </c>
      <c r="F6317">
        <v>1</v>
      </c>
      <c r="G6317" t="str">
        <f>HYPERLINK("http://babel.hathitrust.org/cgi/pt?id=nyp.33433069256620")</f>
        <v>http://babel.hathitrust.org/cgi/pt?id=nyp.33433069256620</v>
      </c>
      <c r="H6317" t="str">
        <f>HYPERLINK("http://catalog.hathitrust.org/Record/008680821")</f>
        <v>http://catalog.hathitrust.org/Record/008680821</v>
      </c>
      <c r="J6317" s="1">
        <v>1878</v>
      </c>
      <c r="K6317" t="s">
        <v>5564</v>
      </c>
      <c r="L6317" t="s">
        <v>5565</v>
      </c>
    </row>
    <row r="6318" spans="1:12">
      <c r="A6318" t="s">
        <v>5566</v>
      </c>
      <c r="B6318" s="1" t="s">
        <v>5567</v>
      </c>
      <c r="F6318">
        <v>1</v>
      </c>
      <c r="G6318" t="str">
        <f>HYPERLINK("http://babel.hathitrust.org/cgi/pt?id=nyp.33433069256539")</f>
        <v>http://babel.hathitrust.org/cgi/pt?id=nyp.33433069256539</v>
      </c>
      <c r="H6318" t="str">
        <f>HYPERLINK("http://catalog.hathitrust.org/Record/008680822")</f>
        <v>http://catalog.hathitrust.org/Record/008680822</v>
      </c>
      <c r="J6318" s="1">
        <v>1902</v>
      </c>
      <c r="K6318" t="s">
        <v>5568</v>
      </c>
      <c r="L6318" t="s">
        <v>5569</v>
      </c>
    </row>
    <row r="6319" spans="1:12">
      <c r="A6319" t="s">
        <v>5570</v>
      </c>
      <c r="B6319" s="1" t="s">
        <v>5571</v>
      </c>
      <c r="F6319">
        <v>1</v>
      </c>
      <c r="G6319" t="str">
        <f>HYPERLINK("http://babel.hathitrust.org/cgi/pt?id=nyp.33433069256521")</f>
        <v>http://babel.hathitrust.org/cgi/pt?id=nyp.33433069256521</v>
      </c>
      <c r="H6319" t="str">
        <f>HYPERLINK("http://catalog.hathitrust.org/Record/008680824")</f>
        <v>http://catalog.hathitrust.org/Record/008680824</v>
      </c>
      <c r="J6319" s="1">
        <v>1857</v>
      </c>
      <c r="K6319" t="s">
        <v>5572</v>
      </c>
      <c r="L6319" t="s">
        <v>5573</v>
      </c>
    </row>
    <row r="6320" spans="1:12">
      <c r="A6320" t="s">
        <v>5574</v>
      </c>
      <c r="B6320" s="1" t="s">
        <v>5575</v>
      </c>
      <c r="D6320">
        <v>1</v>
      </c>
      <c r="G6320" t="str">
        <f>HYPERLINK("http://babel.hathitrust.org/cgi/pt?id=nyp.33433069244378")</f>
        <v>http://babel.hathitrust.org/cgi/pt?id=nyp.33433069244378</v>
      </c>
      <c r="H6320" t="str">
        <f>HYPERLINK("http://catalog.hathitrust.org/Record/008680828")</f>
        <v>http://catalog.hathitrust.org/Record/008680828</v>
      </c>
      <c r="J6320" s="1">
        <v>1825</v>
      </c>
      <c r="K6320" t="s">
        <v>5576</v>
      </c>
      <c r="L6320" t="s">
        <v>20043</v>
      </c>
    </row>
    <row r="6321" spans="1:12">
      <c r="A6321" t="s">
        <v>5577</v>
      </c>
      <c r="B6321" s="1" t="s">
        <v>5578</v>
      </c>
      <c r="D6321">
        <v>1</v>
      </c>
      <c r="G6321" t="str">
        <f>HYPERLINK("http://babel.hathitrust.org/cgi/pt?id=nyp.33433069256638")</f>
        <v>http://babel.hathitrust.org/cgi/pt?id=nyp.33433069256638</v>
      </c>
      <c r="H6321" t="str">
        <f>HYPERLINK("http://catalog.hathitrust.org/Record/008680832")</f>
        <v>http://catalog.hathitrust.org/Record/008680832</v>
      </c>
      <c r="J6321" s="1">
        <v>1807</v>
      </c>
      <c r="K6321" t="s">
        <v>5579</v>
      </c>
      <c r="L6321" t="s">
        <v>20043</v>
      </c>
    </row>
    <row r="6322" spans="1:12">
      <c r="A6322" t="s">
        <v>5580</v>
      </c>
      <c r="B6322" s="1" t="s">
        <v>5581</v>
      </c>
      <c r="F6322">
        <v>1</v>
      </c>
      <c r="G6322" t="str">
        <f>HYPERLINK("http://babel.hathitrust.org/cgi/pt?id=nyp.33433081988382")</f>
        <v>http://babel.hathitrust.org/cgi/pt?id=nyp.33433081988382</v>
      </c>
      <c r="H6322" t="str">
        <f>HYPERLINK("http://catalog.hathitrust.org/Record/008680840")</f>
        <v>http://catalog.hathitrust.org/Record/008680840</v>
      </c>
      <c r="J6322" s="1">
        <v>1872</v>
      </c>
      <c r="K6322" t="s">
        <v>5582</v>
      </c>
      <c r="L6322" t="s">
        <v>5583</v>
      </c>
    </row>
    <row r="6323" spans="1:12">
      <c r="A6323" t="s">
        <v>5584</v>
      </c>
      <c r="B6323" s="1" t="s">
        <v>5585</v>
      </c>
      <c r="D6323">
        <v>1</v>
      </c>
      <c r="G6323" t="str">
        <f>HYPERLINK("http://babel.hathitrust.org/cgi/pt?id=nyp.33433081987897")</f>
        <v>http://babel.hathitrust.org/cgi/pt?id=nyp.33433081987897</v>
      </c>
      <c r="H6323" t="str">
        <f>HYPERLINK("http://catalog.hathitrust.org/Record/008680874")</f>
        <v>http://catalog.hathitrust.org/Record/008680874</v>
      </c>
      <c r="J6323" s="1">
        <v>1835</v>
      </c>
      <c r="K6323" t="s">
        <v>5586</v>
      </c>
      <c r="L6323" t="s">
        <v>20086</v>
      </c>
    </row>
    <row r="6324" spans="1:12">
      <c r="A6324" t="s">
        <v>5587</v>
      </c>
      <c r="B6324" s="1" t="s">
        <v>5588</v>
      </c>
      <c r="F6324">
        <v>1</v>
      </c>
      <c r="G6324" t="str">
        <f>HYPERLINK("http://babel.hathitrust.org/cgi/pt?id=nyp.33433082177142")</f>
        <v>http://babel.hathitrust.org/cgi/pt?id=nyp.33433082177142</v>
      </c>
      <c r="H6324" t="str">
        <f>HYPERLINK("http://catalog.hathitrust.org/Record/008680885")</f>
        <v>http://catalog.hathitrust.org/Record/008680885</v>
      </c>
      <c r="J6324" s="1">
        <v>1897</v>
      </c>
      <c r="K6324" t="s">
        <v>5589</v>
      </c>
      <c r="L6324" t="s">
        <v>5590</v>
      </c>
    </row>
    <row r="6325" spans="1:12">
      <c r="A6325" t="s">
        <v>5591</v>
      </c>
      <c r="B6325" s="1" t="s">
        <v>5592</v>
      </c>
      <c r="F6325">
        <v>1</v>
      </c>
      <c r="G6325" t="str">
        <f>HYPERLINK("http://babel.hathitrust.org/cgi/pt?id=nyp.33433075976252")</f>
        <v>http://babel.hathitrust.org/cgi/pt?id=nyp.33433075976252</v>
      </c>
      <c r="H6325" t="str">
        <f>HYPERLINK("http://catalog.hathitrust.org/Record/008681613")</f>
        <v>http://catalog.hathitrust.org/Record/008681613</v>
      </c>
      <c r="J6325" s="1">
        <v>1786</v>
      </c>
      <c r="K6325" t="s">
        <v>5593</v>
      </c>
      <c r="L6325" t="s">
        <v>5594</v>
      </c>
    </row>
    <row r="6326" spans="1:12">
      <c r="A6326" t="s">
        <v>5595</v>
      </c>
      <c r="B6326" s="1" t="s">
        <v>5596</v>
      </c>
      <c r="F6326">
        <v>1</v>
      </c>
      <c r="G6326" t="str">
        <f>HYPERLINK("http://babel.hathitrust.org/cgi/pt?id=nyp.33433074894175")</f>
        <v>http://babel.hathitrust.org/cgi/pt?id=nyp.33433074894175</v>
      </c>
      <c r="H6326" t="str">
        <f>HYPERLINK("http://catalog.hathitrust.org/Record/008683409")</f>
        <v>http://catalog.hathitrust.org/Record/008683409</v>
      </c>
      <c r="J6326" s="1">
        <v>1838</v>
      </c>
      <c r="K6326" t="s">
        <v>5525</v>
      </c>
      <c r="L6326" t="s">
        <v>5526</v>
      </c>
    </row>
    <row r="6327" spans="1:12">
      <c r="A6327" t="s">
        <v>5527</v>
      </c>
      <c r="B6327" s="1" t="s">
        <v>5528</v>
      </c>
      <c r="E6327">
        <v>1</v>
      </c>
      <c r="F6327">
        <v>1</v>
      </c>
      <c r="G6327" t="str">
        <f>HYPERLINK("http://babel.hathitrust.org/cgi/pt?id=nyp.33433075914659")</f>
        <v>http://babel.hathitrust.org/cgi/pt?id=nyp.33433075914659</v>
      </c>
      <c r="H6327" t="str">
        <f>HYPERLINK("http://catalog.hathitrust.org/Record/008684643")</f>
        <v>http://catalog.hathitrust.org/Record/008684643</v>
      </c>
      <c r="J6327" s="1">
        <v>1840</v>
      </c>
      <c r="K6327" t="s">
        <v>5529</v>
      </c>
      <c r="L6327" t="s">
        <v>15008</v>
      </c>
    </row>
    <row r="6328" spans="1:12">
      <c r="A6328" t="s">
        <v>5530</v>
      </c>
      <c r="B6328" s="1" t="s">
        <v>5531</v>
      </c>
      <c r="F6328">
        <v>1</v>
      </c>
      <c r="G6328" t="str">
        <f>HYPERLINK("http://babel.hathitrust.org/cgi/pt?id=nyp.33433081810677")</f>
        <v>http://babel.hathitrust.org/cgi/pt?id=nyp.33433081810677</v>
      </c>
      <c r="H6328" t="str">
        <f>HYPERLINK("http://catalog.hathitrust.org/Record/008685257")</f>
        <v>http://catalog.hathitrust.org/Record/008685257</v>
      </c>
      <c r="J6328" s="1">
        <v>1808</v>
      </c>
      <c r="K6328" t="s">
        <v>5532</v>
      </c>
      <c r="L6328" t="s">
        <v>20960</v>
      </c>
    </row>
    <row r="6329" spans="1:12">
      <c r="A6329" t="s">
        <v>5533</v>
      </c>
      <c r="B6329" s="1" t="s">
        <v>5534</v>
      </c>
      <c r="F6329">
        <v>1</v>
      </c>
      <c r="G6329" t="str">
        <f>HYPERLINK("http://babel.hathitrust.org/cgi/pt?id=hvd.hxjgce")</f>
        <v>http://babel.hathitrust.org/cgi/pt?id=hvd.hxjgce</v>
      </c>
      <c r="H6329" t="str">
        <f>HYPERLINK("http://catalog.hathitrust.org/Record/008685258")</f>
        <v>http://catalog.hathitrust.org/Record/008685258</v>
      </c>
      <c r="J6329" s="1">
        <v>1815</v>
      </c>
      <c r="K6329" t="s">
        <v>5535</v>
      </c>
      <c r="L6329" t="s">
        <v>20960</v>
      </c>
    </row>
    <row r="6330" spans="1:12">
      <c r="A6330" t="s">
        <v>5536</v>
      </c>
      <c r="B6330" s="1" t="s">
        <v>5534</v>
      </c>
      <c r="F6330">
        <v>1</v>
      </c>
      <c r="G6330" t="str">
        <f>HYPERLINK("http://babel.hathitrust.org/cgi/pt?id=nyp.33433081810669")</f>
        <v>http://babel.hathitrust.org/cgi/pt?id=nyp.33433081810669</v>
      </c>
      <c r="H6330" t="str">
        <f>HYPERLINK("http://catalog.hathitrust.org/Record/008685258")</f>
        <v>http://catalog.hathitrust.org/Record/008685258</v>
      </c>
      <c r="J6330" s="1">
        <v>1815</v>
      </c>
      <c r="K6330" t="s">
        <v>5535</v>
      </c>
      <c r="L6330" t="s">
        <v>20960</v>
      </c>
    </row>
    <row r="6331" spans="1:12">
      <c r="A6331" t="s">
        <v>5537</v>
      </c>
      <c r="B6331" s="1" t="s">
        <v>5538</v>
      </c>
      <c r="F6331">
        <v>1</v>
      </c>
      <c r="G6331" t="str">
        <f>HYPERLINK("http://babel.hathitrust.org/cgi/pt?id=nyp.33433081810495")</f>
        <v>http://babel.hathitrust.org/cgi/pt?id=nyp.33433081810495</v>
      </c>
      <c r="H6331" t="str">
        <f>HYPERLINK("http://catalog.hathitrust.org/Record/008685259")</f>
        <v>http://catalog.hathitrust.org/Record/008685259</v>
      </c>
      <c r="J6331" s="1">
        <v>1830</v>
      </c>
      <c r="K6331" t="s">
        <v>5539</v>
      </c>
      <c r="L6331" t="s">
        <v>20960</v>
      </c>
    </row>
    <row r="6332" spans="1:12">
      <c r="A6332" t="s">
        <v>5540</v>
      </c>
      <c r="B6332" s="1" t="s">
        <v>5541</v>
      </c>
      <c r="F6332">
        <v>1</v>
      </c>
      <c r="G6332" t="str">
        <f>HYPERLINK("http://babel.hathitrust.org/cgi/pt?id=nyp.33433069243933")</f>
        <v>http://babel.hathitrust.org/cgi/pt?id=nyp.33433069243933</v>
      </c>
      <c r="H6332" t="str">
        <f>HYPERLINK("http://catalog.hathitrust.org/Record/008685868")</f>
        <v>http://catalog.hathitrust.org/Record/008685868</v>
      </c>
      <c r="J6332" s="1">
        <v>1838</v>
      </c>
      <c r="K6332" t="s">
        <v>5542</v>
      </c>
      <c r="L6332" t="s">
        <v>5543</v>
      </c>
    </row>
    <row r="6333" spans="1:12">
      <c r="A6333" t="s">
        <v>5544</v>
      </c>
      <c r="B6333" s="1" t="s">
        <v>5545</v>
      </c>
      <c r="E6333">
        <v>1</v>
      </c>
      <c r="F6333">
        <v>1</v>
      </c>
      <c r="G6333" t="str">
        <f>HYPERLINK("http://babel.hathitrust.org/cgi/pt?id=nyp.33433069255085")</f>
        <v>http://babel.hathitrust.org/cgi/pt?id=nyp.33433069255085</v>
      </c>
      <c r="H6333" t="str">
        <f>HYPERLINK("http://catalog.hathitrust.org/Record/008685869")</f>
        <v>http://catalog.hathitrust.org/Record/008685869</v>
      </c>
      <c r="J6333" s="1">
        <v>1794</v>
      </c>
      <c r="K6333" t="s">
        <v>5546</v>
      </c>
      <c r="L6333" t="s">
        <v>20956</v>
      </c>
    </row>
    <row r="6334" spans="1:12">
      <c r="A6334" t="s">
        <v>5547</v>
      </c>
      <c r="B6334" s="1" t="s">
        <v>5548</v>
      </c>
      <c r="F6334">
        <v>1</v>
      </c>
      <c r="G6334" t="str">
        <f>HYPERLINK("http://babel.hathitrust.org/cgi/pt?id=nyp.33433081988614")</f>
        <v>http://babel.hathitrust.org/cgi/pt?id=nyp.33433081988614</v>
      </c>
      <c r="H6334" t="str">
        <f>HYPERLINK("http://catalog.hathitrust.org/Record/008685870")</f>
        <v>http://catalog.hathitrust.org/Record/008685870</v>
      </c>
      <c r="J6334" s="1">
        <v>1849</v>
      </c>
      <c r="K6334" t="s">
        <v>5860</v>
      </c>
      <c r="L6334" t="s">
        <v>11681</v>
      </c>
    </row>
    <row r="6335" spans="1:12">
      <c r="A6335" t="s">
        <v>5549</v>
      </c>
      <c r="B6335" s="1" t="s">
        <v>5550</v>
      </c>
      <c r="E6335">
        <v>1</v>
      </c>
      <c r="F6335">
        <v>1</v>
      </c>
      <c r="G6335" t="str">
        <f>HYPERLINK("http://babel.hathitrust.org/cgi/pt?id=nyp.33433069244295")</f>
        <v>http://babel.hathitrust.org/cgi/pt?id=nyp.33433069244295</v>
      </c>
      <c r="H6335" t="str">
        <f>HYPERLINK("http://catalog.hathitrust.org/Record/008685871")</f>
        <v>http://catalog.hathitrust.org/Record/008685871</v>
      </c>
      <c r="J6335" s="1">
        <v>1857</v>
      </c>
      <c r="K6335" t="s">
        <v>6002</v>
      </c>
      <c r="L6335" t="s">
        <v>11681</v>
      </c>
    </row>
    <row r="6336" spans="1:12">
      <c r="A6336" t="s">
        <v>5551</v>
      </c>
      <c r="B6336" s="1" t="s">
        <v>5552</v>
      </c>
      <c r="F6336">
        <v>1</v>
      </c>
      <c r="G6336" t="str">
        <f>HYPERLINK("http://babel.hathitrust.org/cgi/pt?id=nyp.33433081658886")</f>
        <v>http://babel.hathitrust.org/cgi/pt?id=nyp.33433081658886</v>
      </c>
      <c r="H6336" t="str">
        <f t="shared" ref="H6336:H6346" si="65">HYPERLINK("http://catalog.hathitrust.org/Record/008686552")</f>
        <v>http://catalog.hathitrust.org/Record/008686552</v>
      </c>
      <c r="I6336" s="1" t="s">
        <v>5554</v>
      </c>
      <c r="J6336" s="1">
        <v>1912</v>
      </c>
      <c r="K6336" t="s">
        <v>5553</v>
      </c>
    </row>
    <row r="6337" spans="1:12">
      <c r="A6337" t="s">
        <v>5555</v>
      </c>
      <c r="B6337" s="1" t="s">
        <v>5552</v>
      </c>
      <c r="F6337">
        <v>1</v>
      </c>
      <c r="G6337" t="str">
        <f>HYPERLINK("http://babel.hathitrust.org/cgi/pt?id=nyp.33433081658894")</f>
        <v>http://babel.hathitrust.org/cgi/pt?id=nyp.33433081658894</v>
      </c>
      <c r="H6337" t="str">
        <f t="shared" si="65"/>
        <v>http://catalog.hathitrust.org/Record/008686552</v>
      </c>
      <c r="I6337" s="1" t="s">
        <v>5556</v>
      </c>
      <c r="J6337" s="1">
        <v>1912</v>
      </c>
      <c r="K6337" t="s">
        <v>5553</v>
      </c>
    </row>
    <row r="6338" spans="1:12">
      <c r="A6338" t="s">
        <v>5557</v>
      </c>
      <c r="B6338" s="1" t="s">
        <v>5552</v>
      </c>
      <c r="F6338">
        <v>1</v>
      </c>
      <c r="G6338" t="str">
        <f>HYPERLINK("http://babel.hathitrust.org/cgi/pt?id=nyp.33433081658902")</f>
        <v>http://babel.hathitrust.org/cgi/pt?id=nyp.33433081658902</v>
      </c>
      <c r="H6338" t="str">
        <f t="shared" si="65"/>
        <v>http://catalog.hathitrust.org/Record/008686552</v>
      </c>
      <c r="I6338" s="1" t="s">
        <v>5558</v>
      </c>
      <c r="J6338" s="1">
        <v>1912</v>
      </c>
      <c r="K6338" t="s">
        <v>5553</v>
      </c>
    </row>
    <row r="6339" spans="1:12">
      <c r="A6339" t="s">
        <v>5559</v>
      </c>
      <c r="B6339" s="1" t="s">
        <v>5552</v>
      </c>
      <c r="F6339">
        <v>1</v>
      </c>
      <c r="G6339" t="str">
        <f>HYPERLINK("http://babel.hathitrust.org/cgi/pt?id=nyp.33433081658910")</f>
        <v>http://babel.hathitrust.org/cgi/pt?id=nyp.33433081658910</v>
      </c>
      <c r="H6339" t="str">
        <f t="shared" si="65"/>
        <v>http://catalog.hathitrust.org/Record/008686552</v>
      </c>
      <c r="I6339" s="1" t="s">
        <v>5560</v>
      </c>
      <c r="J6339" s="1">
        <v>1912</v>
      </c>
      <c r="K6339" t="s">
        <v>5553</v>
      </c>
    </row>
    <row r="6340" spans="1:12">
      <c r="A6340" t="s">
        <v>5480</v>
      </c>
      <c r="B6340" s="1" t="s">
        <v>5552</v>
      </c>
      <c r="F6340">
        <v>1</v>
      </c>
      <c r="G6340" t="str">
        <f>HYPERLINK("http://babel.hathitrust.org/cgi/pt?id=nyp.33433081658928")</f>
        <v>http://babel.hathitrust.org/cgi/pt?id=nyp.33433081658928</v>
      </c>
      <c r="H6340" t="str">
        <f t="shared" si="65"/>
        <v>http://catalog.hathitrust.org/Record/008686552</v>
      </c>
      <c r="I6340" s="1" t="s">
        <v>5481</v>
      </c>
      <c r="J6340" s="1">
        <v>1912</v>
      </c>
      <c r="K6340" t="s">
        <v>5553</v>
      </c>
    </row>
    <row r="6341" spans="1:12">
      <c r="A6341" t="s">
        <v>5482</v>
      </c>
      <c r="B6341" s="1" t="s">
        <v>5552</v>
      </c>
      <c r="F6341">
        <v>1</v>
      </c>
      <c r="G6341" t="str">
        <f>HYPERLINK("http://babel.hathitrust.org/cgi/pt?id=nyp.33433081658936")</f>
        <v>http://babel.hathitrust.org/cgi/pt?id=nyp.33433081658936</v>
      </c>
      <c r="H6341" t="str">
        <f t="shared" si="65"/>
        <v>http://catalog.hathitrust.org/Record/008686552</v>
      </c>
      <c r="I6341" s="1" t="s">
        <v>5483</v>
      </c>
      <c r="J6341" s="1">
        <v>1912</v>
      </c>
      <c r="K6341" t="s">
        <v>5553</v>
      </c>
    </row>
    <row r="6342" spans="1:12">
      <c r="A6342" t="s">
        <v>5484</v>
      </c>
      <c r="B6342" s="1" t="s">
        <v>5552</v>
      </c>
      <c r="F6342">
        <v>1</v>
      </c>
      <c r="G6342" t="str">
        <f>HYPERLINK("http://babel.hathitrust.org/cgi/pt?id=nyp.33433081658944")</f>
        <v>http://babel.hathitrust.org/cgi/pt?id=nyp.33433081658944</v>
      </c>
      <c r="H6342" t="str">
        <f t="shared" si="65"/>
        <v>http://catalog.hathitrust.org/Record/008686552</v>
      </c>
      <c r="I6342" s="1" t="s">
        <v>5485</v>
      </c>
      <c r="J6342" s="1">
        <v>1912</v>
      </c>
      <c r="K6342" t="s">
        <v>5553</v>
      </c>
    </row>
    <row r="6343" spans="1:12">
      <c r="A6343" t="s">
        <v>5486</v>
      </c>
      <c r="B6343" s="1" t="s">
        <v>5552</v>
      </c>
      <c r="F6343">
        <v>1</v>
      </c>
      <c r="G6343" t="str">
        <f>HYPERLINK("http://babel.hathitrust.org/cgi/pt?id=nyp.33433081658951")</f>
        <v>http://babel.hathitrust.org/cgi/pt?id=nyp.33433081658951</v>
      </c>
      <c r="H6343" t="str">
        <f t="shared" si="65"/>
        <v>http://catalog.hathitrust.org/Record/008686552</v>
      </c>
      <c r="I6343" s="1" t="s">
        <v>5487</v>
      </c>
      <c r="J6343" s="1">
        <v>1912</v>
      </c>
      <c r="K6343" t="s">
        <v>5553</v>
      </c>
    </row>
    <row r="6344" spans="1:12">
      <c r="A6344" t="s">
        <v>5488</v>
      </c>
      <c r="B6344" s="1" t="s">
        <v>5552</v>
      </c>
      <c r="F6344">
        <v>1</v>
      </c>
      <c r="G6344" t="str">
        <f>HYPERLINK("http://babel.hathitrust.org/cgi/pt?id=nyp.33433081658969")</f>
        <v>http://babel.hathitrust.org/cgi/pt?id=nyp.33433081658969</v>
      </c>
      <c r="H6344" t="str">
        <f t="shared" si="65"/>
        <v>http://catalog.hathitrust.org/Record/008686552</v>
      </c>
      <c r="I6344" s="1" t="s">
        <v>5489</v>
      </c>
      <c r="J6344" s="1">
        <v>1912</v>
      </c>
      <c r="K6344" t="s">
        <v>5553</v>
      </c>
    </row>
    <row r="6345" spans="1:12">
      <c r="A6345" t="s">
        <v>5490</v>
      </c>
      <c r="B6345" s="1" t="s">
        <v>5552</v>
      </c>
      <c r="F6345">
        <v>1</v>
      </c>
      <c r="G6345" t="str">
        <f>HYPERLINK("http://babel.hathitrust.org/cgi/pt?id=nyp.33433081658977")</f>
        <v>http://babel.hathitrust.org/cgi/pt?id=nyp.33433081658977</v>
      </c>
      <c r="H6345" t="str">
        <f t="shared" si="65"/>
        <v>http://catalog.hathitrust.org/Record/008686552</v>
      </c>
      <c r="I6345" s="1" t="s">
        <v>5491</v>
      </c>
      <c r="J6345" s="1">
        <v>1912</v>
      </c>
      <c r="K6345" t="s">
        <v>5553</v>
      </c>
    </row>
    <row r="6346" spans="1:12">
      <c r="A6346" t="s">
        <v>5492</v>
      </c>
      <c r="B6346" s="1" t="s">
        <v>5552</v>
      </c>
      <c r="F6346">
        <v>1</v>
      </c>
      <c r="G6346" t="str">
        <f>HYPERLINK("http://babel.hathitrust.org/cgi/pt?id=nyp.33433081658985")</f>
        <v>http://babel.hathitrust.org/cgi/pt?id=nyp.33433081658985</v>
      </c>
      <c r="H6346" t="str">
        <f t="shared" si="65"/>
        <v>http://catalog.hathitrust.org/Record/008686552</v>
      </c>
      <c r="I6346" s="1" t="s">
        <v>5493</v>
      </c>
      <c r="J6346" s="1">
        <v>1912</v>
      </c>
      <c r="K6346" t="s">
        <v>5553</v>
      </c>
    </row>
    <row r="6347" spans="1:12">
      <c r="A6347" t="s">
        <v>5494</v>
      </c>
      <c r="B6347" s="1" t="s">
        <v>5495</v>
      </c>
      <c r="F6347">
        <v>1</v>
      </c>
      <c r="G6347" t="str">
        <f>HYPERLINK("http://babel.hathitrust.org/cgi/pt?id=nyp.33433048230449")</f>
        <v>http://babel.hathitrust.org/cgi/pt?id=nyp.33433048230449</v>
      </c>
      <c r="H6347" t="str">
        <f>HYPERLINK("http://catalog.hathitrust.org/Record/008688865")</f>
        <v>http://catalog.hathitrust.org/Record/008688865</v>
      </c>
      <c r="J6347" s="1">
        <v>1809</v>
      </c>
      <c r="K6347" t="s">
        <v>8521</v>
      </c>
      <c r="L6347" t="s">
        <v>20043</v>
      </c>
    </row>
    <row r="6348" spans="1:12">
      <c r="A6348" t="s">
        <v>5496</v>
      </c>
      <c r="B6348" s="1" t="s">
        <v>5497</v>
      </c>
      <c r="F6348">
        <v>1</v>
      </c>
      <c r="G6348" t="str">
        <f>HYPERLINK("http://babel.hathitrust.org/cgi/pt?id=nyp.33433081595187")</f>
        <v>http://babel.hathitrust.org/cgi/pt?id=nyp.33433081595187</v>
      </c>
      <c r="H6348" t="str">
        <f>HYPERLINK("http://catalog.hathitrust.org/Record/008688886")</f>
        <v>http://catalog.hathitrust.org/Record/008688886</v>
      </c>
      <c r="J6348" s="1">
        <v>1816</v>
      </c>
      <c r="K6348" t="s">
        <v>5498</v>
      </c>
      <c r="L6348" t="s">
        <v>5499</v>
      </c>
    </row>
    <row r="6349" spans="1:12">
      <c r="A6349" t="s">
        <v>5500</v>
      </c>
      <c r="B6349" s="1" t="s">
        <v>5501</v>
      </c>
      <c r="F6349">
        <v>1</v>
      </c>
      <c r="G6349" t="str">
        <f>HYPERLINK("http://babel.hathitrust.org/cgi/pt?id=nyp.33433066584529")</f>
        <v>http://babel.hathitrust.org/cgi/pt?id=nyp.33433066584529</v>
      </c>
      <c r="H6349" t="str">
        <f>HYPERLINK("http://catalog.hathitrust.org/Record/008689006")</f>
        <v>http://catalog.hathitrust.org/Record/008689006</v>
      </c>
      <c r="J6349" s="1">
        <v>1871</v>
      </c>
      <c r="K6349" t="s">
        <v>5502</v>
      </c>
      <c r="L6349" t="s">
        <v>5503</v>
      </c>
    </row>
    <row r="6350" spans="1:12">
      <c r="A6350" t="s">
        <v>5504</v>
      </c>
      <c r="B6350" s="1" t="s">
        <v>5505</v>
      </c>
      <c r="F6350">
        <v>1</v>
      </c>
      <c r="G6350" t="str">
        <f>HYPERLINK("http://babel.hathitrust.org/cgi/pt?id=nyp.33433066603089")</f>
        <v>http://babel.hathitrust.org/cgi/pt?id=nyp.33433066603089</v>
      </c>
      <c r="H6350" t="str">
        <f>HYPERLINK("http://catalog.hathitrust.org/Record/008689013")</f>
        <v>http://catalog.hathitrust.org/Record/008689013</v>
      </c>
      <c r="J6350" s="1">
        <v>1872</v>
      </c>
      <c r="K6350" t="s">
        <v>13887</v>
      </c>
      <c r="L6350" t="s">
        <v>13888</v>
      </c>
    </row>
    <row r="6351" spans="1:12">
      <c r="A6351" t="s">
        <v>5506</v>
      </c>
      <c r="B6351" s="1" t="s">
        <v>5507</v>
      </c>
      <c r="F6351">
        <v>1</v>
      </c>
      <c r="G6351" t="str">
        <f>HYPERLINK("http://babel.hathitrust.org/cgi/pt?id=nyp.33433066603063")</f>
        <v>http://babel.hathitrust.org/cgi/pt?id=nyp.33433066603063</v>
      </c>
      <c r="H6351" t="str">
        <f>HYPERLINK("http://catalog.hathitrust.org/Record/008689014")</f>
        <v>http://catalog.hathitrust.org/Record/008689014</v>
      </c>
      <c r="J6351" s="1">
        <v>1831</v>
      </c>
      <c r="K6351" t="s">
        <v>5508</v>
      </c>
      <c r="L6351" t="s">
        <v>5509</v>
      </c>
    </row>
    <row r="6352" spans="1:12">
      <c r="A6352" t="s">
        <v>5510</v>
      </c>
      <c r="B6352" s="1" t="s">
        <v>5511</v>
      </c>
      <c r="F6352">
        <v>1</v>
      </c>
      <c r="G6352" t="str">
        <f>HYPERLINK("http://babel.hathitrust.org/cgi/pt?id=nyp.33433066603055")</f>
        <v>http://babel.hathitrust.org/cgi/pt?id=nyp.33433066603055</v>
      </c>
      <c r="H6352" t="str">
        <f>HYPERLINK("http://catalog.hathitrust.org/Record/008689016")</f>
        <v>http://catalog.hathitrust.org/Record/008689016</v>
      </c>
      <c r="J6352" s="1">
        <v>1785</v>
      </c>
      <c r="K6352" t="s">
        <v>5512</v>
      </c>
      <c r="L6352" t="s">
        <v>14033</v>
      </c>
    </row>
    <row r="6353" spans="1:12">
      <c r="A6353" t="s">
        <v>5513</v>
      </c>
      <c r="B6353" s="1" t="s">
        <v>5514</v>
      </c>
      <c r="F6353">
        <v>1</v>
      </c>
      <c r="G6353" t="str">
        <f>HYPERLINK("http://babel.hathitrust.org/cgi/pt?id=nyp.33433066603048")</f>
        <v>http://babel.hathitrust.org/cgi/pt?id=nyp.33433066603048</v>
      </c>
      <c r="H6353" t="str">
        <f>HYPERLINK("http://catalog.hathitrust.org/Record/008689017")</f>
        <v>http://catalog.hathitrust.org/Record/008689017</v>
      </c>
      <c r="J6353" s="1">
        <v>1805</v>
      </c>
      <c r="K6353" t="s">
        <v>5515</v>
      </c>
      <c r="L6353" t="s">
        <v>14033</v>
      </c>
    </row>
    <row r="6354" spans="1:12">
      <c r="A6354" t="s">
        <v>5516</v>
      </c>
      <c r="B6354" s="1" t="s">
        <v>5517</v>
      </c>
      <c r="F6354">
        <v>1</v>
      </c>
      <c r="G6354" t="str">
        <f>HYPERLINK("http://babel.hathitrust.org/cgi/pt?id=nyp.33433066603014")</f>
        <v>http://babel.hathitrust.org/cgi/pt?id=nyp.33433066603014</v>
      </c>
      <c r="H6354" t="str">
        <f>HYPERLINK("http://catalog.hathitrust.org/Record/008689019")</f>
        <v>http://catalog.hathitrust.org/Record/008689019</v>
      </c>
      <c r="J6354" s="1">
        <v>1904</v>
      </c>
      <c r="K6354" t="s">
        <v>5518</v>
      </c>
      <c r="L6354" t="s">
        <v>5519</v>
      </c>
    </row>
    <row r="6355" spans="1:12">
      <c r="A6355" t="s">
        <v>5520</v>
      </c>
      <c r="B6355" s="1" t="s">
        <v>5521</v>
      </c>
      <c r="F6355">
        <v>1</v>
      </c>
      <c r="G6355" t="str">
        <f>HYPERLINK("http://babel.hathitrust.org/cgi/pt?id=nyp.33433082511688")</f>
        <v>http://babel.hathitrust.org/cgi/pt?id=nyp.33433082511688</v>
      </c>
      <c r="H6355" t="str">
        <f>HYPERLINK("http://catalog.hathitrust.org/Record/008689027")</f>
        <v>http://catalog.hathitrust.org/Record/008689027</v>
      </c>
      <c r="J6355" s="1">
        <v>1826</v>
      </c>
      <c r="K6355" t="s">
        <v>14095</v>
      </c>
      <c r="L6355" t="s">
        <v>14096</v>
      </c>
    </row>
    <row r="6356" spans="1:12">
      <c r="A6356" t="s">
        <v>5522</v>
      </c>
      <c r="B6356" s="1" t="s">
        <v>5523</v>
      </c>
      <c r="F6356">
        <v>1</v>
      </c>
      <c r="G6356" t="str">
        <f>HYPERLINK("http://babel.hathitrust.org/cgi/pt?id=nyp.33433066605142")</f>
        <v>http://babel.hathitrust.org/cgi/pt?id=nyp.33433066605142</v>
      </c>
      <c r="H6356" t="str">
        <f>HYPERLINK("http://catalog.hathitrust.org/Record/008689029")</f>
        <v>http://catalog.hathitrust.org/Record/008689029</v>
      </c>
      <c r="J6356" s="1">
        <v>1900</v>
      </c>
      <c r="K6356" t="s">
        <v>5524</v>
      </c>
      <c r="L6356" t="s">
        <v>16950</v>
      </c>
    </row>
    <row r="6357" spans="1:12">
      <c r="A6357" t="s">
        <v>5440</v>
      </c>
      <c r="B6357" s="1" t="s">
        <v>5441</v>
      </c>
      <c r="E6357">
        <v>1</v>
      </c>
      <c r="F6357">
        <v>1</v>
      </c>
      <c r="G6357" t="str">
        <f>HYPERLINK("http://babel.hathitrust.org/cgi/pt?id=nyp.33433066604558")</f>
        <v>http://babel.hathitrust.org/cgi/pt?id=nyp.33433066604558</v>
      </c>
      <c r="H6357" t="str">
        <f>HYPERLINK("http://catalog.hathitrust.org/Record/008689060")</f>
        <v>http://catalog.hathitrust.org/Record/008689060</v>
      </c>
      <c r="J6357" s="1">
        <v>1896</v>
      </c>
      <c r="K6357" t="s">
        <v>5442</v>
      </c>
      <c r="L6357" t="s">
        <v>19514</v>
      </c>
    </row>
    <row r="6358" spans="1:12">
      <c r="A6358" t="s">
        <v>5443</v>
      </c>
      <c r="B6358" s="1" t="s">
        <v>5444</v>
      </c>
      <c r="F6358">
        <v>1</v>
      </c>
      <c r="G6358" t="str">
        <f>HYPERLINK("http://babel.hathitrust.org/cgi/pt?id=nyp.33433066585468")</f>
        <v>http://babel.hathitrust.org/cgi/pt?id=nyp.33433066585468</v>
      </c>
      <c r="H6358" t="str">
        <f>HYPERLINK("http://catalog.hathitrust.org/Record/008689121")</f>
        <v>http://catalog.hathitrust.org/Record/008689121</v>
      </c>
      <c r="J6358" s="1">
        <v>1867</v>
      </c>
      <c r="K6358" t="s">
        <v>5445</v>
      </c>
      <c r="L6358" t="s">
        <v>15042</v>
      </c>
    </row>
    <row r="6359" spans="1:12">
      <c r="A6359" t="s">
        <v>5446</v>
      </c>
      <c r="B6359" s="1" t="s">
        <v>5447</v>
      </c>
      <c r="F6359">
        <v>1</v>
      </c>
      <c r="G6359" t="str">
        <f>HYPERLINK("http://babel.hathitrust.org/cgi/pt?id=nyp.33433066585450")</f>
        <v>http://babel.hathitrust.org/cgi/pt?id=nyp.33433066585450</v>
      </c>
      <c r="H6359" t="str">
        <f>HYPERLINK("http://catalog.hathitrust.org/Record/008689123")</f>
        <v>http://catalog.hathitrust.org/Record/008689123</v>
      </c>
      <c r="J6359" s="1">
        <v>1799</v>
      </c>
      <c r="K6359" t="s">
        <v>5448</v>
      </c>
      <c r="L6359" t="s">
        <v>20960</v>
      </c>
    </row>
    <row r="6360" spans="1:12">
      <c r="A6360" t="s">
        <v>5449</v>
      </c>
      <c r="B6360" s="1" t="s">
        <v>5450</v>
      </c>
      <c r="F6360">
        <v>1</v>
      </c>
      <c r="G6360" t="str">
        <f>HYPERLINK("http://babel.hathitrust.org/cgi/pt?id=nyp.33433066585443")</f>
        <v>http://babel.hathitrust.org/cgi/pt?id=nyp.33433066585443</v>
      </c>
      <c r="H6360" t="str">
        <f>HYPERLINK("http://catalog.hathitrust.org/Record/008689124")</f>
        <v>http://catalog.hathitrust.org/Record/008689124</v>
      </c>
      <c r="J6360" s="1">
        <v>1810</v>
      </c>
      <c r="K6360" t="s">
        <v>5451</v>
      </c>
      <c r="L6360" t="s">
        <v>20960</v>
      </c>
    </row>
    <row r="6361" spans="1:12">
      <c r="A6361" t="s">
        <v>5452</v>
      </c>
      <c r="B6361" s="1" t="s">
        <v>5453</v>
      </c>
      <c r="F6361">
        <v>1</v>
      </c>
      <c r="G6361" t="str">
        <f>HYPERLINK("http://babel.hathitrust.org/cgi/pt?id=nyp.33433066585435")</f>
        <v>http://babel.hathitrust.org/cgi/pt?id=nyp.33433066585435</v>
      </c>
      <c r="H6361" t="str">
        <f>HYPERLINK("http://catalog.hathitrust.org/Record/008689125")</f>
        <v>http://catalog.hathitrust.org/Record/008689125</v>
      </c>
      <c r="J6361" s="1">
        <v>1896</v>
      </c>
      <c r="K6361" t="s">
        <v>5454</v>
      </c>
      <c r="L6361" t="s">
        <v>5455</v>
      </c>
    </row>
    <row r="6362" spans="1:12">
      <c r="A6362" t="s">
        <v>5456</v>
      </c>
      <c r="B6362" s="1" t="s">
        <v>5457</v>
      </c>
      <c r="E6362">
        <v>1</v>
      </c>
      <c r="F6362">
        <v>1</v>
      </c>
      <c r="G6362" t="str">
        <f>HYPERLINK("http://babel.hathitrust.org/cgi/pt?id=nyp.33433066604525")</f>
        <v>http://babel.hathitrust.org/cgi/pt?id=nyp.33433066604525</v>
      </c>
      <c r="H6362" t="str">
        <f>HYPERLINK("http://catalog.hathitrust.org/Record/008689136")</f>
        <v>http://catalog.hathitrust.org/Record/008689136</v>
      </c>
      <c r="J6362" s="1">
        <v>1803</v>
      </c>
      <c r="K6362" t="s">
        <v>5458</v>
      </c>
      <c r="L6362" t="s">
        <v>19518</v>
      </c>
    </row>
    <row r="6363" spans="1:12">
      <c r="A6363" t="s">
        <v>5459</v>
      </c>
      <c r="B6363" s="1" t="s">
        <v>5460</v>
      </c>
      <c r="D6363">
        <v>1</v>
      </c>
      <c r="G6363" t="str">
        <f>HYPERLINK("http://babel.hathitrust.org/cgi/pt?id=njp.32101067671527")</f>
        <v>http://babel.hathitrust.org/cgi/pt?id=njp.32101067671527</v>
      </c>
      <c r="H6363" t="str">
        <f>HYPERLINK("http://catalog.hathitrust.org/Record/008689137")</f>
        <v>http://catalog.hathitrust.org/Record/008689137</v>
      </c>
      <c r="I6363" s="1" t="s">
        <v>16391</v>
      </c>
      <c r="J6363" s="1">
        <v>1775</v>
      </c>
      <c r="K6363" t="s">
        <v>5461</v>
      </c>
      <c r="L6363" t="s">
        <v>19518</v>
      </c>
    </row>
    <row r="6364" spans="1:12">
      <c r="A6364" t="s">
        <v>5462</v>
      </c>
      <c r="B6364" s="1" t="s">
        <v>5460</v>
      </c>
      <c r="D6364">
        <v>1</v>
      </c>
      <c r="G6364" t="str">
        <f>HYPERLINK("http://babel.hathitrust.org/cgi/pt?id=njp.32101067671535")</f>
        <v>http://babel.hathitrust.org/cgi/pt?id=njp.32101067671535</v>
      </c>
      <c r="H6364" t="str">
        <f>HYPERLINK("http://catalog.hathitrust.org/Record/008689137")</f>
        <v>http://catalog.hathitrust.org/Record/008689137</v>
      </c>
      <c r="I6364" s="1" t="s">
        <v>15858</v>
      </c>
      <c r="J6364" s="1">
        <v>1775</v>
      </c>
      <c r="K6364" t="s">
        <v>5461</v>
      </c>
      <c r="L6364" t="s">
        <v>19518</v>
      </c>
    </row>
    <row r="6365" spans="1:12">
      <c r="A6365" t="s">
        <v>5463</v>
      </c>
      <c r="B6365" s="1" t="s">
        <v>5464</v>
      </c>
      <c r="F6365">
        <v>1</v>
      </c>
      <c r="G6365" t="str">
        <f>HYPERLINK("http://babel.hathitrust.org/cgi/pt?id=nyp.33433076016421")</f>
        <v>http://babel.hathitrust.org/cgi/pt?id=nyp.33433076016421</v>
      </c>
      <c r="H6365" t="str">
        <f>HYPERLINK("http://catalog.hathitrust.org/Record/008689292")</f>
        <v>http://catalog.hathitrust.org/Record/008689292</v>
      </c>
      <c r="J6365" s="1">
        <v>1917</v>
      </c>
      <c r="K6365" t="s">
        <v>5465</v>
      </c>
      <c r="L6365" t="s">
        <v>5466</v>
      </c>
    </row>
    <row r="6366" spans="1:12">
      <c r="A6366" t="s">
        <v>5467</v>
      </c>
      <c r="B6366" s="1" t="s">
        <v>5464</v>
      </c>
      <c r="F6366">
        <v>1</v>
      </c>
      <c r="G6366" t="str">
        <f>HYPERLINK("http://babel.hathitrust.org/cgi/pt?id=uc1.b5189567")</f>
        <v>http://babel.hathitrust.org/cgi/pt?id=uc1.b5189567</v>
      </c>
      <c r="H6366" t="str">
        <f>HYPERLINK("http://catalog.hathitrust.org/Record/008689292")</f>
        <v>http://catalog.hathitrust.org/Record/008689292</v>
      </c>
      <c r="J6366" s="1">
        <v>1917</v>
      </c>
      <c r="K6366" t="s">
        <v>5465</v>
      </c>
      <c r="L6366" t="s">
        <v>5466</v>
      </c>
    </row>
    <row r="6367" spans="1:12">
      <c r="A6367" t="s">
        <v>5468</v>
      </c>
      <c r="B6367" s="1" t="s">
        <v>5469</v>
      </c>
      <c r="D6367">
        <v>1</v>
      </c>
      <c r="G6367" t="str">
        <f>HYPERLINK("http://babel.hathitrust.org/cgi/pt?id=nyp.33433066585708")</f>
        <v>http://babel.hathitrust.org/cgi/pt?id=nyp.33433066585708</v>
      </c>
      <c r="H6367" t="str">
        <f>HYPERLINK("http://catalog.hathitrust.org/Record/008689329")</f>
        <v>http://catalog.hathitrust.org/Record/008689329</v>
      </c>
      <c r="I6367" s="1" t="s">
        <v>20799</v>
      </c>
      <c r="J6367" s="1">
        <v>1807</v>
      </c>
      <c r="K6367" t="s">
        <v>6699</v>
      </c>
      <c r="L6367" t="s">
        <v>15473</v>
      </c>
    </row>
    <row r="6368" spans="1:12">
      <c r="A6368" t="s">
        <v>5470</v>
      </c>
      <c r="B6368" s="1" t="s">
        <v>5469</v>
      </c>
      <c r="D6368">
        <v>1</v>
      </c>
      <c r="G6368" t="str">
        <f>HYPERLINK("http://babel.hathitrust.org/cgi/pt?id=nyp.33433066585716")</f>
        <v>http://babel.hathitrust.org/cgi/pt?id=nyp.33433066585716</v>
      </c>
      <c r="H6368" t="str">
        <f>HYPERLINK("http://catalog.hathitrust.org/Record/008689329")</f>
        <v>http://catalog.hathitrust.org/Record/008689329</v>
      </c>
      <c r="I6368" s="1" t="s">
        <v>20796</v>
      </c>
      <c r="J6368" s="1">
        <v>1807</v>
      </c>
      <c r="K6368" t="s">
        <v>6699</v>
      </c>
      <c r="L6368" t="s">
        <v>15473</v>
      </c>
    </row>
    <row r="6369" spans="1:12">
      <c r="A6369" t="s">
        <v>5471</v>
      </c>
      <c r="B6369" s="1" t="s">
        <v>5472</v>
      </c>
      <c r="F6369">
        <v>1</v>
      </c>
      <c r="G6369" t="str">
        <f>HYPERLINK("http://babel.hathitrust.org/cgi/pt?id=nyp.33433066603022")</f>
        <v>http://babel.hathitrust.org/cgi/pt?id=nyp.33433066603022</v>
      </c>
      <c r="H6369" t="str">
        <f>HYPERLINK("http://catalog.hathitrust.org/Record/008690007")</f>
        <v>http://catalog.hathitrust.org/Record/008690007</v>
      </c>
      <c r="J6369" s="1">
        <v>1893</v>
      </c>
      <c r="K6369" t="s">
        <v>5473</v>
      </c>
      <c r="L6369" t="s">
        <v>16761</v>
      </c>
    </row>
    <row r="6370" spans="1:12">
      <c r="A6370" t="s">
        <v>5474</v>
      </c>
      <c r="B6370" s="1" t="s">
        <v>5475</v>
      </c>
      <c r="F6370">
        <v>1</v>
      </c>
      <c r="G6370" t="str">
        <f>HYPERLINK("http://babel.hathitrust.org/cgi/pt?id=nyp.33433066584446")</f>
        <v>http://babel.hathitrust.org/cgi/pt?id=nyp.33433066584446</v>
      </c>
      <c r="H6370" t="str">
        <f>HYPERLINK("http://catalog.hathitrust.org/Record/008690032")</f>
        <v>http://catalog.hathitrust.org/Record/008690032</v>
      </c>
      <c r="J6370" s="1">
        <v>1872</v>
      </c>
      <c r="K6370" t="s">
        <v>5476</v>
      </c>
      <c r="L6370" t="s">
        <v>5477</v>
      </c>
    </row>
    <row r="6371" spans="1:12">
      <c r="A6371" t="s">
        <v>5478</v>
      </c>
      <c r="B6371" s="1" t="s">
        <v>5479</v>
      </c>
      <c r="F6371">
        <v>1</v>
      </c>
      <c r="G6371" t="str">
        <f>HYPERLINK("http://babel.hathitrust.org/cgi/pt?id=nyp.33433066584487")</f>
        <v>http://babel.hathitrust.org/cgi/pt?id=nyp.33433066584487</v>
      </c>
      <c r="H6371" t="str">
        <f>HYPERLINK("http://catalog.hathitrust.org/Record/008690102")</f>
        <v>http://catalog.hathitrust.org/Record/008690102</v>
      </c>
      <c r="J6371" s="1">
        <v>1855</v>
      </c>
      <c r="K6371" t="s">
        <v>5401</v>
      </c>
      <c r="L6371" t="s">
        <v>6845</v>
      </c>
    </row>
    <row r="6372" spans="1:12">
      <c r="A6372" t="s">
        <v>5402</v>
      </c>
      <c r="B6372" s="1" t="s">
        <v>5403</v>
      </c>
      <c r="E6372">
        <v>1</v>
      </c>
      <c r="G6372" t="str">
        <f>HYPERLINK("http://babel.hathitrust.org/cgi/pt?id=hvd.32044058162066")</f>
        <v>http://babel.hathitrust.org/cgi/pt?id=hvd.32044058162066</v>
      </c>
      <c r="H6372" t="str">
        <f>HYPERLINK("http://catalog.hathitrust.org/Record/008690338")</f>
        <v>http://catalog.hathitrust.org/Record/008690338</v>
      </c>
      <c r="J6372" s="1">
        <v>1847</v>
      </c>
      <c r="K6372" t="s">
        <v>5404</v>
      </c>
      <c r="L6372" t="s">
        <v>5405</v>
      </c>
    </row>
    <row r="6373" spans="1:12">
      <c r="A6373" t="s">
        <v>5406</v>
      </c>
      <c r="B6373" s="1" t="s">
        <v>5407</v>
      </c>
      <c r="F6373">
        <v>1</v>
      </c>
      <c r="G6373" t="str">
        <f>HYPERLINK("http://babel.hathitrust.org/cgi/pt?id=nyp.33433066604574")</f>
        <v>http://babel.hathitrust.org/cgi/pt?id=nyp.33433066604574</v>
      </c>
      <c r="H6373" t="str">
        <f>HYPERLINK("http://catalog.hathitrust.org/Record/008690359")</f>
        <v>http://catalog.hathitrust.org/Record/008690359</v>
      </c>
      <c r="J6373" s="1">
        <v>1854</v>
      </c>
      <c r="K6373" t="s">
        <v>5408</v>
      </c>
      <c r="L6373" t="s">
        <v>5409</v>
      </c>
    </row>
    <row r="6374" spans="1:12">
      <c r="A6374" t="s">
        <v>5410</v>
      </c>
      <c r="B6374" s="1" t="s">
        <v>5411</v>
      </c>
      <c r="E6374">
        <v>1</v>
      </c>
      <c r="F6374">
        <v>1</v>
      </c>
      <c r="G6374" t="str">
        <f>HYPERLINK("http://babel.hathitrust.org/cgi/pt?id=nyp.33433066604566")</f>
        <v>http://babel.hathitrust.org/cgi/pt?id=nyp.33433066604566</v>
      </c>
      <c r="H6374" t="str">
        <f>HYPERLINK("http://catalog.hathitrust.org/Record/008690360")</f>
        <v>http://catalog.hathitrust.org/Record/008690360</v>
      </c>
      <c r="J6374" s="1">
        <v>1849</v>
      </c>
      <c r="K6374" t="s">
        <v>5412</v>
      </c>
      <c r="L6374" t="s">
        <v>5409</v>
      </c>
    </row>
    <row r="6375" spans="1:12">
      <c r="A6375" t="s">
        <v>5413</v>
      </c>
      <c r="B6375" s="1" t="s">
        <v>5414</v>
      </c>
      <c r="E6375">
        <v>1</v>
      </c>
      <c r="F6375">
        <v>1</v>
      </c>
      <c r="G6375" t="str">
        <f>HYPERLINK("http://babel.hathitrust.org/cgi/pt?id=nyp.33433066585484")</f>
        <v>http://babel.hathitrust.org/cgi/pt?id=nyp.33433066585484</v>
      </c>
      <c r="H6375" t="str">
        <f>HYPERLINK("http://catalog.hathitrust.org/Record/008690363")</f>
        <v>http://catalog.hathitrust.org/Record/008690363</v>
      </c>
      <c r="J6375" s="1">
        <v>1850</v>
      </c>
      <c r="K6375" t="s">
        <v>5415</v>
      </c>
      <c r="L6375" t="s">
        <v>5416</v>
      </c>
    </row>
    <row r="6376" spans="1:12">
      <c r="A6376" t="s">
        <v>5417</v>
      </c>
      <c r="B6376" s="1" t="s">
        <v>5418</v>
      </c>
      <c r="D6376">
        <v>1</v>
      </c>
      <c r="G6376" t="str">
        <f>HYPERLINK("http://babel.hathitrust.org/cgi/pt?id=nyp.33433076066723")</f>
        <v>http://babel.hathitrust.org/cgi/pt?id=nyp.33433076066723</v>
      </c>
      <c r="H6376" t="str">
        <f>HYPERLINK("http://catalog.hathitrust.org/Record/008690605")</f>
        <v>http://catalog.hathitrust.org/Record/008690605</v>
      </c>
      <c r="J6376" s="1">
        <v>1885</v>
      </c>
      <c r="K6376" t="s">
        <v>5419</v>
      </c>
      <c r="L6376" t="s">
        <v>19491</v>
      </c>
    </row>
    <row r="6377" spans="1:12">
      <c r="A6377" t="s">
        <v>5420</v>
      </c>
      <c r="B6377" s="1" t="s">
        <v>5421</v>
      </c>
      <c r="F6377">
        <v>1</v>
      </c>
      <c r="G6377" t="str">
        <f>HYPERLINK("http://babel.hathitrust.org/cgi/pt?id=nyp.33433074803226")</f>
        <v>http://babel.hathitrust.org/cgi/pt?id=nyp.33433074803226</v>
      </c>
      <c r="H6377" t="str">
        <f>HYPERLINK("http://catalog.hathitrust.org/Record/008690627")</f>
        <v>http://catalog.hathitrust.org/Record/008690627</v>
      </c>
      <c r="J6377" s="1">
        <v>1890</v>
      </c>
      <c r="K6377" t="s">
        <v>5422</v>
      </c>
      <c r="L6377" t="s">
        <v>20670</v>
      </c>
    </row>
    <row r="6378" spans="1:12">
      <c r="A6378" t="s">
        <v>5423</v>
      </c>
      <c r="B6378" s="1" t="s">
        <v>5424</v>
      </c>
      <c r="F6378">
        <v>1</v>
      </c>
      <c r="G6378" t="str">
        <f>HYPERLINK("http://babel.hathitrust.org/cgi/pt?id=nyp.33433074803218")</f>
        <v>http://babel.hathitrust.org/cgi/pt?id=nyp.33433074803218</v>
      </c>
      <c r="H6378" t="str">
        <f>HYPERLINK("http://catalog.hathitrust.org/Record/008690630")</f>
        <v>http://catalog.hathitrust.org/Record/008690630</v>
      </c>
      <c r="J6378" s="1">
        <v>1906</v>
      </c>
      <c r="K6378" t="s">
        <v>5425</v>
      </c>
      <c r="L6378" t="s">
        <v>20670</v>
      </c>
    </row>
    <row r="6379" spans="1:12">
      <c r="A6379" t="s">
        <v>5426</v>
      </c>
      <c r="B6379" s="1" t="s">
        <v>5427</v>
      </c>
      <c r="F6379">
        <v>1</v>
      </c>
      <c r="G6379" t="str">
        <f>HYPERLINK("http://babel.hathitrust.org/cgi/pt?id=nyp.33433082312277")</f>
        <v>http://babel.hathitrust.org/cgi/pt?id=nyp.33433082312277</v>
      </c>
      <c r="H6379" t="str">
        <f>HYPERLINK("http://catalog.hathitrust.org/Record/008691539")</f>
        <v>http://catalog.hathitrust.org/Record/008691539</v>
      </c>
      <c r="J6379" s="1">
        <v>1851</v>
      </c>
      <c r="K6379" t="s">
        <v>5428</v>
      </c>
      <c r="L6379" t="s">
        <v>20884</v>
      </c>
    </row>
    <row r="6380" spans="1:12">
      <c r="A6380" t="s">
        <v>5429</v>
      </c>
      <c r="B6380" s="1" t="s">
        <v>5430</v>
      </c>
      <c r="F6380">
        <v>1</v>
      </c>
      <c r="G6380" t="str">
        <f>HYPERLINK("http://babel.hathitrust.org/cgi/pt?id=nyp.33433081638862")</f>
        <v>http://babel.hathitrust.org/cgi/pt?id=nyp.33433081638862</v>
      </c>
      <c r="H6380" t="str">
        <f>HYPERLINK("http://catalog.hathitrust.org/Record/008692365")</f>
        <v>http://catalog.hathitrust.org/Record/008692365</v>
      </c>
      <c r="I6380" s="1" t="s">
        <v>20796</v>
      </c>
      <c r="J6380" s="1">
        <v>1829</v>
      </c>
      <c r="K6380" t="s">
        <v>5431</v>
      </c>
      <c r="L6380" t="s">
        <v>7380</v>
      </c>
    </row>
    <row r="6381" spans="1:12">
      <c r="A6381" t="s">
        <v>5432</v>
      </c>
      <c r="B6381" s="1" t="s">
        <v>5430</v>
      </c>
      <c r="F6381">
        <v>1</v>
      </c>
      <c r="G6381" t="str">
        <f>HYPERLINK("http://babel.hathitrust.org/cgi/pt?id=nyp.33433081639290")</f>
        <v>http://babel.hathitrust.org/cgi/pt?id=nyp.33433081639290</v>
      </c>
      <c r="H6381" t="str">
        <f>HYPERLINK("http://catalog.hathitrust.org/Record/008692365")</f>
        <v>http://catalog.hathitrust.org/Record/008692365</v>
      </c>
      <c r="I6381" s="1" t="s">
        <v>20799</v>
      </c>
      <c r="J6381" s="1">
        <v>1829</v>
      </c>
      <c r="K6381" t="s">
        <v>5431</v>
      </c>
      <c r="L6381" t="s">
        <v>7380</v>
      </c>
    </row>
    <row r="6382" spans="1:12">
      <c r="A6382" t="s">
        <v>5433</v>
      </c>
      <c r="B6382" s="1" t="s">
        <v>5434</v>
      </c>
      <c r="E6382">
        <v>1</v>
      </c>
      <c r="F6382">
        <v>1</v>
      </c>
      <c r="G6382" t="str">
        <f>HYPERLINK("http://babel.hathitrust.org/cgi/pt?id=nyp.33433066604541")</f>
        <v>http://babel.hathitrust.org/cgi/pt?id=nyp.33433066604541</v>
      </c>
      <c r="H6382" t="str">
        <f>HYPERLINK("http://catalog.hathitrust.org/Record/008692418")</f>
        <v>http://catalog.hathitrust.org/Record/008692418</v>
      </c>
      <c r="J6382" s="1">
        <v>1789</v>
      </c>
      <c r="K6382" t="s">
        <v>5435</v>
      </c>
      <c r="L6382" t="s">
        <v>10587</v>
      </c>
    </row>
    <row r="6383" spans="1:12">
      <c r="A6383" t="s">
        <v>5436</v>
      </c>
      <c r="B6383" s="1" t="s">
        <v>5437</v>
      </c>
      <c r="F6383">
        <v>1</v>
      </c>
      <c r="G6383" t="str">
        <f>HYPERLINK("http://babel.hathitrust.org/cgi/pt?id=nyp.33433081853826")</f>
        <v>http://babel.hathitrust.org/cgi/pt?id=nyp.33433081853826</v>
      </c>
      <c r="H6383" t="str">
        <f>HYPERLINK("http://catalog.hathitrust.org/Record/008694079")</f>
        <v>http://catalog.hathitrust.org/Record/008694079</v>
      </c>
      <c r="J6383" s="1">
        <v>1914</v>
      </c>
      <c r="K6383" t="s">
        <v>12935</v>
      </c>
      <c r="L6383" t="s">
        <v>12936</v>
      </c>
    </row>
    <row r="6384" spans="1:12">
      <c r="A6384" t="s">
        <v>5438</v>
      </c>
      <c r="B6384" s="1" t="s">
        <v>5439</v>
      </c>
      <c r="F6384">
        <v>1</v>
      </c>
      <c r="G6384" t="str">
        <f>HYPERLINK("http://babel.hathitrust.org/cgi/pt?id=nyp.33433082277546")</f>
        <v>http://babel.hathitrust.org/cgi/pt?id=nyp.33433082277546</v>
      </c>
      <c r="H6384" t="str">
        <f>HYPERLINK("http://catalog.hathitrust.org/Record/008694941")</f>
        <v>http://catalog.hathitrust.org/Record/008694941</v>
      </c>
      <c r="J6384" s="1">
        <v>1899</v>
      </c>
      <c r="K6384" t="s">
        <v>5342</v>
      </c>
      <c r="L6384" t="s">
        <v>5343</v>
      </c>
    </row>
    <row r="6385" spans="1:12">
      <c r="A6385" t="s">
        <v>5344</v>
      </c>
      <c r="B6385" s="1" t="s">
        <v>5345</v>
      </c>
      <c r="F6385">
        <v>1</v>
      </c>
      <c r="G6385" t="str">
        <f>HYPERLINK("http://babel.hathitrust.org/cgi/pt?id=nyp.33433082182886")</f>
        <v>http://babel.hathitrust.org/cgi/pt?id=nyp.33433082182886</v>
      </c>
      <c r="H6385" t="str">
        <f>HYPERLINK("http://catalog.hathitrust.org/Record/008695079")</f>
        <v>http://catalog.hathitrust.org/Record/008695079</v>
      </c>
      <c r="J6385" s="1">
        <v>1918</v>
      </c>
      <c r="K6385" t="s">
        <v>5346</v>
      </c>
      <c r="L6385" t="s">
        <v>5347</v>
      </c>
    </row>
    <row r="6386" spans="1:12">
      <c r="A6386" t="s">
        <v>5348</v>
      </c>
      <c r="B6386" s="1" t="s">
        <v>5349</v>
      </c>
      <c r="E6386">
        <v>1</v>
      </c>
      <c r="G6386" t="str">
        <f>HYPERLINK("http://babel.hathitrust.org/cgi/pt?id=njp.32101072895061")</f>
        <v>http://babel.hathitrust.org/cgi/pt?id=njp.32101072895061</v>
      </c>
      <c r="H6386" t="str">
        <f>HYPERLINK("http://catalog.hathitrust.org/Record/008695180")</f>
        <v>http://catalog.hathitrust.org/Record/008695180</v>
      </c>
      <c r="J6386" s="1">
        <v>1885</v>
      </c>
      <c r="K6386" t="s">
        <v>5350</v>
      </c>
      <c r="L6386" t="s">
        <v>19561</v>
      </c>
    </row>
    <row r="6387" spans="1:12">
      <c r="A6387" t="s">
        <v>5351</v>
      </c>
      <c r="B6387" s="1" t="s">
        <v>5352</v>
      </c>
      <c r="F6387">
        <v>1</v>
      </c>
      <c r="G6387" t="str">
        <f>HYPERLINK("http://babel.hathitrust.org/cgi/pt?id=nyp.33433082277348")</f>
        <v>http://babel.hathitrust.org/cgi/pt?id=nyp.33433082277348</v>
      </c>
      <c r="H6387" t="str">
        <f>HYPERLINK("http://catalog.hathitrust.org/Record/008695472")</f>
        <v>http://catalog.hathitrust.org/Record/008695472</v>
      </c>
      <c r="J6387" s="1">
        <v>1894</v>
      </c>
      <c r="K6387" t="s">
        <v>5353</v>
      </c>
      <c r="L6387" t="s">
        <v>5354</v>
      </c>
    </row>
    <row r="6388" spans="1:12">
      <c r="A6388" t="s">
        <v>5355</v>
      </c>
      <c r="B6388" s="1" t="s">
        <v>5356</v>
      </c>
      <c r="F6388">
        <v>1</v>
      </c>
      <c r="G6388" t="str">
        <f>HYPERLINK("http://babel.hathitrust.org/cgi/pt?id=nyp.33433084113350")</f>
        <v>http://babel.hathitrust.org/cgi/pt?id=nyp.33433084113350</v>
      </c>
      <c r="H6388" t="str">
        <f>HYPERLINK("http://catalog.hathitrust.org/Record/008695479")</f>
        <v>http://catalog.hathitrust.org/Record/008695479</v>
      </c>
      <c r="J6388" s="1">
        <v>1886</v>
      </c>
      <c r="K6388" t="s">
        <v>5357</v>
      </c>
      <c r="L6388" t="s">
        <v>5358</v>
      </c>
    </row>
    <row r="6389" spans="1:12">
      <c r="A6389" t="s">
        <v>5359</v>
      </c>
      <c r="B6389" s="1" t="s">
        <v>5360</v>
      </c>
      <c r="E6389">
        <v>1</v>
      </c>
      <c r="F6389">
        <v>1</v>
      </c>
      <c r="G6389" t="str">
        <f>HYPERLINK("http://babel.hathitrust.org/cgi/pt?id=nyp.33433084113012")</f>
        <v>http://babel.hathitrust.org/cgi/pt?id=nyp.33433084113012</v>
      </c>
      <c r="H6389" t="str">
        <f>HYPERLINK("http://catalog.hathitrust.org/Record/008695483")</f>
        <v>http://catalog.hathitrust.org/Record/008695483</v>
      </c>
      <c r="J6389" s="1">
        <v>1827</v>
      </c>
      <c r="K6389" t="s">
        <v>9125</v>
      </c>
      <c r="L6389" t="s">
        <v>13304</v>
      </c>
    </row>
    <row r="6390" spans="1:12">
      <c r="A6390" t="s">
        <v>5361</v>
      </c>
      <c r="B6390" s="1" t="s">
        <v>5362</v>
      </c>
      <c r="E6390">
        <v>1</v>
      </c>
      <c r="F6390">
        <v>1</v>
      </c>
      <c r="G6390" t="str">
        <f>HYPERLINK("http://babel.hathitrust.org/cgi/pt?id=hvd.32044010274454")</f>
        <v>http://babel.hathitrust.org/cgi/pt?id=hvd.32044010274454</v>
      </c>
      <c r="H6390" t="str">
        <f>HYPERLINK("http://catalog.hathitrust.org/Record/008695484")</f>
        <v>http://catalog.hathitrust.org/Record/008695484</v>
      </c>
      <c r="J6390" s="1">
        <v>1833</v>
      </c>
      <c r="K6390" t="s">
        <v>7147</v>
      </c>
      <c r="L6390" t="s">
        <v>13304</v>
      </c>
    </row>
    <row r="6391" spans="1:12">
      <c r="A6391" t="s">
        <v>5363</v>
      </c>
      <c r="B6391" s="1" t="s">
        <v>5362</v>
      </c>
      <c r="F6391">
        <v>1</v>
      </c>
      <c r="G6391" t="str">
        <f>HYPERLINK("http://babel.hathitrust.org/cgi/pt?id=hvd.hc1gef")</f>
        <v>http://babel.hathitrust.org/cgi/pt?id=hvd.hc1gef</v>
      </c>
      <c r="H6391" t="str">
        <f>HYPERLINK("http://catalog.hathitrust.org/Record/008695484")</f>
        <v>http://catalog.hathitrust.org/Record/008695484</v>
      </c>
      <c r="J6391" s="1">
        <v>1833</v>
      </c>
      <c r="K6391" t="s">
        <v>7147</v>
      </c>
      <c r="L6391" t="s">
        <v>13304</v>
      </c>
    </row>
    <row r="6392" spans="1:12">
      <c r="A6392" t="s">
        <v>5364</v>
      </c>
      <c r="B6392" s="1" t="s">
        <v>5362</v>
      </c>
      <c r="F6392">
        <v>1</v>
      </c>
      <c r="G6392" t="str">
        <f>HYPERLINK("http://babel.hathitrust.org/cgi/pt?id=nyp.33433082280813")</f>
        <v>http://babel.hathitrust.org/cgi/pt?id=nyp.33433082280813</v>
      </c>
      <c r="H6392" t="str">
        <f>HYPERLINK("http://catalog.hathitrust.org/Record/008695484")</f>
        <v>http://catalog.hathitrust.org/Record/008695484</v>
      </c>
      <c r="J6392" s="1">
        <v>1833</v>
      </c>
      <c r="K6392" t="s">
        <v>7147</v>
      </c>
      <c r="L6392" t="s">
        <v>13304</v>
      </c>
    </row>
    <row r="6393" spans="1:12">
      <c r="A6393" t="s">
        <v>5365</v>
      </c>
      <c r="B6393" s="1" t="s">
        <v>5366</v>
      </c>
      <c r="E6393">
        <v>1</v>
      </c>
      <c r="F6393">
        <v>1</v>
      </c>
      <c r="G6393" t="str">
        <f>HYPERLINK("http://babel.hathitrust.org/cgi/pt?id=nyp.33433082281415")</f>
        <v>http://babel.hathitrust.org/cgi/pt?id=nyp.33433082281415</v>
      </c>
      <c r="H6393" t="str">
        <f>HYPERLINK("http://catalog.hathitrust.org/Record/008695485")</f>
        <v>http://catalog.hathitrust.org/Record/008695485</v>
      </c>
      <c r="J6393" s="1">
        <v>1867</v>
      </c>
      <c r="K6393" t="s">
        <v>7147</v>
      </c>
      <c r="L6393" t="s">
        <v>13304</v>
      </c>
    </row>
    <row r="6394" spans="1:12">
      <c r="A6394" t="s">
        <v>5367</v>
      </c>
      <c r="B6394" s="1" t="s">
        <v>5368</v>
      </c>
      <c r="F6394">
        <v>1</v>
      </c>
      <c r="G6394" t="str">
        <f>HYPERLINK("http://babel.hathitrust.org/cgi/pt?id=nyp.33433084113715")</f>
        <v>http://babel.hathitrust.org/cgi/pt?id=nyp.33433084113715</v>
      </c>
      <c r="H6394" t="str">
        <f>HYPERLINK("http://catalog.hathitrust.org/Record/008695505")</f>
        <v>http://catalog.hathitrust.org/Record/008695505</v>
      </c>
      <c r="J6394" s="1">
        <v>1883</v>
      </c>
      <c r="K6394" t="s">
        <v>5369</v>
      </c>
      <c r="L6394" t="s">
        <v>5370</v>
      </c>
    </row>
    <row r="6395" spans="1:12">
      <c r="A6395" t="s">
        <v>5371</v>
      </c>
      <c r="B6395" s="1" t="s">
        <v>5372</v>
      </c>
      <c r="F6395">
        <v>1</v>
      </c>
      <c r="G6395" t="str">
        <f>HYPERLINK("http://babel.hathitrust.org/cgi/pt?id=nyp.33433084113806")</f>
        <v>http://babel.hathitrust.org/cgi/pt?id=nyp.33433084113806</v>
      </c>
      <c r="H6395" t="str">
        <f>HYPERLINK("http://catalog.hathitrust.org/Record/008695506")</f>
        <v>http://catalog.hathitrust.org/Record/008695506</v>
      </c>
      <c r="J6395" s="1">
        <v>1922</v>
      </c>
      <c r="K6395" t="s">
        <v>5373</v>
      </c>
      <c r="L6395" t="s">
        <v>5374</v>
      </c>
    </row>
    <row r="6396" spans="1:12">
      <c r="A6396" t="s">
        <v>5375</v>
      </c>
      <c r="B6396" s="1" t="s">
        <v>5376</v>
      </c>
      <c r="F6396">
        <v>1</v>
      </c>
      <c r="G6396" t="str">
        <f>HYPERLINK("http://babel.hathitrust.org/cgi/pt?id=nyp.33433084113194")</f>
        <v>http://babel.hathitrust.org/cgi/pt?id=nyp.33433084113194</v>
      </c>
      <c r="H6396" t="str">
        <f>HYPERLINK("http://catalog.hathitrust.org/Record/008695529")</f>
        <v>http://catalog.hathitrust.org/Record/008695529</v>
      </c>
      <c r="J6396" s="1">
        <v>1911</v>
      </c>
      <c r="K6396" t="s">
        <v>5377</v>
      </c>
      <c r="L6396" t="s">
        <v>5378</v>
      </c>
    </row>
    <row r="6397" spans="1:12">
      <c r="A6397" t="s">
        <v>5379</v>
      </c>
      <c r="B6397" s="1" t="s">
        <v>5380</v>
      </c>
      <c r="F6397">
        <v>1</v>
      </c>
      <c r="G6397" t="str">
        <f>HYPERLINK("http://babel.hathitrust.org/cgi/pt?id=nyp.33433084113202")</f>
        <v>http://babel.hathitrust.org/cgi/pt?id=nyp.33433084113202</v>
      </c>
      <c r="H6397" t="str">
        <f>HYPERLINK("http://catalog.hathitrust.org/Record/008695530")</f>
        <v>http://catalog.hathitrust.org/Record/008695530</v>
      </c>
      <c r="J6397" s="1">
        <v>1911</v>
      </c>
      <c r="K6397" t="s">
        <v>5381</v>
      </c>
      <c r="L6397" t="s">
        <v>5382</v>
      </c>
    </row>
    <row r="6398" spans="1:12">
      <c r="A6398" t="s">
        <v>5383</v>
      </c>
      <c r="B6398" s="1" t="s">
        <v>5384</v>
      </c>
      <c r="F6398">
        <v>1</v>
      </c>
      <c r="G6398" t="str">
        <f>HYPERLINK("http://babel.hathitrust.org/cgi/pt?id=nyp.33433082272034")</f>
        <v>http://babel.hathitrust.org/cgi/pt?id=nyp.33433082272034</v>
      </c>
      <c r="H6398" t="str">
        <f>HYPERLINK("http://catalog.hathitrust.org/Record/008695538")</f>
        <v>http://catalog.hathitrust.org/Record/008695538</v>
      </c>
      <c r="J6398" s="1">
        <v>1905</v>
      </c>
      <c r="K6398" t="s">
        <v>5385</v>
      </c>
      <c r="L6398" t="s">
        <v>5386</v>
      </c>
    </row>
    <row r="6399" spans="1:12">
      <c r="A6399" t="s">
        <v>5387</v>
      </c>
      <c r="B6399" s="1" t="s">
        <v>5388</v>
      </c>
      <c r="F6399">
        <v>1</v>
      </c>
      <c r="G6399" t="str">
        <f>HYPERLINK("http://babel.hathitrust.org/cgi/pt?id=nyp.33433082273297")</f>
        <v>http://babel.hathitrust.org/cgi/pt?id=nyp.33433082273297</v>
      </c>
      <c r="H6399" t="str">
        <f>HYPERLINK("http://catalog.hathitrust.org/Record/008695540")</f>
        <v>http://catalog.hathitrust.org/Record/008695540</v>
      </c>
      <c r="J6399" s="1">
        <v>1871</v>
      </c>
      <c r="K6399" t="s">
        <v>5389</v>
      </c>
      <c r="L6399" t="s">
        <v>5390</v>
      </c>
    </row>
    <row r="6400" spans="1:12">
      <c r="A6400" t="s">
        <v>5391</v>
      </c>
      <c r="B6400" s="1" t="s">
        <v>5392</v>
      </c>
      <c r="F6400">
        <v>1</v>
      </c>
      <c r="G6400" t="str">
        <f>HYPERLINK("http://babel.hathitrust.org/cgi/pt?id=nyp.33433084112154")</f>
        <v>http://babel.hathitrust.org/cgi/pt?id=nyp.33433084112154</v>
      </c>
      <c r="H6400" t="str">
        <f>HYPERLINK("http://catalog.hathitrust.org/Record/008695544")</f>
        <v>http://catalog.hathitrust.org/Record/008695544</v>
      </c>
      <c r="J6400" s="1">
        <v>1902</v>
      </c>
      <c r="K6400" t="s">
        <v>5393</v>
      </c>
      <c r="L6400" t="s">
        <v>5394</v>
      </c>
    </row>
    <row r="6401" spans="1:12">
      <c r="A6401" t="s">
        <v>5395</v>
      </c>
      <c r="B6401" s="1" t="s">
        <v>5396</v>
      </c>
      <c r="F6401">
        <v>1</v>
      </c>
      <c r="G6401" t="str">
        <f>HYPERLINK("http://babel.hathitrust.org/cgi/pt?id=nyp.33433084113616")</f>
        <v>http://babel.hathitrust.org/cgi/pt?id=nyp.33433084113616</v>
      </c>
      <c r="H6401" t="str">
        <f>HYPERLINK("http://catalog.hathitrust.org/Record/008695608")</f>
        <v>http://catalog.hathitrust.org/Record/008695608</v>
      </c>
      <c r="J6401" s="1">
        <v>1903</v>
      </c>
      <c r="K6401" t="s">
        <v>5397</v>
      </c>
      <c r="L6401" t="s">
        <v>5398</v>
      </c>
    </row>
    <row r="6402" spans="1:12">
      <c r="A6402" t="s">
        <v>5399</v>
      </c>
      <c r="B6402" s="1" t="s">
        <v>5400</v>
      </c>
      <c r="F6402">
        <v>1</v>
      </c>
      <c r="G6402" t="str">
        <f>HYPERLINK("http://babel.hathitrust.org/cgi/pt?id=nyp.33433084112261")</f>
        <v>http://babel.hathitrust.org/cgi/pt?id=nyp.33433084112261</v>
      </c>
      <c r="H6402" t="str">
        <f>HYPERLINK("http://catalog.hathitrust.org/Record/008695610")</f>
        <v>http://catalog.hathitrust.org/Record/008695610</v>
      </c>
      <c r="J6402" s="1">
        <v>1910</v>
      </c>
      <c r="K6402" t="s">
        <v>5284</v>
      </c>
      <c r="L6402" t="s">
        <v>5285</v>
      </c>
    </row>
    <row r="6403" spans="1:12">
      <c r="A6403" t="s">
        <v>5286</v>
      </c>
      <c r="B6403" s="1" t="s">
        <v>5287</v>
      </c>
      <c r="F6403">
        <v>1</v>
      </c>
      <c r="G6403" t="str">
        <f>HYPERLINK("http://babel.hathitrust.org/cgi/pt?id=nyp.33433082273354")</f>
        <v>http://babel.hathitrust.org/cgi/pt?id=nyp.33433082273354</v>
      </c>
      <c r="H6403" t="str">
        <f>HYPERLINK("http://catalog.hathitrust.org/Record/008695616")</f>
        <v>http://catalog.hathitrust.org/Record/008695616</v>
      </c>
      <c r="J6403" s="1">
        <v>1915</v>
      </c>
      <c r="K6403" t="s">
        <v>5288</v>
      </c>
      <c r="L6403" t="s">
        <v>5289</v>
      </c>
    </row>
    <row r="6404" spans="1:12">
      <c r="A6404" t="s">
        <v>5290</v>
      </c>
      <c r="B6404" s="1" t="s">
        <v>5291</v>
      </c>
      <c r="F6404">
        <v>1</v>
      </c>
      <c r="G6404" t="str">
        <f>HYPERLINK("http://babel.hathitrust.org/cgi/pt?id=nyp.33433082178728")</f>
        <v>http://babel.hathitrust.org/cgi/pt?id=nyp.33433082178728</v>
      </c>
      <c r="H6404" t="str">
        <f>HYPERLINK("http://catalog.hathitrust.org/Record/008695620")</f>
        <v>http://catalog.hathitrust.org/Record/008695620</v>
      </c>
      <c r="J6404" s="1">
        <v>1896</v>
      </c>
      <c r="K6404" t="s">
        <v>5292</v>
      </c>
      <c r="L6404" t="s">
        <v>5293</v>
      </c>
    </row>
    <row r="6405" spans="1:12">
      <c r="A6405" t="s">
        <v>5294</v>
      </c>
      <c r="B6405" s="1" t="s">
        <v>5295</v>
      </c>
      <c r="E6405">
        <v>1</v>
      </c>
      <c r="G6405" t="str">
        <f>HYPERLINK("http://babel.hathitrust.org/cgi/pt?id=nyp.33433066592498")</f>
        <v>http://babel.hathitrust.org/cgi/pt?id=nyp.33433066592498</v>
      </c>
      <c r="H6405" t="str">
        <f>HYPERLINK("http://catalog.hathitrust.org/Record/008695837")</f>
        <v>http://catalog.hathitrust.org/Record/008695837</v>
      </c>
      <c r="J6405" s="1">
        <v>1778</v>
      </c>
      <c r="K6405" t="s">
        <v>5296</v>
      </c>
      <c r="L6405" t="s">
        <v>21019</v>
      </c>
    </row>
    <row r="6406" spans="1:12">
      <c r="A6406" t="s">
        <v>5297</v>
      </c>
      <c r="B6406" s="1" t="s">
        <v>5298</v>
      </c>
      <c r="F6406">
        <v>1</v>
      </c>
      <c r="G6406" t="str">
        <f>HYPERLINK("http://babel.hathitrust.org/cgi/pt?id=nyp.33433082417779")</f>
        <v>http://babel.hathitrust.org/cgi/pt?id=nyp.33433082417779</v>
      </c>
      <c r="H6406" t="str">
        <f t="shared" ref="H6406:H6441" si="66">HYPERLINK("http://catalog.hathitrust.org/Record/008698668")</f>
        <v>http://catalog.hathitrust.org/Record/008698668</v>
      </c>
      <c r="I6406" s="1">
        <v>1806</v>
      </c>
      <c r="J6406" s="1">
        <v>1780</v>
      </c>
      <c r="K6406" t="s">
        <v>5299</v>
      </c>
    </row>
    <row r="6407" spans="1:12">
      <c r="A6407" t="s">
        <v>5300</v>
      </c>
      <c r="B6407" s="1" t="s">
        <v>5298</v>
      </c>
      <c r="F6407">
        <v>1</v>
      </c>
      <c r="G6407" t="str">
        <f>HYPERLINK("http://babel.hathitrust.org/cgi/pt?id=nyp.33433082417787")</f>
        <v>http://babel.hathitrust.org/cgi/pt?id=nyp.33433082417787</v>
      </c>
      <c r="H6407" t="str">
        <f t="shared" si="66"/>
        <v>http://catalog.hathitrust.org/Record/008698668</v>
      </c>
      <c r="I6407" s="1">
        <v>1807</v>
      </c>
      <c r="J6407" s="1">
        <v>1780</v>
      </c>
      <c r="K6407" t="s">
        <v>5299</v>
      </c>
    </row>
    <row r="6408" spans="1:12">
      <c r="A6408" t="s">
        <v>5301</v>
      </c>
      <c r="B6408" s="1" t="s">
        <v>5298</v>
      </c>
      <c r="F6408">
        <v>1</v>
      </c>
      <c r="G6408" t="str">
        <f>HYPERLINK("http://babel.hathitrust.org/cgi/pt?id=nyp.33433082423637")</f>
        <v>http://babel.hathitrust.org/cgi/pt?id=nyp.33433082423637</v>
      </c>
      <c r="H6408" t="str">
        <f t="shared" si="66"/>
        <v>http://catalog.hathitrust.org/Record/008698668</v>
      </c>
      <c r="I6408" s="1">
        <v>1785</v>
      </c>
      <c r="J6408" s="1">
        <v>1780</v>
      </c>
      <c r="K6408" t="s">
        <v>5299</v>
      </c>
    </row>
    <row r="6409" spans="1:12">
      <c r="A6409" t="s">
        <v>5302</v>
      </c>
      <c r="B6409" s="1" t="s">
        <v>5298</v>
      </c>
      <c r="F6409">
        <v>1</v>
      </c>
      <c r="G6409" t="str">
        <f>HYPERLINK("http://babel.hathitrust.org/cgi/pt?id=nyp.33433082423942")</f>
        <v>http://babel.hathitrust.org/cgi/pt?id=nyp.33433082423942</v>
      </c>
      <c r="H6409" t="str">
        <f t="shared" si="66"/>
        <v>http://catalog.hathitrust.org/Record/008698668</v>
      </c>
      <c r="I6409" s="1">
        <v>1812</v>
      </c>
      <c r="J6409" s="1">
        <v>1780</v>
      </c>
      <c r="K6409" t="s">
        <v>5299</v>
      </c>
    </row>
    <row r="6410" spans="1:12">
      <c r="A6410" t="s">
        <v>5303</v>
      </c>
      <c r="B6410" s="1" t="s">
        <v>5298</v>
      </c>
      <c r="F6410">
        <v>1</v>
      </c>
      <c r="G6410" t="str">
        <f>HYPERLINK("http://babel.hathitrust.org/cgi/pt?id=nyp.33433082425012")</f>
        <v>http://babel.hathitrust.org/cgi/pt?id=nyp.33433082425012</v>
      </c>
      <c r="H6410" t="str">
        <f t="shared" si="66"/>
        <v>http://catalog.hathitrust.org/Record/008698668</v>
      </c>
      <c r="I6410" s="1">
        <v>1786</v>
      </c>
      <c r="J6410" s="1">
        <v>1780</v>
      </c>
      <c r="K6410" t="s">
        <v>5299</v>
      </c>
    </row>
    <row r="6411" spans="1:12">
      <c r="A6411" t="s">
        <v>5304</v>
      </c>
      <c r="B6411" s="1" t="s">
        <v>5298</v>
      </c>
      <c r="F6411">
        <v>1</v>
      </c>
      <c r="G6411" t="str">
        <f>HYPERLINK("http://babel.hathitrust.org/cgi/pt?id=nyp.33433082425020")</f>
        <v>http://babel.hathitrust.org/cgi/pt?id=nyp.33433082425020</v>
      </c>
      <c r="H6411" t="str">
        <f t="shared" si="66"/>
        <v>http://catalog.hathitrust.org/Record/008698668</v>
      </c>
      <c r="I6411" s="1">
        <v>1787</v>
      </c>
      <c r="J6411" s="1">
        <v>1780</v>
      </c>
      <c r="K6411" t="s">
        <v>5299</v>
      </c>
    </row>
    <row r="6412" spans="1:12">
      <c r="A6412" t="s">
        <v>5305</v>
      </c>
      <c r="B6412" s="1" t="s">
        <v>5298</v>
      </c>
      <c r="F6412">
        <v>1</v>
      </c>
      <c r="G6412" t="str">
        <f>HYPERLINK("http://babel.hathitrust.org/cgi/pt?id=nyp.33433082425038")</f>
        <v>http://babel.hathitrust.org/cgi/pt?id=nyp.33433082425038</v>
      </c>
      <c r="H6412" t="str">
        <f t="shared" si="66"/>
        <v>http://catalog.hathitrust.org/Record/008698668</v>
      </c>
      <c r="I6412" s="1">
        <v>1788</v>
      </c>
      <c r="J6412" s="1">
        <v>1780</v>
      </c>
      <c r="K6412" t="s">
        <v>5299</v>
      </c>
    </row>
    <row r="6413" spans="1:12">
      <c r="A6413" t="s">
        <v>5306</v>
      </c>
      <c r="B6413" s="1" t="s">
        <v>5298</v>
      </c>
      <c r="F6413">
        <v>1</v>
      </c>
      <c r="G6413" t="str">
        <f>HYPERLINK("http://babel.hathitrust.org/cgi/pt?id=nyp.33433082425046")</f>
        <v>http://babel.hathitrust.org/cgi/pt?id=nyp.33433082425046</v>
      </c>
      <c r="H6413" t="str">
        <f t="shared" si="66"/>
        <v>http://catalog.hathitrust.org/Record/008698668</v>
      </c>
      <c r="I6413" s="1">
        <v>1789</v>
      </c>
      <c r="J6413" s="1">
        <v>1780</v>
      </c>
      <c r="K6413" t="s">
        <v>5299</v>
      </c>
    </row>
    <row r="6414" spans="1:12">
      <c r="A6414" t="s">
        <v>5307</v>
      </c>
      <c r="B6414" s="1" t="s">
        <v>5298</v>
      </c>
      <c r="F6414">
        <v>1</v>
      </c>
      <c r="G6414" t="str">
        <f>HYPERLINK("http://babel.hathitrust.org/cgi/pt?id=nyp.33433082425053")</f>
        <v>http://babel.hathitrust.org/cgi/pt?id=nyp.33433082425053</v>
      </c>
      <c r="H6414" t="str">
        <f t="shared" si="66"/>
        <v>http://catalog.hathitrust.org/Record/008698668</v>
      </c>
      <c r="I6414" s="1">
        <v>1790</v>
      </c>
      <c r="J6414" s="1">
        <v>1780</v>
      </c>
      <c r="K6414" t="s">
        <v>5299</v>
      </c>
    </row>
    <row r="6415" spans="1:12">
      <c r="A6415" t="s">
        <v>5308</v>
      </c>
      <c r="B6415" s="1" t="s">
        <v>5298</v>
      </c>
      <c r="F6415">
        <v>1</v>
      </c>
      <c r="G6415" t="str">
        <f>HYPERLINK("http://babel.hathitrust.org/cgi/pt?id=nyp.33433082425061")</f>
        <v>http://babel.hathitrust.org/cgi/pt?id=nyp.33433082425061</v>
      </c>
      <c r="H6415" t="str">
        <f t="shared" si="66"/>
        <v>http://catalog.hathitrust.org/Record/008698668</v>
      </c>
      <c r="I6415" s="1">
        <v>1791</v>
      </c>
      <c r="J6415" s="1">
        <v>1780</v>
      </c>
      <c r="K6415" t="s">
        <v>5299</v>
      </c>
    </row>
    <row r="6416" spans="1:12">
      <c r="A6416" t="s">
        <v>5309</v>
      </c>
      <c r="B6416" s="1" t="s">
        <v>5298</v>
      </c>
      <c r="F6416">
        <v>1</v>
      </c>
      <c r="G6416" t="str">
        <f>HYPERLINK("http://babel.hathitrust.org/cgi/pt?id=nyp.33433082425079")</f>
        <v>http://babel.hathitrust.org/cgi/pt?id=nyp.33433082425079</v>
      </c>
      <c r="H6416" t="str">
        <f t="shared" si="66"/>
        <v>http://catalog.hathitrust.org/Record/008698668</v>
      </c>
      <c r="I6416" s="1">
        <v>1792</v>
      </c>
      <c r="J6416" s="1">
        <v>1780</v>
      </c>
      <c r="K6416" t="s">
        <v>5299</v>
      </c>
    </row>
    <row r="6417" spans="1:11">
      <c r="A6417" t="s">
        <v>5310</v>
      </c>
      <c r="B6417" s="1" t="s">
        <v>5298</v>
      </c>
      <c r="F6417">
        <v>1</v>
      </c>
      <c r="G6417" t="str">
        <f>HYPERLINK("http://babel.hathitrust.org/cgi/pt?id=nyp.33433082425087")</f>
        <v>http://babel.hathitrust.org/cgi/pt?id=nyp.33433082425087</v>
      </c>
      <c r="H6417" t="str">
        <f t="shared" si="66"/>
        <v>http://catalog.hathitrust.org/Record/008698668</v>
      </c>
      <c r="I6417" s="1">
        <v>1825</v>
      </c>
      <c r="J6417" s="1">
        <v>1780</v>
      </c>
      <c r="K6417" t="s">
        <v>5299</v>
      </c>
    </row>
    <row r="6418" spans="1:11">
      <c r="A6418" t="s">
        <v>5311</v>
      </c>
      <c r="B6418" s="1" t="s">
        <v>5298</v>
      </c>
      <c r="F6418">
        <v>1</v>
      </c>
      <c r="G6418" t="str">
        <f>HYPERLINK("http://babel.hathitrust.org/cgi/pt?id=nyp.33433082425095")</f>
        <v>http://babel.hathitrust.org/cgi/pt?id=nyp.33433082425095</v>
      </c>
      <c r="H6418" t="str">
        <f t="shared" si="66"/>
        <v>http://catalog.hathitrust.org/Record/008698668</v>
      </c>
      <c r="I6418" s="1">
        <v>1794</v>
      </c>
      <c r="J6418" s="1">
        <v>1780</v>
      </c>
      <c r="K6418" t="s">
        <v>5299</v>
      </c>
    </row>
    <row r="6419" spans="1:11">
      <c r="A6419" t="s">
        <v>5312</v>
      </c>
      <c r="B6419" s="1" t="s">
        <v>5298</v>
      </c>
      <c r="F6419">
        <v>1</v>
      </c>
      <c r="G6419" t="str">
        <f>HYPERLINK("http://babel.hathitrust.org/cgi/pt?id=nyp.33433082425103")</f>
        <v>http://babel.hathitrust.org/cgi/pt?id=nyp.33433082425103</v>
      </c>
      <c r="H6419" t="str">
        <f t="shared" si="66"/>
        <v>http://catalog.hathitrust.org/Record/008698668</v>
      </c>
      <c r="I6419" s="1">
        <v>1795</v>
      </c>
      <c r="J6419" s="1">
        <v>1780</v>
      </c>
      <c r="K6419" t="s">
        <v>5299</v>
      </c>
    </row>
    <row r="6420" spans="1:11">
      <c r="A6420" t="s">
        <v>5313</v>
      </c>
      <c r="B6420" s="1" t="s">
        <v>5298</v>
      </c>
      <c r="F6420">
        <v>1</v>
      </c>
      <c r="G6420" t="str">
        <f>HYPERLINK("http://babel.hathitrust.org/cgi/pt?id=nyp.33433082425111")</f>
        <v>http://babel.hathitrust.org/cgi/pt?id=nyp.33433082425111</v>
      </c>
      <c r="H6420" t="str">
        <f t="shared" si="66"/>
        <v>http://catalog.hathitrust.org/Record/008698668</v>
      </c>
      <c r="I6420" s="1">
        <v>1796</v>
      </c>
      <c r="J6420" s="1">
        <v>1780</v>
      </c>
      <c r="K6420" t="s">
        <v>5299</v>
      </c>
    </row>
    <row r="6421" spans="1:11">
      <c r="A6421" t="s">
        <v>5314</v>
      </c>
      <c r="B6421" s="1" t="s">
        <v>5298</v>
      </c>
      <c r="F6421">
        <v>1</v>
      </c>
      <c r="G6421" t="str">
        <f>HYPERLINK("http://babel.hathitrust.org/cgi/pt?id=nyp.33433082425129")</f>
        <v>http://babel.hathitrust.org/cgi/pt?id=nyp.33433082425129</v>
      </c>
      <c r="H6421" t="str">
        <f t="shared" si="66"/>
        <v>http://catalog.hathitrust.org/Record/008698668</v>
      </c>
      <c r="I6421" s="1">
        <v>1797</v>
      </c>
      <c r="J6421" s="1">
        <v>1780</v>
      </c>
      <c r="K6421" t="s">
        <v>5299</v>
      </c>
    </row>
    <row r="6422" spans="1:11">
      <c r="A6422" t="s">
        <v>5315</v>
      </c>
      <c r="B6422" s="1" t="s">
        <v>5298</v>
      </c>
      <c r="F6422">
        <v>1</v>
      </c>
      <c r="G6422" t="str">
        <f>HYPERLINK("http://babel.hathitrust.org/cgi/pt?id=nyp.33433082425137")</f>
        <v>http://babel.hathitrust.org/cgi/pt?id=nyp.33433082425137</v>
      </c>
      <c r="H6422" t="str">
        <f t="shared" si="66"/>
        <v>http://catalog.hathitrust.org/Record/008698668</v>
      </c>
      <c r="I6422" s="1">
        <v>1784</v>
      </c>
      <c r="J6422" s="1">
        <v>1780</v>
      </c>
      <c r="K6422" t="s">
        <v>5299</v>
      </c>
    </row>
    <row r="6423" spans="1:11">
      <c r="A6423" t="s">
        <v>5316</v>
      </c>
      <c r="B6423" s="1" t="s">
        <v>5298</v>
      </c>
      <c r="F6423">
        <v>1</v>
      </c>
      <c r="G6423" t="str">
        <f>HYPERLINK("http://babel.hathitrust.org/cgi/pt?id=nyp.33433082425145")</f>
        <v>http://babel.hathitrust.org/cgi/pt?id=nyp.33433082425145</v>
      </c>
      <c r="H6423" t="str">
        <f t="shared" si="66"/>
        <v>http://catalog.hathitrust.org/Record/008698668</v>
      </c>
      <c r="I6423" s="1">
        <v>1799</v>
      </c>
      <c r="J6423" s="1">
        <v>1780</v>
      </c>
      <c r="K6423" t="s">
        <v>5299</v>
      </c>
    </row>
    <row r="6424" spans="1:11">
      <c r="A6424" t="s">
        <v>5317</v>
      </c>
      <c r="B6424" s="1" t="s">
        <v>5298</v>
      </c>
      <c r="F6424">
        <v>1</v>
      </c>
      <c r="G6424" t="str">
        <f>HYPERLINK("http://babel.hathitrust.org/cgi/pt?id=nyp.33433082425152")</f>
        <v>http://babel.hathitrust.org/cgi/pt?id=nyp.33433082425152</v>
      </c>
      <c r="H6424" t="str">
        <f t="shared" si="66"/>
        <v>http://catalog.hathitrust.org/Record/008698668</v>
      </c>
      <c r="I6424" s="1">
        <v>1800</v>
      </c>
      <c r="J6424" s="1">
        <v>1780</v>
      </c>
      <c r="K6424" t="s">
        <v>5299</v>
      </c>
    </row>
    <row r="6425" spans="1:11">
      <c r="A6425" t="s">
        <v>5318</v>
      </c>
      <c r="B6425" s="1" t="s">
        <v>5298</v>
      </c>
      <c r="F6425">
        <v>1</v>
      </c>
      <c r="G6425" t="str">
        <f>HYPERLINK("http://babel.hathitrust.org/cgi/pt?id=nyp.33433082425160")</f>
        <v>http://babel.hathitrust.org/cgi/pt?id=nyp.33433082425160</v>
      </c>
      <c r="H6425" t="str">
        <f t="shared" si="66"/>
        <v>http://catalog.hathitrust.org/Record/008698668</v>
      </c>
      <c r="I6425" s="1">
        <v>1801</v>
      </c>
      <c r="J6425" s="1">
        <v>1780</v>
      </c>
      <c r="K6425" t="s">
        <v>5299</v>
      </c>
    </row>
    <row r="6426" spans="1:11">
      <c r="A6426" t="s">
        <v>5319</v>
      </c>
      <c r="B6426" s="1" t="s">
        <v>5298</v>
      </c>
      <c r="F6426">
        <v>1</v>
      </c>
      <c r="G6426" t="str">
        <f>HYPERLINK("http://babel.hathitrust.org/cgi/pt?id=nyp.33433082425178")</f>
        <v>http://babel.hathitrust.org/cgi/pt?id=nyp.33433082425178</v>
      </c>
      <c r="H6426" t="str">
        <f t="shared" si="66"/>
        <v>http://catalog.hathitrust.org/Record/008698668</v>
      </c>
      <c r="I6426" s="1">
        <v>1802</v>
      </c>
      <c r="J6426" s="1">
        <v>1780</v>
      </c>
      <c r="K6426" t="s">
        <v>5299</v>
      </c>
    </row>
    <row r="6427" spans="1:11">
      <c r="A6427" t="s">
        <v>5320</v>
      </c>
      <c r="B6427" s="1" t="s">
        <v>5298</v>
      </c>
      <c r="F6427">
        <v>1</v>
      </c>
      <c r="G6427" t="str">
        <f>HYPERLINK("http://babel.hathitrust.org/cgi/pt?id=nyp.33433082425186")</f>
        <v>http://babel.hathitrust.org/cgi/pt?id=nyp.33433082425186</v>
      </c>
      <c r="H6427" t="str">
        <f t="shared" si="66"/>
        <v>http://catalog.hathitrust.org/Record/008698668</v>
      </c>
      <c r="I6427" s="1">
        <v>1803</v>
      </c>
      <c r="J6427" s="1">
        <v>1780</v>
      </c>
      <c r="K6427" t="s">
        <v>5299</v>
      </c>
    </row>
    <row r="6428" spans="1:11">
      <c r="A6428" t="s">
        <v>5321</v>
      </c>
      <c r="B6428" s="1" t="s">
        <v>5298</v>
      </c>
      <c r="F6428">
        <v>1</v>
      </c>
      <c r="G6428" t="str">
        <f>HYPERLINK("http://babel.hathitrust.org/cgi/pt?id=nyp.33433082425194")</f>
        <v>http://babel.hathitrust.org/cgi/pt?id=nyp.33433082425194</v>
      </c>
      <c r="H6428" t="str">
        <f t="shared" si="66"/>
        <v>http://catalog.hathitrust.org/Record/008698668</v>
      </c>
      <c r="I6428" s="1">
        <v>1824</v>
      </c>
      <c r="J6428" s="1">
        <v>1780</v>
      </c>
      <c r="K6428" t="s">
        <v>5299</v>
      </c>
    </row>
    <row r="6429" spans="1:11">
      <c r="A6429" t="s">
        <v>5322</v>
      </c>
      <c r="B6429" s="1" t="s">
        <v>5298</v>
      </c>
      <c r="F6429">
        <v>1</v>
      </c>
      <c r="G6429" t="str">
        <f>HYPERLINK("http://babel.hathitrust.org/cgi/pt?id=nyp.33433082425202")</f>
        <v>http://babel.hathitrust.org/cgi/pt?id=nyp.33433082425202</v>
      </c>
      <c r="H6429" t="str">
        <f t="shared" si="66"/>
        <v>http://catalog.hathitrust.org/Record/008698668</v>
      </c>
      <c r="I6429" s="1">
        <v>1823</v>
      </c>
      <c r="J6429" s="1">
        <v>1780</v>
      </c>
      <c r="K6429" t="s">
        <v>5299</v>
      </c>
    </row>
    <row r="6430" spans="1:11">
      <c r="A6430" t="s">
        <v>5323</v>
      </c>
      <c r="B6430" s="1" t="s">
        <v>5298</v>
      </c>
      <c r="F6430">
        <v>1</v>
      </c>
      <c r="G6430" t="str">
        <f>HYPERLINK("http://babel.hathitrust.org/cgi/pt?id=nyp.33433082425210")</f>
        <v>http://babel.hathitrust.org/cgi/pt?id=nyp.33433082425210</v>
      </c>
      <c r="H6430" t="str">
        <f t="shared" si="66"/>
        <v>http://catalog.hathitrust.org/Record/008698668</v>
      </c>
      <c r="I6430" s="1">
        <v>1822</v>
      </c>
      <c r="J6430" s="1">
        <v>1780</v>
      </c>
      <c r="K6430" t="s">
        <v>5299</v>
      </c>
    </row>
    <row r="6431" spans="1:11">
      <c r="A6431" t="s">
        <v>5324</v>
      </c>
      <c r="B6431" s="1" t="s">
        <v>5298</v>
      </c>
      <c r="F6431">
        <v>1</v>
      </c>
      <c r="G6431" t="str">
        <f>HYPERLINK("http://babel.hathitrust.org/cgi/pt?id=nyp.33433082425228")</f>
        <v>http://babel.hathitrust.org/cgi/pt?id=nyp.33433082425228</v>
      </c>
      <c r="H6431" t="str">
        <f t="shared" si="66"/>
        <v>http://catalog.hathitrust.org/Record/008698668</v>
      </c>
      <c r="I6431" s="1">
        <v>1821</v>
      </c>
      <c r="J6431" s="1">
        <v>1780</v>
      </c>
      <c r="K6431" t="s">
        <v>5299</v>
      </c>
    </row>
    <row r="6432" spans="1:11">
      <c r="A6432" t="s">
        <v>5325</v>
      </c>
      <c r="B6432" s="1" t="s">
        <v>5298</v>
      </c>
      <c r="F6432">
        <v>1</v>
      </c>
      <c r="G6432" t="str">
        <f>HYPERLINK("http://babel.hathitrust.org/cgi/pt?id=nyp.33433082425236")</f>
        <v>http://babel.hathitrust.org/cgi/pt?id=nyp.33433082425236</v>
      </c>
      <c r="H6432" t="str">
        <f t="shared" si="66"/>
        <v>http://catalog.hathitrust.org/Record/008698668</v>
      </c>
      <c r="I6432" s="1">
        <v>1820</v>
      </c>
      <c r="J6432" s="1">
        <v>1780</v>
      </c>
      <c r="K6432" t="s">
        <v>5299</v>
      </c>
    </row>
    <row r="6433" spans="1:12">
      <c r="A6433" t="s">
        <v>5326</v>
      </c>
      <c r="B6433" s="1" t="s">
        <v>5298</v>
      </c>
      <c r="F6433">
        <v>1</v>
      </c>
      <c r="G6433" t="str">
        <f>HYPERLINK("http://babel.hathitrust.org/cgi/pt?id=nyp.33433082425244")</f>
        <v>http://babel.hathitrust.org/cgi/pt?id=nyp.33433082425244</v>
      </c>
      <c r="H6433" t="str">
        <f t="shared" si="66"/>
        <v>http://catalog.hathitrust.org/Record/008698668</v>
      </c>
      <c r="I6433" s="1">
        <v>1819</v>
      </c>
      <c r="J6433" s="1">
        <v>1780</v>
      </c>
      <c r="K6433" t="s">
        <v>5299</v>
      </c>
    </row>
    <row r="6434" spans="1:12">
      <c r="A6434" t="s">
        <v>5327</v>
      </c>
      <c r="B6434" s="1" t="s">
        <v>5298</v>
      </c>
      <c r="F6434">
        <v>1</v>
      </c>
      <c r="G6434" t="str">
        <f>HYPERLINK("http://babel.hathitrust.org/cgi/pt?id=nyp.33433082425251")</f>
        <v>http://babel.hathitrust.org/cgi/pt?id=nyp.33433082425251</v>
      </c>
      <c r="H6434" t="str">
        <f t="shared" si="66"/>
        <v>http://catalog.hathitrust.org/Record/008698668</v>
      </c>
      <c r="I6434" s="1">
        <v>1818</v>
      </c>
      <c r="J6434" s="1">
        <v>1780</v>
      </c>
      <c r="K6434" t="s">
        <v>5299</v>
      </c>
    </row>
    <row r="6435" spans="1:12">
      <c r="A6435" t="s">
        <v>5328</v>
      </c>
      <c r="B6435" s="1" t="s">
        <v>5298</v>
      </c>
      <c r="F6435">
        <v>1</v>
      </c>
      <c r="G6435" t="str">
        <f>HYPERLINK("http://babel.hathitrust.org/cgi/pt?id=nyp.33433082425269")</f>
        <v>http://babel.hathitrust.org/cgi/pt?id=nyp.33433082425269</v>
      </c>
      <c r="H6435" t="str">
        <f t="shared" si="66"/>
        <v>http://catalog.hathitrust.org/Record/008698668</v>
      </c>
      <c r="I6435" s="1">
        <v>1811</v>
      </c>
      <c r="J6435" s="1">
        <v>1780</v>
      </c>
      <c r="K6435" t="s">
        <v>5299</v>
      </c>
    </row>
    <row r="6436" spans="1:12">
      <c r="A6436" t="s">
        <v>5329</v>
      </c>
      <c r="B6436" s="1" t="s">
        <v>5298</v>
      </c>
      <c r="F6436">
        <v>1</v>
      </c>
      <c r="G6436" t="str">
        <f>HYPERLINK("http://babel.hathitrust.org/cgi/pt?id=nyp.33433082425277")</f>
        <v>http://babel.hathitrust.org/cgi/pt?id=nyp.33433082425277</v>
      </c>
      <c r="H6436" t="str">
        <f t="shared" si="66"/>
        <v>http://catalog.hathitrust.org/Record/008698668</v>
      </c>
      <c r="I6436" s="1">
        <v>1808</v>
      </c>
      <c r="J6436" s="1">
        <v>1780</v>
      </c>
      <c r="K6436" t="s">
        <v>5299</v>
      </c>
    </row>
    <row r="6437" spans="1:12">
      <c r="A6437" t="s">
        <v>5330</v>
      </c>
      <c r="B6437" s="1" t="s">
        <v>5298</v>
      </c>
      <c r="F6437">
        <v>1</v>
      </c>
      <c r="G6437" t="str">
        <f>HYPERLINK("http://babel.hathitrust.org/cgi/pt?id=nyp.33433082425285")</f>
        <v>http://babel.hathitrust.org/cgi/pt?id=nyp.33433082425285</v>
      </c>
      <c r="H6437" t="str">
        <f t="shared" si="66"/>
        <v>http://catalog.hathitrust.org/Record/008698668</v>
      </c>
      <c r="I6437" s="1">
        <v>1813</v>
      </c>
      <c r="J6437" s="1">
        <v>1780</v>
      </c>
      <c r="K6437" t="s">
        <v>5299</v>
      </c>
    </row>
    <row r="6438" spans="1:12">
      <c r="A6438" t="s">
        <v>5331</v>
      </c>
      <c r="B6438" s="1" t="s">
        <v>5298</v>
      </c>
      <c r="F6438">
        <v>1</v>
      </c>
      <c r="G6438" t="str">
        <f>HYPERLINK("http://babel.hathitrust.org/cgi/pt?id=nyp.33433082425293")</f>
        <v>http://babel.hathitrust.org/cgi/pt?id=nyp.33433082425293</v>
      </c>
      <c r="H6438" t="str">
        <f t="shared" si="66"/>
        <v>http://catalog.hathitrust.org/Record/008698668</v>
      </c>
      <c r="I6438" s="1">
        <v>1814</v>
      </c>
      <c r="J6438" s="1">
        <v>1780</v>
      </c>
      <c r="K6438" t="s">
        <v>5299</v>
      </c>
    </row>
    <row r="6439" spans="1:12">
      <c r="A6439" t="s">
        <v>5332</v>
      </c>
      <c r="B6439" s="1" t="s">
        <v>5298</v>
      </c>
      <c r="F6439">
        <v>1</v>
      </c>
      <c r="G6439" t="str">
        <f>HYPERLINK("http://babel.hathitrust.org/cgi/pt?id=nyp.33433082425301")</f>
        <v>http://babel.hathitrust.org/cgi/pt?id=nyp.33433082425301</v>
      </c>
      <c r="H6439" t="str">
        <f t="shared" si="66"/>
        <v>http://catalog.hathitrust.org/Record/008698668</v>
      </c>
      <c r="I6439" s="1">
        <v>1815</v>
      </c>
      <c r="J6439" s="1">
        <v>1780</v>
      </c>
      <c r="K6439" t="s">
        <v>5299</v>
      </c>
    </row>
    <row r="6440" spans="1:12">
      <c r="A6440" t="s">
        <v>5333</v>
      </c>
      <c r="B6440" s="1" t="s">
        <v>5298</v>
      </c>
      <c r="F6440">
        <v>1</v>
      </c>
      <c r="G6440" t="str">
        <f>HYPERLINK("http://babel.hathitrust.org/cgi/pt?id=nyp.33433082425319")</f>
        <v>http://babel.hathitrust.org/cgi/pt?id=nyp.33433082425319</v>
      </c>
      <c r="H6440" t="str">
        <f t="shared" si="66"/>
        <v>http://catalog.hathitrust.org/Record/008698668</v>
      </c>
      <c r="I6440" s="1">
        <v>1810</v>
      </c>
      <c r="J6440" s="1">
        <v>1780</v>
      </c>
      <c r="K6440" t="s">
        <v>5299</v>
      </c>
    </row>
    <row r="6441" spans="1:12">
      <c r="A6441" t="s">
        <v>5334</v>
      </c>
      <c r="B6441" s="1" t="s">
        <v>5298</v>
      </c>
      <c r="F6441">
        <v>1</v>
      </c>
      <c r="G6441" t="str">
        <f>HYPERLINK("http://babel.hathitrust.org/cgi/pt?id=nyp.33433082425327")</f>
        <v>http://babel.hathitrust.org/cgi/pt?id=nyp.33433082425327</v>
      </c>
      <c r="H6441" t="str">
        <f t="shared" si="66"/>
        <v>http://catalog.hathitrust.org/Record/008698668</v>
      </c>
      <c r="I6441" s="1">
        <v>1817</v>
      </c>
      <c r="J6441" s="1">
        <v>1780</v>
      </c>
      <c r="K6441" t="s">
        <v>5299</v>
      </c>
    </row>
    <row r="6442" spans="1:12">
      <c r="A6442" t="s">
        <v>5335</v>
      </c>
      <c r="B6442" s="1" t="s">
        <v>5336</v>
      </c>
      <c r="E6442">
        <v>1</v>
      </c>
      <c r="G6442" t="str">
        <f>HYPERLINK("http://babel.hathitrust.org/cgi/pt?id=nyp.33433081860615")</f>
        <v>http://babel.hathitrust.org/cgi/pt?id=nyp.33433081860615</v>
      </c>
      <c r="H6442" t="str">
        <f>HYPERLINK("http://catalog.hathitrust.org/Record/008699006")</f>
        <v>http://catalog.hathitrust.org/Record/008699006</v>
      </c>
      <c r="I6442" s="1" t="s">
        <v>5337</v>
      </c>
      <c r="J6442" s="1">
        <v>1919</v>
      </c>
      <c r="K6442" t="s">
        <v>18847</v>
      </c>
    </row>
    <row r="6443" spans="1:12">
      <c r="A6443" t="s">
        <v>5338</v>
      </c>
      <c r="B6443" s="1" t="s">
        <v>5339</v>
      </c>
      <c r="C6443">
        <v>1</v>
      </c>
      <c r="D6443">
        <v>1</v>
      </c>
      <c r="G6443" t="str">
        <f>HYPERLINK("http://babel.hathitrust.org/cgi/pt?id=nyp.33433081859120")</f>
        <v>http://babel.hathitrust.org/cgi/pt?id=nyp.33433081859120</v>
      </c>
      <c r="H6443" t="str">
        <f>HYPERLINK("http://catalog.hathitrust.org/Record/008699110")</f>
        <v>http://catalog.hathitrust.org/Record/008699110</v>
      </c>
      <c r="J6443" s="1">
        <v>1922</v>
      </c>
      <c r="K6443" t="s">
        <v>20706</v>
      </c>
      <c r="L6443" t="s">
        <v>20707</v>
      </c>
    </row>
    <row r="6444" spans="1:12">
      <c r="A6444" t="s">
        <v>5340</v>
      </c>
      <c r="B6444" s="1" t="s">
        <v>5341</v>
      </c>
      <c r="F6444">
        <v>1</v>
      </c>
      <c r="G6444" t="str">
        <f>HYPERLINK("http://babel.hathitrust.org/cgi/pt?id=nyp.33433081988465")</f>
        <v>http://babel.hathitrust.org/cgi/pt?id=nyp.33433081988465</v>
      </c>
      <c r="H6444" t="str">
        <f>HYPERLINK("http://catalog.hathitrust.org/Record/008699262")</f>
        <v>http://catalog.hathitrust.org/Record/008699262</v>
      </c>
      <c r="J6444" s="1">
        <v>1815</v>
      </c>
      <c r="K6444" t="s">
        <v>5246</v>
      </c>
      <c r="L6444" t="s">
        <v>7585</v>
      </c>
    </row>
    <row r="6445" spans="1:12">
      <c r="A6445" t="s">
        <v>5247</v>
      </c>
      <c r="B6445" s="1" t="s">
        <v>5248</v>
      </c>
      <c r="F6445">
        <v>1</v>
      </c>
      <c r="G6445" t="str">
        <f>HYPERLINK("http://babel.hathitrust.org/cgi/pt?id=nyp.33433081968376")</f>
        <v>http://babel.hathitrust.org/cgi/pt?id=nyp.33433081968376</v>
      </c>
      <c r="H6445" t="str">
        <f>HYPERLINK("http://catalog.hathitrust.org/Record/008700069")</f>
        <v>http://catalog.hathitrust.org/Record/008700069</v>
      </c>
      <c r="I6445" s="1" t="s">
        <v>5250</v>
      </c>
      <c r="J6445" s="1">
        <v>1884</v>
      </c>
      <c r="K6445" t="s">
        <v>5249</v>
      </c>
    </row>
    <row r="6446" spans="1:12">
      <c r="A6446" t="s">
        <v>5251</v>
      </c>
      <c r="B6446" s="1" t="s">
        <v>5252</v>
      </c>
      <c r="F6446">
        <v>1</v>
      </c>
      <c r="G6446" t="str">
        <f>HYPERLINK("http://babel.hathitrust.org/cgi/pt?id=nyp.33433069241002")</f>
        <v>http://babel.hathitrust.org/cgi/pt?id=nyp.33433069241002</v>
      </c>
      <c r="H6446" t="str">
        <f>HYPERLINK("http://catalog.hathitrust.org/Record/008701295")</f>
        <v>http://catalog.hathitrust.org/Record/008701295</v>
      </c>
      <c r="J6446" s="1">
        <v>1819</v>
      </c>
      <c r="K6446" t="s">
        <v>5253</v>
      </c>
      <c r="L6446" t="s">
        <v>5254</v>
      </c>
    </row>
    <row r="6447" spans="1:12">
      <c r="A6447" t="s">
        <v>5255</v>
      </c>
      <c r="B6447" s="1" t="s">
        <v>5256</v>
      </c>
      <c r="F6447">
        <v>1</v>
      </c>
      <c r="G6447" t="str">
        <f>HYPERLINK("http://babel.hathitrust.org/cgi/pt?id=nyp.33433086594573")</f>
        <v>http://babel.hathitrust.org/cgi/pt?id=nyp.33433086594573</v>
      </c>
      <c r="H6447" t="str">
        <f>HYPERLINK("http://catalog.hathitrust.org/Record/008701521")</f>
        <v>http://catalog.hathitrust.org/Record/008701521</v>
      </c>
      <c r="J6447" s="1">
        <v>1915</v>
      </c>
      <c r="K6447" t="s">
        <v>5257</v>
      </c>
      <c r="L6447" t="s">
        <v>5258</v>
      </c>
    </row>
    <row r="6448" spans="1:12">
      <c r="A6448" t="s">
        <v>5259</v>
      </c>
      <c r="B6448" s="1" t="s">
        <v>5260</v>
      </c>
      <c r="F6448">
        <v>1</v>
      </c>
      <c r="G6448" t="str">
        <f>HYPERLINK("http://babel.hathitrust.org/cgi/pt?id=uc2.ark:/13960/t0tq5x33b")</f>
        <v>http://babel.hathitrust.org/cgi/pt?id=uc2.ark:/13960/t0tq5x33b</v>
      </c>
      <c r="H6448" t="str">
        <f>HYPERLINK("http://catalog.hathitrust.org/Record/008709304")</f>
        <v>http://catalog.hathitrust.org/Record/008709304</v>
      </c>
      <c r="J6448" s="1">
        <v>1905</v>
      </c>
      <c r="K6448" t="s">
        <v>5261</v>
      </c>
    </row>
    <row r="6449" spans="1:12">
      <c r="A6449" t="s">
        <v>5262</v>
      </c>
      <c r="B6449" s="1" t="s">
        <v>5263</v>
      </c>
      <c r="F6449">
        <v>1</v>
      </c>
      <c r="G6449" t="str">
        <f>HYPERLINK("http://babel.hathitrust.org/cgi/pt?id=uiuo.ark:/13960/t49p3qs92")</f>
        <v>http://babel.hathitrust.org/cgi/pt?id=uiuo.ark:/13960/t49p3qs92</v>
      </c>
      <c r="H6449" t="str">
        <f>HYPERLINK("http://catalog.hathitrust.org/Record/008719527")</f>
        <v>http://catalog.hathitrust.org/Record/008719527</v>
      </c>
      <c r="J6449" s="1">
        <v>1599</v>
      </c>
      <c r="K6449" t="s">
        <v>5264</v>
      </c>
      <c r="L6449" t="s">
        <v>5265</v>
      </c>
    </row>
    <row r="6450" spans="1:12">
      <c r="A6450" t="s">
        <v>5266</v>
      </c>
      <c r="B6450" s="1" t="s">
        <v>5267</v>
      </c>
      <c r="F6450">
        <v>1</v>
      </c>
      <c r="G6450" t="str">
        <f>HYPERLINK("http://babel.hathitrust.org/cgi/pt?id=uiuo.ark:/13960/t0js9p195")</f>
        <v>http://babel.hathitrust.org/cgi/pt?id=uiuo.ark:/13960/t0js9p195</v>
      </c>
      <c r="H6450" t="str">
        <f>HYPERLINK("http://catalog.hathitrust.org/Record/008722571")</f>
        <v>http://catalog.hathitrust.org/Record/008722571</v>
      </c>
      <c r="J6450" s="1">
        <v>1957</v>
      </c>
      <c r="K6450" t="s">
        <v>5268</v>
      </c>
      <c r="L6450" t="s">
        <v>5269</v>
      </c>
    </row>
    <row r="6451" spans="1:12">
      <c r="A6451" t="s">
        <v>5270</v>
      </c>
      <c r="B6451" s="1" t="s">
        <v>5271</v>
      </c>
      <c r="F6451">
        <v>1</v>
      </c>
      <c r="G6451" t="str">
        <f>HYPERLINK("http://babel.hathitrust.org/cgi/pt?id=uc1.$b579023")</f>
        <v>http://babel.hathitrust.org/cgi/pt?id=uc1.$b579023</v>
      </c>
      <c r="H6451" t="str">
        <f>HYPERLINK("http://catalog.hathitrust.org/Record/008746482")</f>
        <v>http://catalog.hathitrust.org/Record/008746482</v>
      </c>
      <c r="J6451" s="1">
        <v>1899</v>
      </c>
      <c r="K6451" t="s">
        <v>5272</v>
      </c>
      <c r="L6451" t="s">
        <v>5273</v>
      </c>
    </row>
    <row r="6452" spans="1:12">
      <c r="A6452" t="s">
        <v>5274</v>
      </c>
      <c r="B6452" s="1" t="s">
        <v>5271</v>
      </c>
      <c r="F6452">
        <v>1</v>
      </c>
      <c r="G6452" t="str">
        <f>HYPERLINK("http://babel.hathitrust.org/cgi/pt?id=uc2.ark:/13960/t2z31tk4x")</f>
        <v>http://babel.hathitrust.org/cgi/pt?id=uc2.ark:/13960/t2z31tk4x</v>
      </c>
      <c r="H6452" t="str">
        <f>HYPERLINK("http://catalog.hathitrust.org/Record/008746482")</f>
        <v>http://catalog.hathitrust.org/Record/008746482</v>
      </c>
      <c r="J6452" s="1">
        <v>1899</v>
      </c>
      <c r="K6452" t="s">
        <v>5272</v>
      </c>
      <c r="L6452" t="s">
        <v>5273</v>
      </c>
    </row>
    <row r="6453" spans="1:12">
      <c r="A6453" t="s">
        <v>5275</v>
      </c>
      <c r="B6453" s="1" t="s">
        <v>5276</v>
      </c>
      <c r="F6453">
        <v>1</v>
      </c>
      <c r="G6453" t="str">
        <f>HYPERLINK("http://babel.hathitrust.org/cgi/pt?id=uc1.$b579151")</f>
        <v>http://babel.hathitrust.org/cgi/pt?id=uc1.$b579151</v>
      </c>
      <c r="H6453" t="str">
        <f>HYPERLINK("http://catalog.hathitrust.org/Record/008746524")</f>
        <v>http://catalog.hathitrust.org/Record/008746524</v>
      </c>
      <c r="J6453" s="1">
        <v>1906</v>
      </c>
      <c r="K6453" t="s">
        <v>5277</v>
      </c>
      <c r="L6453" t="s">
        <v>8812</v>
      </c>
    </row>
    <row r="6454" spans="1:12">
      <c r="A6454" t="s">
        <v>5278</v>
      </c>
      <c r="B6454" s="1" t="s">
        <v>5276</v>
      </c>
      <c r="F6454">
        <v>1</v>
      </c>
      <c r="G6454" t="str">
        <f>HYPERLINK("http://babel.hathitrust.org/cgi/pt?id=uc2.ark:/13960/t00004w9f")</f>
        <v>http://babel.hathitrust.org/cgi/pt?id=uc2.ark:/13960/t00004w9f</v>
      </c>
      <c r="H6454" t="str">
        <f>HYPERLINK("http://catalog.hathitrust.org/Record/008746524")</f>
        <v>http://catalog.hathitrust.org/Record/008746524</v>
      </c>
      <c r="J6454" s="1">
        <v>1906</v>
      </c>
      <c r="K6454" t="s">
        <v>5277</v>
      </c>
      <c r="L6454" t="s">
        <v>8812</v>
      </c>
    </row>
    <row r="6455" spans="1:12">
      <c r="A6455" t="s">
        <v>5279</v>
      </c>
      <c r="B6455" s="1" t="s">
        <v>5280</v>
      </c>
      <c r="C6455">
        <v>1</v>
      </c>
      <c r="D6455">
        <v>1</v>
      </c>
      <c r="G6455" t="str">
        <f>HYPERLINK("http://babel.hathitrust.org/cgi/pt?id=uc1.31822027357144")</f>
        <v>http://babel.hathitrust.org/cgi/pt?id=uc1.31822027357144</v>
      </c>
      <c r="H6455" t="str">
        <f>HYPERLINK("http://catalog.hathitrust.org/Record/008847594")</f>
        <v>http://catalog.hathitrust.org/Record/008847594</v>
      </c>
      <c r="J6455" s="1">
        <v>1856</v>
      </c>
      <c r="K6455" t="s">
        <v>14484</v>
      </c>
      <c r="L6455" t="s">
        <v>14485</v>
      </c>
    </row>
    <row r="6456" spans="1:12">
      <c r="A6456" t="s">
        <v>5281</v>
      </c>
      <c r="B6456" s="1" t="s">
        <v>5282</v>
      </c>
      <c r="F6456">
        <v>1</v>
      </c>
      <c r="G6456" t="str">
        <f>HYPERLINK("http://babel.hathitrust.org/cgi/pt?id=njp.32101064225681")</f>
        <v>http://babel.hathitrust.org/cgi/pt?id=njp.32101064225681</v>
      </c>
      <c r="H6456" t="str">
        <f>HYPERLINK("http://catalog.hathitrust.org/Record/008881618")</f>
        <v>http://catalog.hathitrust.org/Record/008881618</v>
      </c>
      <c r="J6456" s="1">
        <v>1901</v>
      </c>
      <c r="K6456" t="s">
        <v>5283</v>
      </c>
      <c r="L6456" t="s">
        <v>18559</v>
      </c>
    </row>
    <row r="6457" spans="1:12">
      <c r="A6457" t="s">
        <v>5192</v>
      </c>
      <c r="B6457" s="1" t="s">
        <v>5193</v>
      </c>
      <c r="F6457">
        <v>1</v>
      </c>
      <c r="G6457" t="str">
        <f>HYPERLINK("http://babel.hathitrust.org/cgi/pt?id=njp.32101007117680")</f>
        <v>http://babel.hathitrust.org/cgi/pt?id=njp.32101007117680</v>
      </c>
      <c r="H6457" t="str">
        <f>HYPERLINK("http://catalog.hathitrust.org/Record/008882005")</f>
        <v>http://catalog.hathitrust.org/Record/008882005</v>
      </c>
      <c r="J6457" s="1">
        <v>1876</v>
      </c>
      <c r="K6457" t="s">
        <v>5194</v>
      </c>
      <c r="L6457" t="s">
        <v>5565</v>
      </c>
    </row>
    <row r="6458" spans="1:12">
      <c r="A6458" t="s">
        <v>5195</v>
      </c>
      <c r="B6458" s="1" t="s">
        <v>5196</v>
      </c>
      <c r="F6458">
        <v>1</v>
      </c>
      <c r="G6458" t="str">
        <f>HYPERLINK("http://babel.hathitrust.org/cgi/pt?id=njp.32101007600206")</f>
        <v>http://babel.hathitrust.org/cgi/pt?id=njp.32101007600206</v>
      </c>
      <c r="H6458" t="str">
        <f>HYPERLINK("http://catalog.hathitrust.org/Record/008882260")</f>
        <v>http://catalog.hathitrust.org/Record/008882260</v>
      </c>
      <c r="J6458" s="1">
        <v>1845</v>
      </c>
      <c r="K6458" t="s">
        <v>5197</v>
      </c>
      <c r="L6458" t="s">
        <v>13538</v>
      </c>
    </row>
    <row r="6459" spans="1:12">
      <c r="A6459" t="s">
        <v>5198</v>
      </c>
      <c r="B6459" s="1" t="s">
        <v>5199</v>
      </c>
      <c r="F6459">
        <v>1</v>
      </c>
      <c r="G6459" t="str">
        <f>HYPERLINK("http://babel.hathitrust.org/cgi/pt?id=njp.32101007606419")</f>
        <v>http://babel.hathitrust.org/cgi/pt?id=njp.32101007606419</v>
      </c>
      <c r="H6459" t="str">
        <f>HYPERLINK("http://catalog.hathitrust.org/Record/008882269")</f>
        <v>http://catalog.hathitrust.org/Record/008882269</v>
      </c>
      <c r="J6459" s="1">
        <v>1891</v>
      </c>
      <c r="K6459" t="s">
        <v>5200</v>
      </c>
      <c r="L6459" t="s">
        <v>16514</v>
      </c>
    </row>
    <row r="6460" spans="1:12">
      <c r="A6460" t="s">
        <v>5201</v>
      </c>
      <c r="B6460" s="1" t="s">
        <v>5202</v>
      </c>
      <c r="F6460">
        <v>1</v>
      </c>
      <c r="G6460" t="str">
        <f>HYPERLINK("http://babel.hathitrust.org/cgi/pt?id=njp.32101013082597")</f>
        <v>http://babel.hathitrust.org/cgi/pt?id=njp.32101013082597</v>
      </c>
      <c r="H6460" t="str">
        <f>HYPERLINK("http://catalog.hathitrust.org/Record/008883512")</f>
        <v>http://catalog.hathitrust.org/Record/008883512</v>
      </c>
      <c r="J6460" s="1">
        <v>1882</v>
      </c>
      <c r="K6460" t="s">
        <v>5203</v>
      </c>
      <c r="L6460" t="s">
        <v>20297</v>
      </c>
    </row>
    <row r="6461" spans="1:12">
      <c r="A6461" t="s">
        <v>5204</v>
      </c>
      <c r="B6461" s="1" t="s">
        <v>5205</v>
      </c>
      <c r="D6461">
        <v>1</v>
      </c>
      <c r="G6461" t="str">
        <f>HYPERLINK("http://babel.hathitrust.org/cgi/pt?id=hvd.hwp593")</f>
        <v>http://babel.hathitrust.org/cgi/pt?id=hvd.hwp593</v>
      </c>
      <c r="H6461" t="str">
        <f>HYPERLINK("http://catalog.hathitrust.org/Record/008883637")</f>
        <v>http://catalog.hathitrust.org/Record/008883637</v>
      </c>
      <c r="J6461" s="1">
        <v>1864</v>
      </c>
      <c r="K6461" t="s">
        <v>5206</v>
      </c>
      <c r="L6461" t="s">
        <v>6479</v>
      </c>
    </row>
    <row r="6462" spans="1:12">
      <c r="A6462" t="s">
        <v>5207</v>
      </c>
      <c r="B6462" s="1" t="s">
        <v>5208</v>
      </c>
      <c r="F6462">
        <v>1</v>
      </c>
      <c r="G6462" t="str">
        <f>HYPERLINK("http://babel.hathitrust.org/cgi/pt?id=njp.32101013394539")</f>
        <v>http://babel.hathitrust.org/cgi/pt?id=njp.32101013394539</v>
      </c>
      <c r="H6462" t="str">
        <f>HYPERLINK("http://catalog.hathitrust.org/Record/008883813")</f>
        <v>http://catalog.hathitrust.org/Record/008883813</v>
      </c>
      <c r="J6462" s="1">
        <v>1881</v>
      </c>
      <c r="K6462" t="s">
        <v>5209</v>
      </c>
      <c r="L6462" t="s">
        <v>10091</v>
      </c>
    </row>
    <row r="6463" spans="1:12">
      <c r="A6463" t="s">
        <v>5210</v>
      </c>
      <c r="B6463" s="1" t="s">
        <v>5211</v>
      </c>
      <c r="F6463">
        <v>1</v>
      </c>
      <c r="G6463" t="str">
        <f>HYPERLINK("http://babel.hathitrust.org/cgi/pt?id=njp.32101013458086")</f>
        <v>http://babel.hathitrust.org/cgi/pt?id=njp.32101013458086</v>
      </c>
      <c r="H6463" t="str">
        <f>HYPERLINK("http://catalog.hathitrust.org/Record/008883838")</f>
        <v>http://catalog.hathitrust.org/Record/008883838</v>
      </c>
      <c r="J6463" s="1">
        <v>1886</v>
      </c>
      <c r="K6463" t="s">
        <v>5212</v>
      </c>
      <c r="L6463" t="s">
        <v>14663</v>
      </c>
    </row>
    <row r="6464" spans="1:12">
      <c r="A6464" t="s">
        <v>5213</v>
      </c>
      <c r="B6464" s="1" t="s">
        <v>5214</v>
      </c>
      <c r="D6464">
        <v>1</v>
      </c>
      <c r="G6464" t="str">
        <f>HYPERLINK("http://babel.hathitrust.org/cgi/pt?id=njp.32101013516784")</f>
        <v>http://babel.hathitrust.org/cgi/pt?id=njp.32101013516784</v>
      </c>
      <c r="H6464" t="str">
        <f>HYPERLINK("http://catalog.hathitrust.org/Record/008883942")</f>
        <v>http://catalog.hathitrust.org/Record/008883942</v>
      </c>
      <c r="J6464" s="1">
        <v>1856</v>
      </c>
      <c r="K6464" t="s">
        <v>15472</v>
      </c>
      <c r="L6464" t="s">
        <v>15473</v>
      </c>
    </row>
    <row r="6465" spans="1:12">
      <c r="A6465" t="s">
        <v>5215</v>
      </c>
      <c r="B6465" s="1" t="s">
        <v>5216</v>
      </c>
      <c r="F6465">
        <v>1</v>
      </c>
      <c r="G6465" t="str">
        <f>HYPERLINK("http://babel.hathitrust.org/cgi/pt?id=njp.32101013523707")</f>
        <v>http://babel.hathitrust.org/cgi/pt?id=njp.32101013523707</v>
      </c>
      <c r="H6465" t="str">
        <f>HYPERLINK("http://catalog.hathitrust.org/Record/008883957")</f>
        <v>http://catalog.hathitrust.org/Record/008883957</v>
      </c>
      <c r="J6465" s="1">
        <v>1898</v>
      </c>
      <c r="K6465" t="s">
        <v>7202</v>
      </c>
      <c r="L6465" t="s">
        <v>7203</v>
      </c>
    </row>
    <row r="6466" spans="1:12">
      <c r="A6466" t="s">
        <v>5217</v>
      </c>
      <c r="B6466" s="1" t="s">
        <v>5218</v>
      </c>
      <c r="F6466">
        <v>1</v>
      </c>
      <c r="G6466" t="str">
        <f>HYPERLINK("http://babel.hathitrust.org/cgi/pt?id=njp.32101013525892")</f>
        <v>http://babel.hathitrust.org/cgi/pt?id=njp.32101013525892</v>
      </c>
      <c r="H6466" t="str">
        <f>HYPERLINK("http://catalog.hathitrust.org/Record/008883962")</f>
        <v>http://catalog.hathitrust.org/Record/008883962</v>
      </c>
      <c r="J6466" s="1">
        <v>1895</v>
      </c>
      <c r="K6466" t="s">
        <v>5219</v>
      </c>
      <c r="L6466" t="s">
        <v>9448</v>
      </c>
    </row>
    <row r="6467" spans="1:12">
      <c r="A6467" t="s">
        <v>5220</v>
      </c>
      <c r="B6467" s="1" t="s">
        <v>5221</v>
      </c>
      <c r="F6467">
        <v>1</v>
      </c>
      <c r="G6467" t="str">
        <f>HYPERLINK("http://babel.hathitrust.org/cgi/pt?id=njp.32101013543846")</f>
        <v>http://babel.hathitrust.org/cgi/pt?id=njp.32101013543846</v>
      </c>
      <c r="H6467" t="str">
        <f>HYPERLINK("http://catalog.hathitrust.org/Record/008883998")</f>
        <v>http://catalog.hathitrust.org/Record/008883998</v>
      </c>
      <c r="J6467" s="1">
        <v>1845</v>
      </c>
      <c r="K6467" t="s">
        <v>5222</v>
      </c>
      <c r="L6467" t="s">
        <v>11439</v>
      </c>
    </row>
    <row r="6468" spans="1:12">
      <c r="A6468" t="s">
        <v>5223</v>
      </c>
      <c r="B6468" s="1" t="s">
        <v>5224</v>
      </c>
      <c r="E6468">
        <v>1</v>
      </c>
      <c r="G6468" t="str">
        <f>HYPERLINK("http://babel.hathitrust.org/cgi/pt?id=njp.32101013647639")</f>
        <v>http://babel.hathitrust.org/cgi/pt?id=njp.32101013647639</v>
      </c>
      <c r="H6468" t="str">
        <f>HYPERLINK("http://catalog.hathitrust.org/Record/008884073")</f>
        <v>http://catalog.hathitrust.org/Record/008884073</v>
      </c>
      <c r="J6468" s="1">
        <v>1855</v>
      </c>
      <c r="K6468" t="s">
        <v>5225</v>
      </c>
      <c r="L6468" t="s">
        <v>20467</v>
      </c>
    </row>
    <row r="6469" spans="1:12">
      <c r="A6469" t="s">
        <v>5226</v>
      </c>
      <c r="B6469" s="1" t="s">
        <v>5227</v>
      </c>
      <c r="D6469">
        <v>1</v>
      </c>
      <c r="G6469" t="str">
        <f>HYPERLINK("http://babel.hathitrust.org/cgi/pt?id=njp.32101015994245")</f>
        <v>http://babel.hathitrust.org/cgi/pt?id=njp.32101015994245</v>
      </c>
      <c r="H6469" t="str">
        <f>HYPERLINK("http://catalog.hathitrust.org/Record/008884760")</f>
        <v>http://catalog.hathitrust.org/Record/008884760</v>
      </c>
      <c r="I6469" s="1" t="s">
        <v>5228</v>
      </c>
      <c r="J6469" s="1">
        <v>1823</v>
      </c>
      <c r="K6469" t="s">
        <v>6304</v>
      </c>
      <c r="L6469" t="s">
        <v>20043</v>
      </c>
    </row>
    <row r="6470" spans="1:12">
      <c r="A6470" t="s">
        <v>5229</v>
      </c>
      <c r="B6470" s="1" t="s">
        <v>5230</v>
      </c>
      <c r="F6470">
        <v>1</v>
      </c>
      <c r="G6470" t="str">
        <f>HYPERLINK("http://babel.hathitrust.org/cgi/pt?id=njp.32101015994278")</f>
        <v>http://babel.hathitrust.org/cgi/pt?id=njp.32101015994278</v>
      </c>
      <c r="H6470" t="str">
        <f>HYPERLINK("http://catalog.hathitrust.org/Record/008884762")</f>
        <v>http://catalog.hathitrust.org/Record/008884762</v>
      </c>
      <c r="J6470" s="1">
        <v>1854</v>
      </c>
      <c r="K6470" t="s">
        <v>5231</v>
      </c>
      <c r="L6470" t="s">
        <v>19836</v>
      </c>
    </row>
    <row r="6471" spans="1:12">
      <c r="A6471" t="s">
        <v>5232</v>
      </c>
      <c r="B6471" s="1" t="s">
        <v>5233</v>
      </c>
      <c r="E6471">
        <v>1</v>
      </c>
      <c r="F6471">
        <v>1</v>
      </c>
      <c r="G6471" t="str">
        <f>HYPERLINK("http://babel.hathitrust.org/cgi/pt?id=njp.32101018268431")</f>
        <v>http://babel.hathitrust.org/cgi/pt?id=njp.32101018268431</v>
      </c>
      <c r="H6471" t="str">
        <f>HYPERLINK("http://catalog.hathitrust.org/Record/008885410")</f>
        <v>http://catalog.hathitrust.org/Record/008885410</v>
      </c>
      <c r="J6471" s="1">
        <v>1897</v>
      </c>
      <c r="K6471" t="s">
        <v>17928</v>
      </c>
      <c r="L6471" t="s">
        <v>18991</v>
      </c>
    </row>
    <row r="6472" spans="1:12">
      <c r="A6472" t="s">
        <v>5234</v>
      </c>
      <c r="B6472" s="1" t="s">
        <v>5235</v>
      </c>
      <c r="F6472">
        <v>1</v>
      </c>
      <c r="G6472" t="str">
        <f>HYPERLINK("http://babel.hathitrust.org/cgi/pt?id=njp.32101020159677")</f>
        <v>http://babel.hathitrust.org/cgi/pt?id=njp.32101020159677</v>
      </c>
      <c r="H6472" t="str">
        <f>HYPERLINK("http://catalog.hathitrust.org/Record/008885954")</f>
        <v>http://catalog.hathitrust.org/Record/008885954</v>
      </c>
      <c r="J6472" s="1">
        <v>1875</v>
      </c>
      <c r="K6472" t="s">
        <v>5236</v>
      </c>
      <c r="L6472" t="s">
        <v>5237</v>
      </c>
    </row>
    <row r="6473" spans="1:12">
      <c r="A6473" t="s">
        <v>5238</v>
      </c>
      <c r="B6473" s="1" t="s">
        <v>5239</v>
      </c>
      <c r="E6473">
        <v>1</v>
      </c>
      <c r="G6473" t="str">
        <f>HYPERLINK("http://babel.hathitrust.org/cgi/pt?id=njp.32101021828098")</f>
        <v>http://babel.hathitrust.org/cgi/pt?id=njp.32101021828098</v>
      </c>
      <c r="H6473" t="str">
        <f>HYPERLINK("http://catalog.hathitrust.org/Record/008886738")</f>
        <v>http://catalog.hathitrust.org/Record/008886738</v>
      </c>
      <c r="J6473" s="1">
        <v>1872</v>
      </c>
      <c r="K6473" t="s">
        <v>5240</v>
      </c>
      <c r="L6473" t="s">
        <v>9984</v>
      </c>
    </row>
    <row r="6474" spans="1:12">
      <c r="A6474" t="s">
        <v>5241</v>
      </c>
      <c r="B6474" s="1" t="s">
        <v>5242</v>
      </c>
      <c r="F6474">
        <v>1</v>
      </c>
      <c r="G6474" t="str">
        <f>HYPERLINK("http://babel.hathitrust.org/cgi/pt?id=njp.32101023512898")</f>
        <v>http://babel.hathitrust.org/cgi/pt?id=njp.32101023512898</v>
      </c>
      <c r="H6474" t="str">
        <f>HYPERLINK("http://catalog.hathitrust.org/Record/008886969")</f>
        <v>http://catalog.hathitrust.org/Record/008886969</v>
      </c>
      <c r="J6474" s="1">
        <v>1911</v>
      </c>
      <c r="K6474" t="s">
        <v>5243</v>
      </c>
      <c r="L6474" t="s">
        <v>19015</v>
      </c>
    </row>
    <row r="6475" spans="1:12">
      <c r="A6475" t="s">
        <v>5244</v>
      </c>
      <c r="B6475" s="1" t="s">
        <v>5245</v>
      </c>
      <c r="F6475">
        <v>1</v>
      </c>
      <c r="G6475" t="str">
        <f>HYPERLINK("http://babel.hathitrust.org/cgi/pt?id=njp.32101025263391")</f>
        <v>http://babel.hathitrust.org/cgi/pt?id=njp.32101025263391</v>
      </c>
      <c r="H6475" t="str">
        <f>HYPERLINK("http://catalog.hathitrust.org/Record/008887114")</f>
        <v>http://catalog.hathitrust.org/Record/008887114</v>
      </c>
      <c r="J6475" s="1">
        <v>1875</v>
      </c>
      <c r="K6475" t="s">
        <v>7236</v>
      </c>
      <c r="L6475" t="s">
        <v>11794</v>
      </c>
    </row>
    <row r="6476" spans="1:12">
      <c r="A6476" t="s">
        <v>5136</v>
      </c>
      <c r="B6476" s="1" t="s">
        <v>5137</v>
      </c>
      <c r="F6476">
        <v>1</v>
      </c>
      <c r="G6476" t="str">
        <f>HYPERLINK("http://babel.hathitrust.org/cgi/pt?id=njp.32101025822709")</f>
        <v>http://babel.hathitrust.org/cgi/pt?id=njp.32101025822709</v>
      </c>
      <c r="H6476" t="str">
        <f>HYPERLINK("http://catalog.hathitrust.org/Record/008887252")</f>
        <v>http://catalog.hathitrust.org/Record/008887252</v>
      </c>
      <c r="I6476" s="1" t="s">
        <v>20916</v>
      </c>
      <c r="J6476" s="1">
        <v>1863</v>
      </c>
      <c r="K6476" t="s">
        <v>5138</v>
      </c>
      <c r="L6476" t="s">
        <v>17914</v>
      </c>
    </row>
    <row r="6477" spans="1:12">
      <c r="A6477" t="s">
        <v>5139</v>
      </c>
      <c r="B6477" s="1" t="s">
        <v>5140</v>
      </c>
      <c r="F6477">
        <v>1</v>
      </c>
      <c r="G6477" t="str">
        <f>HYPERLINK("http://babel.hathitrust.org/cgi/pt?id=hvd.hwnqc3")</f>
        <v>http://babel.hathitrust.org/cgi/pt?id=hvd.hwnqc3</v>
      </c>
      <c r="H6477" t="str">
        <f>HYPERLINK("http://catalog.hathitrust.org/Record/008887894")</f>
        <v>http://catalog.hathitrust.org/Record/008887894</v>
      </c>
      <c r="J6477" s="1">
        <v>1827</v>
      </c>
      <c r="K6477" t="s">
        <v>5141</v>
      </c>
      <c r="L6477" t="s">
        <v>12679</v>
      </c>
    </row>
    <row r="6478" spans="1:12">
      <c r="A6478" t="s">
        <v>5142</v>
      </c>
      <c r="B6478" s="1" t="s">
        <v>5140</v>
      </c>
      <c r="F6478">
        <v>1</v>
      </c>
      <c r="G6478" t="str">
        <f>HYPERLINK("http://babel.hathitrust.org/cgi/pt?id=njp.32101030928079")</f>
        <v>http://babel.hathitrust.org/cgi/pt?id=njp.32101030928079</v>
      </c>
      <c r="H6478" t="str">
        <f>HYPERLINK("http://catalog.hathitrust.org/Record/008887894")</f>
        <v>http://catalog.hathitrust.org/Record/008887894</v>
      </c>
      <c r="J6478" s="1">
        <v>1827</v>
      </c>
      <c r="K6478" t="s">
        <v>5141</v>
      </c>
      <c r="L6478" t="s">
        <v>12679</v>
      </c>
    </row>
    <row r="6479" spans="1:12">
      <c r="A6479" t="s">
        <v>5143</v>
      </c>
      <c r="B6479" s="1" t="s">
        <v>5144</v>
      </c>
      <c r="F6479">
        <v>1</v>
      </c>
      <c r="G6479" t="str">
        <f>HYPERLINK("http://babel.hathitrust.org/cgi/pt?id=njp.32101030928095")</f>
        <v>http://babel.hathitrust.org/cgi/pt?id=njp.32101030928095</v>
      </c>
      <c r="H6479" t="str">
        <f>HYPERLINK("http://catalog.hathitrust.org/Record/008887896")</f>
        <v>http://catalog.hathitrust.org/Record/008887896</v>
      </c>
      <c r="J6479" s="1">
        <v>1834</v>
      </c>
      <c r="K6479" t="s">
        <v>6976</v>
      </c>
      <c r="L6479" t="s">
        <v>12679</v>
      </c>
    </row>
    <row r="6480" spans="1:12">
      <c r="A6480" t="s">
        <v>5145</v>
      </c>
      <c r="B6480" s="1" t="s">
        <v>5146</v>
      </c>
      <c r="F6480">
        <v>1</v>
      </c>
      <c r="G6480" t="str">
        <f>HYPERLINK("http://babel.hathitrust.org/cgi/pt?id=njp.32101031725060")</f>
        <v>http://babel.hathitrust.org/cgi/pt?id=njp.32101031725060</v>
      </c>
      <c r="H6480" t="str">
        <f>HYPERLINK("http://catalog.hathitrust.org/Record/008887961")</f>
        <v>http://catalog.hathitrust.org/Record/008887961</v>
      </c>
      <c r="J6480" s="1">
        <v>1843</v>
      </c>
      <c r="K6480" t="s">
        <v>5147</v>
      </c>
      <c r="L6480" t="s">
        <v>13356</v>
      </c>
    </row>
    <row r="6481" spans="1:12">
      <c r="A6481" t="s">
        <v>5148</v>
      </c>
      <c r="B6481" s="1" t="s">
        <v>5149</v>
      </c>
      <c r="E6481">
        <v>1</v>
      </c>
      <c r="G6481" t="str">
        <f>HYPERLINK("http://babel.hathitrust.org/cgi/pt?id=njp.32101031725078")</f>
        <v>http://babel.hathitrust.org/cgi/pt?id=njp.32101031725078</v>
      </c>
      <c r="H6481" t="str">
        <f>HYPERLINK("http://catalog.hathitrust.org/Record/008887962")</f>
        <v>http://catalog.hathitrust.org/Record/008887962</v>
      </c>
      <c r="J6481" s="1">
        <v>1898</v>
      </c>
      <c r="K6481" t="s">
        <v>5150</v>
      </c>
      <c r="L6481" t="s">
        <v>19800</v>
      </c>
    </row>
    <row r="6482" spans="1:12">
      <c r="A6482" t="s">
        <v>5151</v>
      </c>
      <c r="B6482" s="1" t="s">
        <v>5152</v>
      </c>
      <c r="E6482">
        <v>1</v>
      </c>
      <c r="G6482" t="str">
        <f>HYPERLINK("http://babel.hathitrust.org/cgi/pt?id=njp.32101032249086")</f>
        <v>http://babel.hathitrust.org/cgi/pt?id=njp.32101032249086</v>
      </c>
      <c r="H6482" t="str">
        <f t="shared" ref="H6482:H6487" si="67">HYPERLINK("http://catalog.hathitrust.org/Record/008888056")</f>
        <v>http://catalog.hathitrust.org/Record/008888056</v>
      </c>
      <c r="I6482" s="1" t="s">
        <v>21018</v>
      </c>
      <c r="J6482" s="1">
        <v>1898</v>
      </c>
      <c r="K6482" t="s">
        <v>5153</v>
      </c>
      <c r="L6482" t="s">
        <v>20925</v>
      </c>
    </row>
    <row r="6483" spans="1:12">
      <c r="A6483" t="s">
        <v>5154</v>
      </c>
      <c r="B6483" s="1" t="s">
        <v>5152</v>
      </c>
      <c r="E6483">
        <v>1</v>
      </c>
      <c r="G6483" t="str">
        <f>HYPERLINK("http://babel.hathitrust.org/cgi/pt?id=njp.32101032249094")</f>
        <v>http://babel.hathitrust.org/cgi/pt?id=njp.32101032249094</v>
      </c>
      <c r="H6483" t="str">
        <f t="shared" si="67"/>
        <v>http://catalog.hathitrust.org/Record/008888056</v>
      </c>
      <c r="I6483" s="1" t="s">
        <v>20681</v>
      </c>
      <c r="J6483" s="1">
        <v>1898</v>
      </c>
      <c r="K6483" t="s">
        <v>5153</v>
      </c>
      <c r="L6483" t="s">
        <v>20925</v>
      </c>
    </row>
    <row r="6484" spans="1:12">
      <c r="A6484" t="s">
        <v>5155</v>
      </c>
      <c r="B6484" s="1" t="s">
        <v>5152</v>
      </c>
      <c r="E6484">
        <v>1</v>
      </c>
      <c r="G6484" t="str">
        <f>HYPERLINK("http://babel.hathitrust.org/cgi/pt?id=njp.32101032249110")</f>
        <v>http://babel.hathitrust.org/cgi/pt?id=njp.32101032249110</v>
      </c>
      <c r="H6484" t="str">
        <f t="shared" si="67"/>
        <v>http://catalog.hathitrust.org/Record/008888056</v>
      </c>
      <c r="I6484" s="1" t="s">
        <v>20679</v>
      </c>
      <c r="J6484" s="1">
        <v>1898</v>
      </c>
      <c r="K6484" t="s">
        <v>5153</v>
      </c>
      <c r="L6484" t="s">
        <v>20925</v>
      </c>
    </row>
    <row r="6485" spans="1:12">
      <c r="A6485" t="s">
        <v>5156</v>
      </c>
      <c r="B6485" s="1" t="s">
        <v>5152</v>
      </c>
      <c r="E6485">
        <v>1</v>
      </c>
      <c r="G6485" t="str">
        <f>HYPERLINK("http://babel.hathitrust.org/cgi/pt?id=njp.32101068138476")</f>
        <v>http://babel.hathitrust.org/cgi/pt?id=njp.32101068138476</v>
      </c>
      <c r="H6485" t="str">
        <f t="shared" si="67"/>
        <v>http://catalog.hathitrust.org/Record/008888056</v>
      </c>
      <c r="I6485" s="1" t="s">
        <v>20916</v>
      </c>
      <c r="J6485" s="1">
        <v>1898</v>
      </c>
      <c r="K6485" t="s">
        <v>5153</v>
      </c>
      <c r="L6485" t="s">
        <v>20925</v>
      </c>
    </row>
    <row r="6486" spans="1:12">
      <c r="A6486" t="s">
        <v>5157</v>
      </c>
      <c r="B6486" s="1" t="s">
        <v>5152</v>
      </c>
      <c r="E6486">
        <v>1</v>
      </c>
      <c r="G6486" t="str">
        <f>HYPERLINK("http://babel.hathitrust.org/cgi/pt?id=njp.32101068138484")</f>
        <v>http://babel.hathitrust.org/cgi/pt?id=njp.32101068138484</v>
      </c>
      <c r="H6486" t="str">
        <f t="shared" si="67"/>
        <v>http://catalog.hathitrust.org/Record/008888056</v>
      </c>
      <c r="I6486" s="1" t="s">
        <v>20755</v>
      </c>
      <c r="J6486" s="1">
        <v>1898</v>
      </c>
      <c r="K6486" t="s">
        <v>5153</v>
      </c>
      <c r="L6486" t="s">
        <v>20925</v>
      </c>
    </row>
    <row r="6487" spans="1:12">
      <c r="A6487" t="s">
        <v>5158</v>
      </c>
      <c r="B6487" s="1" t="s">
        <v>5152</v>
      </c>
      <c r="E6487">
        <v>1</v>
      </c>
      <c r="G6487" t="str">
        <f>HYPERLINK("http://babel.hathitrust.org/cgi/pt?id=njp.32101068138492")</f>
        <v>http://babel.hathitrust.org/cgi/pt?id=njp.32101068138492</v>
      </c>
      <c r="H6487" t="str">
        <f t="shared" si="67"/>
        <v>http://catalog.hathitrust.org/Record/008888056</v>
      </c>
      <c r="I6487" s="1" t="s">
        <v>20920</v>
      </c>
      <c r="J6487" s="1">
        <v>1898</v>
      </c>
      <c r="K6487" t="s">
        <v>5153</v>
      </c>
      <c r="L6487" t="s">
        <v>20925</v>
      </c>
    </row>
    <row r="6488" spans="1:12">
      <c r="A6488" t="s">
        <v>5159</v>
      </c>
      <c r="B6488" s="1" t="s">
        <v>5160</v>
      </c>
      <c r="F6488">
        <v>1</v>
      </c>
      <c r="G6488" t="str">
        <f>HYPERLINK("http://babel.hathitrust.org/cgi/pt?id=njp.32101032888347")</f>
        <v>http://babel.hathitrust.org/cgi/pt?id=njp.32101032888347</v>
      </c>
      <c r="H6488" t="str">
        <f>HYPERLINK("http://catalog.hathitrust.org/Record/008888239")</f>
        <v>http://catalog.hathitrust.org/Record/008888239</v>
      </c>
      <c r="J6488" s="1">
        <v>1872</v>
      </c>
      <c r="K6488" t="s">
        <v>5161</v>
      </c>
      <c r="L6488" t="s">
        <v>5162</v>
      </c>
    </row>
    <row r="6489" spans="1:12">
      <c r="A6489" t="s">
        <v>5163</v>
      </c>
      <c r="B6489" s="1" t="s">
        <v>5164</v>
      </c>
      <c r="E6489">
        <v>1</v>
      </c>
      <c r="F6489">
        <v>1</v>
      </c>
      <c r="G6489" t="str">
        <f>HYPERLINK("http://babel.hathitrust.org/cgi/pt?id=loc.ark:/13960/t7dr3fp4f")</f>
        <v>http://babel.hathitrust.org/cgi/pt?id=loc.ark:/13960/t7dr3fp4f</v>
      </c>
      <c r="H6489" t="str">
        <f>HYPERLINK("http://catalog.hathitrust.org/Record/008888651")</f>
        <v>http://catalog.hathitrust.org/Record/008888651</v>
      </c>
      <c r="J6489" s="1">
        <v>1868</v>
      </c>
      <c r="K6489" t="s">
        <v>5165</v>
      </c>
      <c r="L6489" t="s">
        <v>10091</v>
      </c>
    </row>
    <row r="6490" spans="1:12">
      <c r="A6490" t="s">
        <v>5166</v>
      </c>
      <c r="B6490" s="1" t="s">
        <v>5164</v>
      </c>
      <c r="F6490">
        <v>1</v>
      </c>
      <c r="G6490" t="str">
        <f>HYPERLINK("http://babel.hathitrust.org/cgi/pt?id=njp.32101035469863")</f>
        <v>http://babel.hathitrust.org/cgi/pt?id=njp.32101035469863</v>
      </c>
      <c r="H6490" t="str">
        <f>HYPERLINK("http://catalog.hathitrust.org/Record/008888651")</f>
        <v>http://catalog.hathitrust.org/Record/008888651</v>
      </c>
      <c r="J6490" s="1">
        <v>1868</v>
      </c>
      <c r="K6490" t="s">
        <v>5165</v>
      </c>
      <c r="L6490" t="s">
        <v>10091</v>
      </c>
    </row>
    <row r="6491" spans="1:12">
      <c r="A6491" t="s">
        <v>5167</v>
      </c>
      <c r="B6491" s="1" t="s">
        <v>5168</v>
      </c>
      <c r="E6491">
        <v>1</v>
      </c>
      <c r="G6491" t="str">
        <f>HYPERLINK("http://babel.hathitrust.org/cgi/pt?id=njp.32101036110953")</f>
        <v>http://babel.hathitrust.org/cgi/pt?id=njp.32101036110953</v>
      </c>
      <c r="H6491" t="str">
        <f>HYPERLINK("http://catalog.hathitrust.org/Record/008888853")</f>
        <v>http://catalog.hathitrust.org/Record/008888853</v>
      </c>
      <c r="J6491" s="1">
        <v>1922</v>
      </c>
      <c r="K6491" t="s">
        <v>5169</v>
      </c>
      <c r="L6491" t="s">
        <v>5170</v>
      </c>
    </row>
    <row r="6492" spans="1:12">
      <c r="A6492" t="s">
        <v>5171</v>
      </c>
      <c r="B6492" s="1" t="s">
        <v>5172</v>
      </c>
      <c r="D6492">
        <v>1</v>
      </c>
      <c r="G6492" t="str">
        <f>HYPERLINK("http://babel.hathitrust.org/cgi/pt?id=njp.32101037954649")</f>
        <v>http://babel.hathitrust.org/cgi/pt?id=njp.32101037954649</v>
      </c>
      <c r="H6492" t="str">
        <f>HYPERLINK("http://catalog.hathitrust.org/Record/008888984")</f>
        <v>http://catalog.hathitrust.org/Record/008888984</v>
      </c>
      <c r="J6492" s="1">
        <v>1904</v>
      </c>
      <c r="K6492" t="s">
        <v>5173</v>
      </c>
      <c r="L6492" t="s">
        <v>19727</v>
      </c>
    </row>
    <row r="6493" spans="1:12">
      <c r="A6493" t="s">
        <v>5174</v>
      </c>
      <c r="B6493" s="1" t="s">
        <v>5175</v>
      </c>
      <c r="F6493">
        <v>1</v>
      </c>
      <c r="G6493" t="str">
        <f>HYPERLINK("http://babel.hathitrust.org/cgi/pt?id=njp.32101037962295")</f>
        <v>http://babel.hathitrust.org/cgi/pt?id=njp.32101037962295</v>
      </c>
      <c r="H6493" t="str">
        <f>HYPERLINK("http://catalog.hathitrust.org/Record/008889002")</f>
        <v>http://catalog.hathitrust.org/Record/008889002</v>
      </c>
      <c r="J6493" s="1">
        <v>1852</v>
      </c>
      <c r="K6493" t="s">
        <v>5176</v>
      </c>
      <c r="L6493" t="s">
        <v>5177</v>
      </c>
    </row>
    <row r="6494" spans="1:12">
      <c r="A6494" t="s">
        <v>5178</v>
      </c>
      <c r="B6494" s="1" t="s">
        <v>5179</v>
      </c>
      <c r="F6494">
        <v>1</v>
      </c>
      <c r="G6494" t="str">
        <f>HYPERLINK("http://babel.hathitrust.org/cgi/pt?id=njp.32101037975784")</f>
        <v>http://babel.hathitrust.org/cgi/pt?id=njp.32101037975784</v>
      </c>
      <c r="H6494" t="str">
        <f>HYPERLINK("http://catalog.hathitrust.org/Record/008889019")</f>
        <v>http://catalog.hathitrust.org/Record/008889019</v>
      </c>
      <c r="J6494" s="1">
        <v>1906</v>
      </c>
      <c r="K6494" t="s">
        <v>6391</v>
      </c>
      <c r="L6494" t="s">
        <v>5180</v>
      </c>
    </row>
    <row r="6495" spans="1:12">
      <c r="A6495" t="s">
        <v>5181</v>
      </c>
      <c r="B6495" s="1" t="s">
        <v>5182</v>
      </c>
      <c r="E6495">
        <v>1</v>
      </c>
      <c r="F6495">
        <v>1</v>
      </c>
      <c r="G6495" t="str">
        <f>HYPERLINK("http://babel.hathitrust.org/cgi/pt?id=njp.32101038123962")</f>
        <v>http://babel.hathitrust.org/cgi/pt?id=njp.32101038123962</v>
      </c>
      <c r="H6495" t="str">
        <f>HYPERLINK("http://catalog.hathitrust.org/Record/008889209")</f>
        <v>http://catalog.hathitrust.org/Record/008889209</v>
      </c>
      <c r="J6495" s="1">
        <v>1878</v>
      </c>
      <c r="K6495" t="s">
        <v>5183</v>
      </c>
      <c r="L6495" t="s">
        <v>20629</v>
      </c>
    </row>
    <row r="6496" spans="1:12">
      <c r="A6496" t="s">
        <v>5184</v>
      </c>
      <c r="B6496" s="1" t="s">
        <v>5185</v>
      </c>
      <c r="F6496">
        <v>1</v>
      </c>
      <c r="G6496" t="str">
        <f>HYPERLINK("http://babel.hathitrust.org/cgi/pt?id=njp.32101039725310")</f>
        <v>http://babel.hathitrust.org/cgi/pt?id=njp.32101039725310</v>
      </c>
      <c r="H6496" t="str">
        <f>HYPERLINK("http://catalog.hathitrust.org/Record/008889511")</f>
        <v>http://catalog.hathitrust.org/Record/008889511</v>
      </c>
      <c r="J6496" s="1">
        <v>1899</v>
      </c>
      <c r="K6496" t="s">
        <v>9068</v>
      </c>
      <c r="L6496" t="s">
        <v>19080</v>
      </c>
    </row>
    <row r="6497" spans="1:12">
      <c r="A6497" t="s">
        <v>5186</v>
      </c>
      <c r="B6497" s="1" t="s">
        <v>5187</v>
      </c>
      <c r="F6497">
        <v>1</v>
      </c>
      <c r="G6497" t="str">
        <f>HYPERLINK("http://babel.hathitrust.org/cgi/pt?id=njp.32101040117366")</f>
        <v>http://babel.hathitrust.org/cgi/pt?id=njp.32101040117366</v>
      </c>
      <c r="H6497" t="str">
        <f>HYPERLINK("http://catalog.hathitrust.org/Record/008889593")</f>
        <v>http://catalog.hathitrust.org/Record/008889593</v>
      </c>
      <c r="J6497" s="1">
        <v>1877</v>
      </c>
      <c r="K6497" t="s">
        <v>5188</v>
      </c>
      <c r="L6497" t="s">
        <v>5189</v>
      </c>
    </row>
    <row r="6498" spans="1:12">
      <c r="A6498" t="s">
        <v>5190</v>
      </c>
      <c r="B6498" s="1" t="s">
        <v>5191</v>
      </c>
      <c r="F6498">
        <v>1</v>
      </c>
      <c r="G6498" t="str">
        <f>HYPERLINK("http://babel.hathitrust.org/cgi/pt?id=njp.32101041259639")</f>
        <v>http://babel.hathitrust.org/cgi/pt?id=njp.32101041259639</v>
      </c>
      <c r="H6498" t="str">
        <f>HYPERLINK("http://catalog.hathitrust.org/Record/008889781")</f>
        <v>http://catalog.hathitrust.org/Record/008889781</v>
      </c>
      <c r="J6498" s="1">
        <v>1921</v>
      </c>
      <c r="K6498" t="s">
        <v>11385</v>
      </c>
      <c r="L6498" t="s">
        <v>11476</v>
      </c>
    </row>
    <row r="6499" spans="1:12">
      <c r="A6499" t="s">
        <v>5092</v>
      </c>
      <c r="B6499" s="1" t="s">
        <v>5093</v>
      </c>
      <c r="F6499">
        <v>1</v>
      </c>
      <c r="G6499" t="str">
        <f>HYPERLINK("http://babel.hathitrust.org/cgi/pt?id=njp.32101042038438")</f>
        <v>http://babel.hathitrust.org/cgi/pt?id=njp.32101042038438</v>
      </c>
      <c r="H6499" t="str">
        <f>HYPERLINK("http://catalog.hathitrust.org/Record/008890567")</f>
        <v>http://catalog.hathitrust.org/Record/008890567</v>
      </c>
      <c r="J6499" s="1">
        <v>1904</v>
      </c>
      <c r="K6499" t="s">
        <v>13523</v>
      </c>
      <c r="L6499" t="s">
        <v>16360</v>
      </c>
    </row>
    <row r="6500" spans="1:12">
      <c r="A6500" t="s">
        <v>5094</v>
      </c>
      <c r="B6500" s="1" t="s">
        <v>5095</v>
      </c>
      <c r="F6500">
        <v>1</v>
      </c>
      <c r="G6500" t="str">
        <f>HYPERLINK("http://babel.hathitrust.org/cgi/pt?id=njp.32101042221562")</f>
        <v>http://babel.hathitrust.org/cgi/pt?id=njp.32101042221562</v>
      </c>
      <c r="H6500" t="str">
        <f>HYPERLINK("http://catalog.hathitrust.org/Record/008890674")</f>
        <v>http://catalog.hathitrust.org/Record/008890674</v>
      </c>
      <c r="J6500" s="1">
        <v>1914</v>
      </c>
      <c r="K6500" t="s">
        <v>5096</v>
      </c>
      <c r="L6500" t="s">
        <v>20867</v>
      </c>
    </row>
    <row r="6501" spans="1:12">
      <c r="A6501" t="s">
        <v>5097</v>
      </c>
      <c r="B6501" s="1" t="s">
        <v>5098</v>
      </c>
      <c r="E6501">
        <v>1</v>
      </c>
      <c r="G6501" t="str">
        <f>HYPERLINK("http://babel.hathitrust.org/cgi/pt?id=njp.32101042848067")</f>
        <v>http://babel.hathitrust.org/cgi/pt?id=njp.32101042848067</v>
      </c>
      <c r="H6501" t="str">
        <f>HYPERLINK("http://catalog.hathitrust.org/Record/008891306")</f>
        <v>http://catalog.hathitrust.org/Record/008891306</v>
      </c>
      <c r="J6501" s="1">
        <v>1810</v>
      </c>
      <c r="K6501" t="s">
        <v>5099</v>
      </c>
      <c r="L6501" t="s">
        <v>16265</v>
      </c>
    </row>
    <row r="6502" spans="1:12">
      <c r="A6502" t="s">
        <v>5100</v>
      </c>
      <c r="B6502" s="1" t="s">
        <v>5101</v>
      </c>
      <c r="E6502">
        <v>1</v>
      </c>
      <c r="G6502" t="str">
        <f>HYPERLINK("http://babel.hathitrust.org/cgi/pt?id=njp.32101045240916")</f>
        <v>http://babel.hathitrust.org/cgi/pt?id=njp.32101045240916</v>
      </c>
      <c r="H6502" t="str">
        <f>HYPERLINK("http://catalog.hathitrust.org/Record/008893116")</f>
        <v>http://catalog.hathitrust.org/Record/008893116</v>
      </c>
      <c r="J6502" s="1">
        <v>1846</v>
      </c>
      <c r="K6502" t="s">
        <v>5102</v>
      </c>
      <c r="L6502" t="s">
        <v>5616</v>
      </c>
    </row>
    <row r="6503" spans="1:12">
      <c r="A6503" t="s">
        <v>5103</v>
      </c>
      <c r="B6503" s="1" t="s">
        <v>5104</v>
      </c>
      <c r="F6503">
        <v>1</v>
      </c>
      <c r="G6503" t="str">
        <f>HYPERLINK("http://babel.hathitrust.org/cgi/pt?id=njp.32101045242938")</f>
        <v>http://babel.hathitrust.org/cgi/pt?id=njp.32101045242938</v>
      </c>
      <c r="H6503" t="str">
        <f>HYPERLINK("http://catalog.hathitrust.org/Record/008893136")</f>
        <v>http://catalog.hathitrust.org/Record/008893136</v>
      </c>
      <c r="J6503" s="1">
        <v>1852</v>
      </c>
      <c r="K6503" t="s">
        <v>5105</v>
      </c>
      <c r="L6503" t="s">
        <v>11488</v>
      </c>
    </row>
    <row r="6504" spans="1:12">
      <c r="A6504" t="s">
        <v>5106</v>
      </c>
      <c r="B6504" s="1" t="s">
        <v>5107</v>
      </c>
      <c r="F6504">
        <v>1</v>
      </c>
      <c r="G6504" t="str">
        <f>HYPERLINK("http://babel.hathitrust.org/cgi/pt?id=njp.32101045662200")</f>
        <v>http://babel.hathitrust.org/cgi/pt?id=njp.32101045662200</v>
      </c>
      <c r="H6504" t="str">
        <f>HYPERLINK("http://catalog.hathitrust.org/Record/008894082")</f>
        <v>http://catalog.hathitrust.org/Record/008894082</v>
      </c>
      <c r="I6504" s="1" t="s">
        <v>5109</v>
      </c>
      <c r="J6504" s="1">
        <v>1920</v>
      </c>
      <c r="K6504" t="s">
        <v>5108</v>
      </c>
    </row>
    <row r="6505" spans="1:12">
      <c r="A6505" t="s">
        <v>5110</v>
      </c>
      <c r="B6505" s="1" t="s">
        <v>5111</v>
      </c>
      <c r="F6505">
        <v>1</v>
      </c>
      <c r="G6505" t="str">
        <f>HYPERLINK("http://babel.hathitrust.org/cgi/pt?id=njp.32101046518476")</f>
        <v>http://babel.hathitrust.org/cgi/pt?id=njp.32101046518476</v>
      </c>
      <c r="H6505" t="str">
        <f>HYPERLINK("http://catalog.hathitrust.org/Record/008894874")</f>
        <v>http://catalog.hathitrust.org/Record/008894874</v>
      </c>
      <c r="J6505" s="1">
        <v>1899</v>
      </c>
      <c r="K6505" t="s">
        <v>5112</v>
      </c>
      <c r="L6505" t="s">
        <v>15418</v>
      </c>
    </row>
    <row r="6506" spans="1:12">
      <c r="A6506" t="s">
        <v>5113</v>
      </c>
      <c r="B6506" s="1" t="s">
        <v>5114</v>
      </c>
      <c r="F6506">
        <v>1</v>
      </c>
      <c r="G6506" t="str">
        <f>HYPERLINK("http://babel.hathitrust.org/cgi/pt?id=njp.32101046739379")</f>
        <v>http://babel.hathitrust.org/cgi/pt?id=njp.32101046739379</v>
      </c>
      <c r="H6506" t="str">
        <f>HYPERLINK("http://catalog.hathitrust.org/Record/008894958")</f>
        <v>http://catalog.hathitrust.org/Record/008894958</v>
      </c>
      <c r="J6506" s="1">
        <v>1825</v>
      </c>
      <c r="K6506" t="s">
        <v>5115</v>
      </c>
      <c r="L6506" t="s">
        <v>5116</v>
      </c>
    </row>
    <row r="6507" spans="1:12">
      <c r="A6507" t="s">
        <v>5117</v>
      </c>
      <c r="B6507" s="1" t="s">
        <v>5118</v>
      </c>
      <c r="F6507">
        <v>1</v>
      </c>
      <c r="G6507" t="str">
        <f>HYPERLINK("http://babel.hathitrust.org/cgi/pt?id=njp.32101047157142")</f>
        <v>http://babel.hathitrust.org/cgi/pt?id=njp.32101047157142</v>
      </c>
      <c r="H6507" t="str">
        <f>HYPERLINK("http://catalog.hathitrust.org/Record/008895335")</f>
        <v>http://catalog.hathitrust.org/Record/008895335</v>
      </c>
      <c r="J6507" s="1">
        <v>1887</v>
      </c>
      <c r="K6507" t="s">
        <v>5119</v>
      </c>
      <c r="L6507" t="s">
        <v>5120</v>
      </c>
    </row>
    <row r="6508" spans="1:12">
      <c r="A6508" t="s">
        <v>5121</v>
      </c>
      <c r="B6508" s="1" t="s">
        <v>5122</v>
      </c>
      <c r="F6508">
        <v>1</v>
      </c>
      <c r="G6508" t="str">
        <f>HYPERLINK("http://babel.hathitrust.org/cgi/pt?id=njp.32101047243116")</f>
        <v>http://babel.hathitrust.org/cgi/pt?id=njp.32101047243116</v>
      </c>
      <c r="H6508" t="str">
        <f>HYPERLINK("http://catalog.hathitrust.org/Record/008895507")</f>
        <v>http://catalog.hathitrust.org/Record/008895507</v>
      </c>
      <c r="J6508" s="1">
        <v>1908</v>
      </c>
      <c r="K6508" t="s">
        <v>15469</v>
      </c>
      <c r="L6508" t="s">
        <v>20872</v>
      </c>
    </row>
    <row r="6509" spans="1:12">
      <c r="A6509" t="s">
        <v>5123</v>
      </c>
      <c r="B6509" s="1" t="s">
        <v>5124</v>
      </c>
      <c r="F6509">
        <v>1</v>
      </c>
      <c r="G6509" t="str">
        <f>HYPERLINK("http://babel.hathitrust.org/cgi/pt?id=njp.32101064789371")</f>
        <v>http://babel.hathitrust.org/cgi/pt?id=njp.32101064789371</v>
      </c>
      <c r="H6509" t="str">
        <f>HYPERLINK("http://catalog.hathitrust.org/Record/008896408")</f>
        <v>http://catalog.hathitrust.org/Record/008896408</v>
      </c>
      <c r="J6509" s="1">
        <v>1912</v>
      </c>
      <c r="K6509" t="s">
        <v>5125</v>
      </c>
      <c r="L6509" t="s">
        <v>19821</v>
      </c>
    </row>
    <row r="6510" spans="1:12">
      <c r="A6510" t="s">
        <v>5126</v>
      </c>
      <c r="B6510" s="1" t="s">
        <v>5127</v>
      </c>
      <c r="F6510">
        <v>1</v>
      </c>
      <c r="G6510" t="str">
        <f>HYPERLINK("http://babel.hathitrust.org/cgi/pt?id=njp.32101048376840")</f>
        <v>http://babel.hathitrust.org/cgi/pt?id=njp.32101048376840</v>
      </c>
      <c r="H6510" t="str">
        <f>HYPERLINK("http://catalog.hathitrust.org/Record/008896413")</f>
        <v>http://catalog.hathitrust.org/Record/008896413</v>
      </c>
      <c r="J6510" s="1">
        <v>1881</v>
      </c>
      <c r="K6510" t="s">
        <v>5128</v>
      </c>
      <c r="L6510" t="s">
        <v>5129</v>
      </c>
    </row>
    <row r="6511" spans="1:12">
      <c r="A6511" t="s">
        <v>5130</v>
      </c>
      <c r="B6511" s="1" t="s">
        <v>5131</v>
      </c>
      <c r="F6511">
        <v>1</v>
      </c>
      <c r="G6511" t="str">
        <f>HYPERLINK("http://babel.hathitrust.org/cgi/pt?id=njp.32101054852122")</f>
        <v>http://babel.hathitrust.org/cgi/pt?id=njp.32101054852122</v>
      </c>
      <c r="H6511" t="str">
        <f>HYPERLINK("http://catalog.hathitrust.org/Record/008900838")</f>
        <v>http://catalog.hathitrust.org/Record/008900838</v>
      </c>
      <c r="J6511" s="1">
        <v>1893</v>
      </c>
      <c r="K6511" t="s">
        <v>5132</v>
      </c>
      <c r="L6511" t="s">
        <v>5133</v>
      </c>
    </row>
    <row r="6512" spans="1:12">
      <c r="A6512" t="s">
        <v>5134</v>
      </c>
      <c r="B6512" s="1" t="s">
        <v>5135</v>
      </c>
      <c r="F6512">
        <v>1</v>
      </c>
      <c r="G6512" t="str">
        <f>HYPERLINK("http://babel.hathitrust.org/cgi/pt?id=njp.32101055311094")</f>
        <v>http://babel.hathitrust.org/cgi/pt?id=njp.32101055311094</v>
      </c>
      <c r="H6512" t="str">
        <f>HYPERLINK("http://catalog.hathitrust.org/Record/008901323")</f>
        <v>http://catalog.hathitrust.org/Record/008901323</v>
      </c>
      <c r="J6512" s="1">
        <v>1884</v>
      </c>
      <c r="K6512" t="s">
        <v>5052</v>
      </c>
      <c r="L6512" t="s">
        <v>5053</v>
      </c>
    </row>
    <row r="6513" spans="1:12">
      <c r="A6513" t="s">
        <v>5054</v>
      </c>
      <c r="B6513" s="1" t="s">
        <v>5055</v>
      </c>
      <c r="F6513">
        <v>1</v>
      </c>
      <c r="G6513" t="str">
        <f>HYPERLINK("http://babel.hathitrust.org/cgi/pt?id=njp.32101055566879")</f>
        <v>http://babel.hathitrust.org/cgi/pt?id=njp.32101055566879</v>
      </c>
      <c r="H6513" t="str">
        <f>HYPERLINK("http://catalog.hathitrust.org/Record/008901762")</f>
        <v>http://catalog.hathitrust.org/Record/008901762</v>
      </c>
      <c r="J6513" s="1">
        <v>1836</v>
      </c>
      <c r="K6513" t="s">
        <v>5056</v>
      </c>
      <c r="L6513" t="s">
        <v>19375</v>
      </c>
    </row>
    <row r="6514" spans="1:12">
      <c r="A6514" t="s">
        <v>5057</v>
      </c>
      <c r="B6514" s="1" t="s">
        <v>5058</v>
      </c>
      <c r="F6514">
        <v>1</v>
      </c>
      <c r="G6514" t="str">
        <f>HYPERLINK("http://babel.hathitrust.org/cgi/pt?id=njp.32101056392630")</f>
        <v>http://babel.hathitrust.org/cgi/pt?id=njp.32101056392630</v>
      </c>
      <c r="H6514" t="str">
        <f>HYPERLINK("http://catalog.hathitrust.org/Record/008903310")</f>
        <v>http://catalog.hathitrust.org/Record/008903310</v>
      </c>
      <c r="J6514" s="1">
        <v>1886</v>
      </c>
      <c r="K6514" t="s">
        <v>10683</v>
      </c>
      <c r="L6514" t="s">
        <v>6672</v>
      </c>
    </row>
    <row r="6515" spans="1:12">
      <c r="A6515" t="s">
        <v>5059</v>
      </c>
      <c r="B6515" s="1" t="s">
        <v>5060</v>
      </c>
      <c r="F6515">
        <v>1</v>
      </c>
      <c r="G6515" t="str">
        <f>HYPERLINK("http://babel.hathitrust.org/cgi/pt?id=njp.32101057199299")</f>
        <v>http://babel.hathitrust.org/cgi/pt?id=njp.32101057199299</v>
      </c>
      <c r="H6515" t="str">
        <f>HYPERLINK("http://catalog.hathitrust.org/Record/008903850")</f>
        <v>http://catalog.hathitrust.org/Record/008903850</v>
      </c>
      <c r="J6515" s="1">
        <v>1897</v>
      </c>
      <c r="K6515" t="s">
        <v>5061</v>
      </c>
    </row>
    <row r="6516" spans="1:12">
      <c r="A6516" t="s">
        <v>5062</v>
      </c>
      <c r="B6516" s="1" t="s">
        <v>5063</v>
      </c>
      <c r="F6516">
        <v>1</v>
      </c>
      <c r="G6516" t="str">
        <f>HYPERLINK("http://babel.hathitrust.org/cgi/pt?id=njp.32101057787176")</f>
        <v>http://babel.hathitrust.org/cgi/pt?id=njp.32101057787176</v>
      </c>
      <c r="H6516" t="str">
        <f>HYPERLINK("http://catalog.hathitrust.org/Record/008904710")</f>
        <v>http://catalog.hathitrust.org/Record/008904710</v>
      </c>
      <c r="J6516" s="1">
        <v>1917</v>
      </c>
      <c r="K6516" t="s">
        <v>5064</v>
      </c>
      <c r="L6516" t="s">
        <v>5065</v>
      </c>
    </row>
    <row r="6517" spans="1:12">
      <c r="A6517" t="s">
        <v>5066</v>
      </c>
      <c r="B6517" s="1" t="s">
        <v>5067</v>
      </c>
      <c r="F6517">
        <v>1</v>
      </c>
      <c r="G6517" t="str">
        <f>HYPERLINK("http://babel.hathitrust.org/cgi/pt?id=njp.32101058533322")</f>
        <v>http://babel.hathitrust.org/cgi/pt?id=njp.32101058533322</v>
      </c>
      <c r="H6517" t="str">
        <f>HYPERLINK("http://catalog.hathitrust.org/Record/008909196")</f>
        <v>http://catalog.hathitrust.org/Record/008909196</v>
      </c>
      <c r="J6517" s="1">
        <v>1819</v>
      </c>
      <c r="K6517" t="s">
        <v>5068</v>
      </c>
      <c r="L6517" t="s">
        <v>5069</v>
      </c>
    </row>
    <row r="6518" spans="1:12">
      <c r="A6518" t="s">
        <v>5070</v>
      </c>
      <c r="B6518" s="1" t="s">
        <v>5071</v>
      </c>
      <c r="E6518">
        <v>1</v>
      </c>
      <c r="G6518" t="str">
        <f>HYPERLINK("http://babel.hathitrust.org/cgi/pt?id=njp.32101061550792")</f>
        <v>http://babel.hathitrust.org/cgi/pt?id=njp.32101061550792</v>
      </c>
      <c r="H6518" t="str">
        <f>HYPERLINK("http://catalog.hathitrust.org/Record/008915511")</f>
        <v>http://catalog.hathitrust.org/Record/008915511</v>
      </c>
      <c r="I6518" s="1" t="s">
        <v>20916</v>
      </c>
      <c r="J6518" s="1">
        <v>1900</v>
      </c>
      <c r="K6518" t="s">
        <v>5072</v>
      </c>
      <c r="L6518" t="s">
        <v>19690</v>
      </c>
    </row>
    <row r="6519" spans="1:12">
      <c r="A6519" t="s">
        <v>5073</v>
      </c>
      <c r="B6519" s="1" t="s">
        <v>5071</v>
      </c>
      <c r="E6519">
        <v>1</v>
      </c>
      <c r="G6519" t="str">
        <f>HYPERLINK("http://babel.hathitrust.org/cgi/pt?id=njp.32101075686236")</f>
        <v>http://babel.hathitrust.org/cgi/pt?id=njp.32101075686236</v>
      </c>
      <c r="H6519" t="str">
        <f>HYPERLINK("http://catalog.hathitrust.org/Record/008915511")</f>
        <v>http://catalog.hathitrust.org/Record/008915511</v>
      </c>
      <c r="I6519" s="1" t="s">
        <v>20755</v>
      </c>
      <c r="J6519" s="1">
        <v>1900</v>
      </c>
      <c r="K6519" t="s">
        <v>5072</v>
      </c>
      <c r="L6519" t="s">
        <v>19690</v>
      </c>
    </row>
    <row r="6520" spans="1:12">
      <c r="A6520" t="s">
        <v>5074</v>
      </c>
      <c r="B6520" s="1" t="s">
        <v>5071</v>
      </c>
      <c r="E6520">
        <v>1</v>
      </c>
      <c r="G6520" t="str">
        <f>HYPERLINK("http://babel.hathitrust.org/cgi/pt?id=njp.32101075686244")</f>
        <v>http://babel.hathitrust.org/cgi/pt?id=njp.32101075686244</v>
      </c>
      <c r="H6520" t="str">
        <f>HYPERLINK("http://catalog.hathitrust.org/Record/008915511")</f>
        <v>http://catalog.hathitrust.org/Record/008915511</v>
      </c>
      <c r="I6520" s="1" t="s">
        <v>20920</v>
      </c>
      <c r="J6520" s="1">
        <v>1900</v>
      </c>
      <c r="K6520" t="s">
        <v>5072</v>
      </c>
      <c r="L6520" t="s">
        <v>19690</v>
      </c>
    </row>
    <row r="6521" spans="1:12">
      <c r="A6521" t="s">
        <v>5075</v>
      </c>
      <c r="B6521" s="1" t="s">
        <v>5076</v>
      </c>
      <c r="E6521">
        <v>1</v>
      </c>
      <c r="G6521" t="str">
        <f>HYPERLINK("http://babel.hathitrust.org/cgi/pt?id=njp.32101061812861")</f>
        <v>http://babel.hathitrust.org/cgi/pt?id=njp.32101061812861</v>
      </c>
      <c r="H6521" t="str">
        <f>HYPERLINK("http://catalog.hathitrust.org/Record/008915606")</f>
        <v>http://catalog.hathitrust.org/Record/008915606</v>
      </c>
      <c r="J6521" s="1">
        <v>1813</v>
      </c>
      <c r="K6521" t="s">
        <v>12178</v>
      </c>
      <c r="L6521" t="s">
        <v>20043</v>
      </c>
    </row>
    <row r="6522" spans="1:12">
      <c r="A6522" t="s">
        <v>5077</v>
      </c>
      <c r="B6522" s="1" t="s">
        <v>5078</v>
      </c>
      <c r="F6522">
        <v>1</v>
      </c>
      <c r="G6522" t="str">
        <f>HYPERLINK("http://babel.hathitrust.org/cgi/pt?id=njp.32101061812945")</f>
        <v>http://babel.hathitrust.org/cgi/pt?id=njp.32101061812945</v>
      </c>
      <c r="H6522" t="str">
        <f>HYPERLINK("http://catalog.hathitrust.org/Record/008915608")</f>
        <v>http://catalog.hathitrust.org/Record/008915608</v>
      </c>
      <c r="J6522" s="1">
        <v>1889</v>
      </c>
      <c r="K6522" t="s">
        <v>5079</v>
      </c>
      <c r="L6522" t="s">
        <v>5080</v>
      </c>
    </row>
    <row r="6523" spans="1:12">
      <c r="A6523" t="s">
        <v>5081</v>
      </c>
      <c r="B6523" s="1" t="s">
        <v>5082</v>
      </c>
      <c r="F6523">
        <v>1</v>
      </c>
      <c r="G6523" t="str">
        <f>HYPERLINK("http://babel.hathitrust.org/cgi/pt?id=njp.32101061813430")</f>
        <v>http://babel.hathitrust.org/cgi/pt?id=njp.32101061813430</v>
      </c>
      <c r="H6523" t="str">
        <f>HYPERLINK("http://catalog.hathitrust.org/Record/008915614")</f>
        <v>http://catalog.hathitrust.org/Record/008915614</v>
      </c>
      <c r="J6523" s="1">
        <v>1888</v>
      </c>
      <c r="K6523" t="s">
        <v>5083</v>
      </c>
      <c r="L6523" t="s">
        <v>5084</v>
      </c>
    </row>
    <row r="6524" spans="1:12">
      <c r="A6524" t="s">
        <v>5085</v>
      </c>
      <c r="B6524" s="1" t="s">
        <v>5086</v>
      </c>
      <c r="F6524">
        <v>1</v>
      </c>
      <c r="G6524" t="str">
        <f>HYPERLINK("http://babel.hathitrust.org/cgi/pt?id=njp.32101063052250")</f>
        <v>http://babel.hathitrust.org/cgi/pt?id=njp.32101063052250</v>
      </c>
      <c r="H6524" t="str">
        <f>HYPERLINK("http://catalog.hathitrust.org/Record/008916025")</f>
        <v>http://catalog.hathitrust.org/Record/008916025</v>
      </c>
      <c r="J6524" s="1">
        <v>1845</v>
      </c>
      <c r="K6524" t="s">
        <v>5087</v>
      </c>
      <c r="L6524" t="s">
        <v>11710</v>
      </c>
    </row>
    <row r="6525" spans="1:12">
      <c r="A6525" t="s">
        <v>5088</v>
      </c>
      <c r="B6525" s="1" t="s">
        <v>5089</v>
      </c>
      <c r="E6525">
        <v>1</v>
      </c>
      <c r="F6525">
        <v>1</v>
      </c>
      <c r="G6525" t="str">
        <f>HYPERLINK("http://babel.hathitrust.org/cgi/pt?id=njp.32101063052276")</f>
        <v>http://babel.hathitrust.org/cgi/pt?id=njp.32101063052276</v>
      </c>
      <c r="H6525" t="str">
        <f>HYPERLINK("http://catalog.hathitrust.org/Record/008916027")</f>
        <v>http://catalog.hathitrust.org/Record/008916027</v>
      </c>
      <c r="J6525" s="1">
        <v>1889</v>
      </c>
      <c r="K6525" t="s">
        <v>5090</v>
      </c>
      <c r="L6525" t="s">
        <v>11525</v>
      </c>
    </row>
    <row r="6526" spans="1:12">
      <c r="A6526" t="s">
        <v>5091</v>
      </c>
      <c r="B6526" s="1" t="s">
        <v>5021</v>
      </c>
      <c r="F6526">
        <v>1</v>
      </c>
      <c r="G6526" t="str">
        <f>HYPERLINK("http://babel.hathitrust.org/cgi/pt?id=njp.32101063052342")</f>
        <v>http://babel.hathitrust.org/cgi/pt?id=njp.32101063052342</v>
      </c>
      <c r="H6526" t="str">
        <f>HYPERLINK("http://catalog.hathitrust.org/Record/008916031")</f>
        <v>http://catalog.hathitrust.org/Record/008916031</v>
      </c>
      <c r="J6526" s="1">
        <v>1838</v>
      </c>
      <c r="K6526" t="s">
        <v>5022</v>
      </c>
      <c r="L6526" t="s">
        <v>19514</v>
      </c>
    </row>
    <row r="6527" spans="1:12">
      <c r="A6527" t="s">
        <v>5023</v>
      </c>
      <c r="B6527" s="1" t="s">
        <v>5024</v>
      </c>
      <c r="F6527">
        <v>1</v>
      </c>
      <c r="G6527" t="str">
        <f>HYPERLINK("http://babel.hathitrust.org/cgi/pt?id=njp.32101063582942")</f>
        <v>http://babel.hathitrust.org/cgi/pt?id=njp.32101063582942</v>
      </c>
      <c r="H6527" t="str">
        <f>HYPERLINK("http://catalog.hathitrust.org/Record/008916684")</f>
        <v>http://catalog.hathitrust.org/Record/008916684</v>
      </c>
      <c r="J6527" s="1">
        <v>1890</v>
      </c>
      <c r="K6527" t="s">
        <v>5025</v>
      </c>
      <c r="L6527" t="s">
        <v>9651</v>
      </c>
    </row>
    <row r="6528" spans="1:12">
      <c r="A6528" t="s">
        <v>5026</v>
      </c>
      <c r="B6528" s="1" t="s">
        <v>5027</v>
      </c>
      <c r="F6528">
        <v>1</v>
      </c>
      <c r="G6528" t="str">
        <f>HYPERLINK("http://babel.hathitrust.org/cgi/pt?id=njp.32101063583304")</f>
        <v>http://babel.hathitrust.org/cgi/pt?id=njp.32101063583304</v>
      </c>
      <c r="H6528" t="str">
        <f>HYPERLINK("http://catalog.hathitrust.org/Record/008916704")</f>
        <v>http://catalog.hathitrust.org/Record/008916704</v>
      </c>
      <c r="I6528" s="1" t="s">
        <v>17885</v>
      </c>
      <c r="J6528" s="1">
        <v>1890</v>
      </c>
      <c r="K6528" t="s">
        <v>5028</v>
      </c>
      <c r="L6528" t="s">
        <v>5029</v>
      </c>
    </row>
    <row r="6529" spans="1:12">
      <c r="A6529" t="s">
        <v>5030</v>
      </c>
      <c r="B6529" s="1" t="s">
        <v>5027</v>
      </c>
      <c r="F6529">
        <v>1</v>
      </c>
      <c r="G6529" t="str">
        <f>HYPERLINK("http://babel.hathitrust.org/cgi/pt?id=njp.32101063583312")</f>
        <v>http://babel.hathitrust.org/cgi/pt?id=njp.32101063583312</v>
      </c>
      <c r="H6529" t="str">
        <f>HYPERLINK("http://catalog.hathitrust.org/Record/008916704")</f>
        <v>http://catalog.hathitrust.org/Record/008916704</v>
      </c>
      <c r="I6529" s="1" t="s">
        <v>17887</v>
      </c>
      <c r="J6529" s="1">
        <v>1890</v>
      </c>
      <c r="K6529" t="s">
        <v>5028</v>
      </c>
      <c r="L6529" t="s">
        <v>5029</v>
      </c>
    </row>
    <row r="6530" spans="1:12">
      <c r="A6530" t="s">
        <v>5031</v>
      </c>
      <c r="B6530" s="1" t="s">
        <v>5027</v>
      </c>
      <c r="F6530">
        <v>1</v>
      </c>
      <c r="G6530" t="str">
        <f>HYPERLINK("http://babel.hathitrust.org/cgi/pt?id=njp.32101063583320")</f>
        <v>http://babel.hathitrust.org/cgi/pt?id=njp.32101063583320</v>
      </c>
      <c r="H6530" t="str">
        <f>HYPERLINK("http://catalog.hathitrust.org/Record/008916704")</f>
        <v>http://catalog.hathitrust.org/Record/008916704</v>
      </c>
      <c r="I6530" s="1" t="s">
        <v>11243</v>
      </c>
      <c r="J6530" s="1">
        <v>1890</v>
      </c>
      <c r="K6530" t="s">
        <v>5028</v>
      </c>
      <c r="L6530" t="s">
        <v>5029</v>
      </c>
    </row>
    <row r="6531" spans="1:12">
      <c r="A6531" t="s">
        <v>5032</v>
      </c>
      <c r="B6531" s="1" t="s">
        <v>5027</v>
      </c>
      <c r="F6531">
        <v>1</v>
      </c>
      <c r="G6531" t="str">
        <f>HYPERLINK("http://babel.hathitrust.org/cgi/pt?id=njp.32101063583338")</f>
        <v>http://babel.hathitrust.org/cgi/pt?id=njp.32101063583338</v>
      </c>
      <c r="H6531" t="str">
        <f>HYPERLINK("http://catalog.hathitrust.org/Record/008916704")</f>
        <v>http://catalog.hathitrust.org/Record/008916704</v>
      </c>
      <c r="I6531" s="1" t="s">
        <v>17883</v>
      </c>
      <c r="J6531" s="1">
        <v>1890</v>
      </c>
      <c r="K6531" t="s">
        <v>5028</v>
      </c>
      <c r="L6531" t="s">
        <v>5029</v>
      </c>
    </row>
    <row r="6532" spans="1:12">
      <c r="A6532" t="s">
        <v>5033</v>
      </c>
      <c r="B6532" s="1" t="s">
        <v>5034</v>
      </c>
      <c r="F6532">
        <v>1</v>
      </c>
      <c r="G6532" t="str">
        <f>HYPERLINK("http://babel.hathitrust.org/cgi/pt?id=njp.32101063583734")</f>
        <v>http://babel.hathitrust.org/cgi/pt?id=njp.32101063583734</v>
      </c>
      <c r="H6532" t="str">
        <f>HYPERLINK("http://catalog.hathitrust.org/Record/008916738")</f>
        <v>http://catalog.hathitrust.org/Record/008916738</v>
      </c>
      <c r="J6532" s="1">
        <v>1799</v>
      </c>
      <c r="K6532" t="s">
        <v>5035</v>
      </c>
    </row>
    <row r="6533" spans="1:12">
      <c r="A6533" t="s">
        <v>5036</v>
      </c>
      <c r="B6533" s="1" t="s">
        <v>5037</v>
      </c>
      <c r="F6533">
        <v>1</v>
      </c>
      <c r="G6533" t="str">
        <f>HYPERLINK("http://babel.hathitrust.org/cgi/pt?id=njp.32101063583817")</f>
        <v>http://babel.hathitrust.org/cgi/pt?id=njp.32101063583817</v>
      </c>
      <c r="H6533" t="str">
        <f>HYPERLINK("http://catalog.hathitrust.org/Record/008916745")</f>
        <v>http://catalog.hathitrust.org/Record/008916745</v>
      </c>
      <c r="J6533" s="1">
        <v>1846</v>
      </c>
      <c r="K6533" t="s">
        <v>5038</v>
      </c>
      <c r="L6533" t="s">
        <v>5039</v>
      </c>
    </row>
    <row r="6534" spans="1:12">
      <c r="A6534" t="s">
        <v>5040</v>
      </c>
      <c r="B6534" s="1" t="s">
        <v>5041</v>
      </c>
      <c r="E6534">
        <v>1</v>
      </c>
      <c r="F6534">
        <v>1</v>
      </c>
      <c r="G6534" t="str">
        <f>HYPERLINK("http://babel.hathitrust.org/cgi/pt?id=njp.32101063583841")</f>
        <v>http://babel.hathitrust.org/cgi/pt?id=njp.32101063583841</v>
      </c>
      <c r="H6534" t="str">
        <f>HYPERLINK("http://catalog.hathitrust.org/Record/008916748")</f>
        <v>http://catalog.hathitrust.org/Record/008916748</v>
      </c>
      <c r="J6534" s="1">
        <v>1889</v>
      </c>
      <c r="K6534" t="s">
        <v>5042</v>
      </c>
      <c r="L6534" t="s">
        <v>13242</v>
      </c>
    </row>
    <row r="6535" spans="1:12">
      <c r="A6535" t="s">
        <v>5043</v>
      </c>
      <c r="B6535" s="1" t="s">
        <v>5044</v>
      </c>
      <c r="F6535">
        <v>1</v>
      </c>
      <c r="G6535" t="str">
        <f>HYPERLINK("http://babel.hathitrust.org/cgi/pt?id=njp.32101063583858")</f>
        <v>http://babel.hathitrust.org/cgi/pt?id=njp.32101063583858</v>
      </c>
      <c r="H6535" t="str">
        <f>HYPERLINK("http://catalog.hathitrust.org/Record/008916749")</f>
        <v>http://catalog.hathitrust.org/Record/008916749</v>
      </c>
      <c r="J6535" s="1">
        <v>1887</v>
      </c>
      <c r="K6535" t="s">
        <v>5045</v>
      </c>
      <c r="L6535" t="s">
        <v>5046</v>
      </c>
    </row>
    <row r="6536" spans="1:12">
      <c r="A6536" t="s">
        <v>5047</v>
      </c>
      <c r="B6536" s="1" t="s">
        <v>5048</v>
      </c>
      <c r="F6536">
        <v>1</v>
      </c>
      <c r="G6536" t="str">
        <f>HYPERLINK("http://babel.hathitrust.org/cgi/pt?id=njp.32101063583882")</f>
        <v>http://babel.hathitrust.org/cgi/pt?id=njp.32101063583882</v>
      </c>
      <c r="H6536" t="str">
        <f>HYPERLINK("http://catalog.hathitrust.org/Record/008916752")</f>
        <v>http://catalog.hathitrust.org/Record/008916752</v>
      </c>
      <c r="J6536" s="1">
        <v>1873</v>
      </c>
      <c r="K6536" t="s">
        <v>5049</v>
      </c>
      <c r="L6536" t="s">
        <v>11060</v>
      </c>
    </row>
    <row r="6537" spans="1:12">
      <c r="A6537" t="s">
        <v>5050</v>
      </c>
      <c r="B6537" s="1" t="s">
        <v>5051</v>
      </c>
      <c r="F6537">
        <v>1</v>
      </c>
      <c r="G6537" t="str">
        <f>HYPERLINK("http://babel.hathitrust.org/cgi/pt?id=njp.32101063583890")</f>
        <v>http://babel.hathitrust.org/cgi/pt?id=njp.32101063583890</v>
      </c>
      <c r="H6537" t="str">
        <f>HYPERLINK("http://catalog.hathitrust.org/Record/008916753")</f>
        <v>http://catalog.hathitrust.org/Record/008916753</v>
      </c>
      <c r="J6537" s="1">
        <v>1882</v>
      </c>
      <c r="K6537" t="s">
        <v>4984</v>
      </c>
      <c r="L6537" t="s">
        <v>4985</v>
      </c>
    </row>
    <row r="6538" spans="1:12">
      <c r="A6538" t="s">
        <v>4986</v>
      </c>
      <c r="B6538" s="1" t="s">
        <v>4987</v>
      </c>
      <c r="F6538">
        <v>1</v>
      </c>
      <c r="G6538" t="str">
        <f>HYPERLINK("http://babel.hathitrust.org/cgi/pt?id=hvd.hwnqct")</f>
        <v>http://babel.hathitrust.org/cgi/pt?id=hvd.hwnqct</v>
      </c>
      <c r="H6538" t="str">
        <f>HYPERLINK("http://catalog.hathitrust.org/Record/008916755")</f>
        <v>http://catalog.hathitrust.org/Record/008916755</v>
      </c>
      <c r="J6538" s="1">
        <v>1845</v>
      </c>
      <c r="K6538" t="s">
        <v>4988</v>
      </c>
      <c r="L6538" t="s">
        <v>4989</v>
      </c>
    </row>
    <row r="6539" spans="1:12">
      <c r="A6539" t="s">
        <v>4990</v>
      </c>
      <c r="B6539" s="1" t="s">
        <v>4987</v>
      </c>
      <c r="F6539">
        <v>1</v>
      </c>
      <c r="G6539" t="str">
        <f>HYPERLINK("http://babel.hathitrust.org/cgi/pt?id=njp.32101063583916")</f>
        <v>http://babel.hathitrust.org/cgi/pt?id=njp.32101063583916</v>
      </c>
      <c r="H6539" t="str">
        <f>HYPERLINK("http://catalog.hathitrust.org/Record/008916755")</f>
        <v>http://catalog.hathitrust.org/Record/008916755</v>
      </c>
      <c r="J6539" s="1">
        <v>1845</v>
      </c>
      <c r="K6539" t="s">
        <v>4988</v>
      </c>
      <c r="L6539" t="s">
        <v>4989</v>
      </c>
    </row>
    <row r="6540" spans="1:12">
      <c r="A6540" t="s">
        <v>4991</v>
      </c>
      <c r="B6540" s="1" t="s">
        <v>4992</v>
      </c>
      <c r="F6540">
        <v>1</v>
      </c>
      <c r="G6540" t="str">
        <f>HYPERLINK("http://babel.hathitrust.org/cgi/pt?id=njp.32101063583957")</f>
        <v>http://babel.hathitrust.org/cgi/pt?id=njp.32101063583957</v>
      </c>
      <c r="H6540" t="str">
        <f>HYPERLINK("http://catalog.hathitrust.org/Record/008916759")</f>
        <v>http://catalog.hathitrust.org/Record/008916759</v>
      </c>
      <c r="J6540" s="1">
        <v>1810</v>
      </c>
      <c r="K6540" t="s">
        <v>4993</v>
      </c>
    </row>
    <row r="6541" spans="1:12">
      <c r="A6541" t="s">
        <v>4994</v>
      </c>
      <c r="B6541" s="1" t="s">
        <v>4995</v>
      </c>
      <c r="F6541">
        <v>1</v>
      </c>
      <c r="G6541" t="str">
        <f>HYPERLINK("http://babel.hathitrust.org/cgi/pt?id=njp.32101063583965")</f>
        <v>http://babel.hathitrust.org/cgi/pt?id=njp.32101063583965</v>
      </c>
      <c r="H6541" t="str">
        <f>HYPERLINK("http://catalog.hathitrust.org/Record/008916760")</f>
        <v>http://catalog.hathitrust.org/Record/008916760</v>
      </c>
      <c r="J6541" s="1">
        <v>1828</v>
      </c>
      <c r="K6541" t="s">
        <v>4996</v>
      </c>
      <c r="L6541" t="s">
        <v>6461</v>
      </c>
    </row>
    <row r="6542" spans="1:12">
      <c r="A6542" t="s">
        <v>4997</v>
      </c>
      <c r="B6542" s="1" t="s">
        <v>4998</v>
      </c>
      <c r="F6542">
        <v>1</v>
      </c>
      <c r="G6542" t="str">
        <f>HYPERLINK("http://babel.hathitrust.org/cgi/pt?id=njp.32101063583973")</f>
        <v>http://babel.hathitrust.org/cgi/pt?id=njp.32101063583973</v>
      </c>
      <c r="H6542" t="str">
        <f>HYPERLINK("http://catalog.hathitrust.org/Record/008916761")</f>
        <v>http://catalog.hathitrust.org/Record/008916761</v>
      </c>
      <c r="J6542" s="1">
        <v>1857</v>
      </c>
      <c r="K6542" t="s">
        <v>4996</v>
      </c>
      <c r="L6542" t="s">
        <v>6461</v>
      </c>
    </row>
    <row r="6543" spans="1:12">
      <c r="A6543" t="s">
        <v>4999</v>
      </c>
      <c r="B6543" s="1" t="s">
        <v>5000</v>
      </c>
      <c r="F6543">
        <v>1</v>
      </c>
      <c r="G6543" t="str">
        <f>HYPERLINK("http://babel.hathitrust.org/cgi/pt?id=hvd.hn2bhr")</f>
        <v>http://babel.hathitrust.org/cgi/pt?id=hvd.hn2bhr</v>
      </c>
      <c r="H6543" t="str">
        <f>HYPERLINK("http://catalog.hathitrust.org/Record/008916763")</f>
        <v>http://catalog.hathitrust.org/Record/008916763</v>
      </c>
      <c r="J6543" s="1">
        <v>1867</v>
      </c>
      <c r="K6543" t="s">
        <v>5001</v>
      </c>
      <c r="L6543" t="s">
        <v>15046</v>
      </c>
    </row>
    <row r="6544" spans="1:12">
      <c r="A6544" t="s">
        <v>5002</v>
      </c>
      <c r="B6544" s="1" t="s">
        <v>5000</v>
      </c>
      <c r="F6544">
        <v>1</v>
      </c>
      <c r="G6544" t="str">
        <f>HYPERLINK("http://babel.hathitrust.org/cgi/pt?id=njp.32101063583999")</f>
        <v>http://babel.hathitrust.org/cgi/pt?id=njp.32101063583999</v>
      </c>
      <c r="H6544" t="str">
        <f>HYPERLINK("http://catalog.hathitrust.org/Record/008916763")</f>
        <v>http://catalog.hathitrust.org/Record/008916763</v>
      </c>
      <c r="J6544" s="1">
        <v>1867</v>
      </c>
      <c r="K6544" t="s">
        <v>5001</v>
      </c>
      <c r="L6544" t="s">
        <v>15046</v>
      </c>
    </row>
    <row r="6545" spans="1:12">
      <c r="A6545" t="s">
        <v>5003</v>
      </c>
      <c r="B6545" s="1" t="s">
        <v>5004</v>
      </c>
      <c r="F6545">
        <v>1</v>
      </c>
      <c r="G6545" t="str">
        <f>HYPERLINK("http://babel.hathitrust.org/cgi/pt?id=njp.32101063584013")</f>
        <v>http://babel.hathitrust.org/cgi/pt?id=njp.32101063584013</v>
      </c>
      <c r="H6545" t="str">
        <f>HYPERLINK("http://catalog.hathitrust.org/Record/008916765")</f>
        <v>http://catalog.hathitrust.org/Record/008916765</v>
      </c>
      <c r="J6545" s="1">
        <v>1845</v>
      </c>
      <c r="K6545" t="s">
        <v>5005</v>
      </c>
      <c r="L6545" t="s">
        <v>6845</v>
      </c>
    </row>
    <row r="6546" spans="1:12">
      <c r="A6546" t="s">
        <v>5006</v>
      </c>
      <c r="B6546" s="1" t="s">
        <v>5007</v>
      </c>
      <c r="F6546">
        <v>1</v>
      </c>
      <c r="G6546" t="str">
        <f>HYPERLINK("http://babel.hathitrust.org/cgi/pt?id=njp.32101063584070")</f>
        <v>http://babel.hathitrust.org/cgi/pt?id=njp.32101063584070</v>
      </c>
      <c r="H6546" t="str">
        <f>HYPERLINK("http://catalog.hathitrust.org/Record/008916771")</f>
        <v>http://catalog.hathitrust.org/Record/008916771</v>
      </c>
      <c r="J6546" s="1">
        <v>1879</v>
      </c>
      <c r="K6546" t="s">
        <v>5008</v>
      </c>
      <c r="L6546" t="s">
        <v>6995</v>
      </c>
    </row>
    <row r="6547" spans="1:12">
      <c r="A6547" t="s">
        <v>5009</v>
      </c>
      <c r="B6547" s="1" t="s">
        <v>5010</v>
      </c>
      <c r="E6547">
        <v>1</v>
      </c>
      <c r="F6547">
        <v>1</v>
      </c>
      <c r="G6547" t="str">
        <f>HYPERLINK("http://babel.hathitrust.org/cgi/pt?id=njp.32101063584088")</f>
        <v>http://babel.hathitrust.org/cgi/pt?id=njp.32101063584088</v>
      </c>
      <c r="H6547" t="str">
        <f>HYPERLINK("http://catalog.hathitrust.org/Record/008916772")</f>
        <v>http://catalog.hathitrust.org/Record/008916772</v>
      </c>
      <c r="I6547" s="1" t="s">
        <v>5012</v>
      </c>
      <c r="J6547" s="1">
        <v>1857</v>
      </c>
      <c r="K6547" t="s">
        <v>5011</v>
      </c>
      <c r="L6547" t="s">
        <v>5013</v>
      </c>
    </row>
    <row r="6548" spans="1:12">
      <c r="A6548" t="s">
        <v>5014</v>
      </c>
      <c r="B6548" s="1" t="s">
        <v>5015</v>
      </c>
      <c r="F6548">
        <v>1</v>
      </c>
      <c r="G6548" t="str">
        <f>HYPERLINK("http://babel.hathitrust.org/cgi/pt?id=njp.32101063584104")</f>
        <v>http://babel.hathitrust.org/cgi/pt?id=njp.32101063584104</v>
      </c>
      <c r="H6548" t="str">
        <f>HYPERLINK("http://catalog.hathitrust.org/Record/008916774")</f>
        <v>http://catalog.hathitrust.org/Record/008916774</v>
      </c>
      <c r="J6548" s="1">
        <v>1866</v>
      </c>
      <c r="K6548" t="s">
        <v>11567</v>
      </c>
      <c r="L6548" t="s">
        <v>11568</v>
      </c>
    </row>
    <row r="6549" spans="1:12">
      <c r="A6549" t="s">
        <v>5016</v>
      </c>
      <c r="B6549" s="1" t="s">
        <v>5017</v>
      </c>
      <c r="F6549">
        <v>1</v>
      </c>
      <c r="G6549" t="str">
        <f>HYPERLINK("http://babel.hathitrust.org/cgi/pt?id=njp.32101063584112")</f>
        <v>http://babel.hathitrust.org/cgi/pt?id=njp.32101063584112</v>
      </c>
      <c r="H6549" t="str">
        <f>HYPERLINK("http://catalog.hathitrust.org/Record/008916775")</f>
        <v>http://catalog.hathitrust.org/Record/008916775</v>
      </c>
      <c r="J6549" s="1">
        <v>1883</v>
      </c>
      <c r="K6549" t="s">
        <v>5018</v>
      </c>
      <c r="L6549" t="s">
        <v>19505</v>
      </c>
    </row>
    <row r="6550" spans="1:12">
      <c r="A6550" t="s">
        <v>5019</v>
      </c>
      <c r="B6550" s="1" t="s">
        <v>5020</v>
      </c>
      <c r="F6550">
        <v>1</v>
      </c>
      <c r="G6550" t="str">
        <f>HYPERLINK("http://babel.hathitrust.org/cgi/pt?id=njp.32101063584120")</f>
        <v>http://babel.hathitrust.org/cgi/pt?id=njp.32101063584120</v>
      </c>
      <c r="H6550" t="str">
        <f>HYPERLINK("http://catalog.hathitrust.org/Record/008916776")</f>
        <v>http://catalog.hathitrust.org/Record/008916776</v>
      </c>
      <c r="J6550" s="1">
        <v>1828</v>
      </c>
      <c r="K6550" t="s">
        <v>4943</v>
      </c>
      <c r="L6550" t="s">
        <v>4944</v>
      </c>
    </row>
    <row r="6551" spans="1:12">
      <c r="A6551" t="s">
        <v>4945</v>
      </c>
      <c r="B6551" s="1" t="s">
        <v>4946</v>
      </c>
      <c r="F6551">
        <v>1</v>
      </c>
      <c r="G6551" t="str">
        <f>HYPERLINK("http://babel.hathitrust.org/cgi/pt?id=njp.32101063584153")</f>
        <v>http://babel.hathitrust.org/cgi/pt?id=njp.32101063584153</v>
      </c>
      <c r="H6551" t="str">
        <f>HYPERLINK("http://catalog.hathitrust.org/Record/008916778")</f>
        <v>http://catalog.hathitrust.org/Record/008916778</v>
      </c>
      <c r="J6551" s="1">
        <v>1901</v>
      </c>
      <c r="K6551" t="s">
        <v>4947</v>
      </c>
      <c r="L6551" t="s">
        <v>11573</v>
      </c>
    </row>
    <row r="6552" spans="1:12">
      <c r="A6552" t="s">
        <v>4948</v>
      </c>
      <c r="B6552" s="1" t="s">
        <v>4949</v>
      </c>
      <c r="F6552">
        <v>1</v>
      </c>
      <c r="G6552" t="str">
        <f>HYPERLINK("http://babel.hathitrust.org/cgi/pt?id=njp.32101063584161")</f>
        <v>http://babel.hathitrust.org/cgi/pt?id=njp.32101063584161</v>
      </c>
      <c r="H6552" t="str">
        <f>HYPERLINK("http://catalog.hathitrust.org/Record/008916779")</f>
        <v>http://catalog.hathitrust.org/Record/008916779</v>
      </c>
      <c r="J6552" s="1">
        <v>1888</v>
      </c>
      <c r="K6552" t="s">
        <v>7120</v>
      </c>
      <c r="L6552" t="s">
        <v>13538</v>
      </c>
    </row>
    <row r="6553" spans="1:12">
      <c r="A6553" t="s">
        <v>4950</v>
      </c>
      <c r="B6553" s="1" t="s">
        <v>4951</v>
      </c>
      <c r="F6553">
        <v>1</v>
      </c>
      <c r="G6553" t="str">
        <f>HYPERLINK("http://babel.hathitrust.org/cgi/pt?id=njp.32101063584179")</f>
        <v>http://babel.hathitrust.org/cgi/pt?id=njp.32101063584179</v>
      </c>
      <c r="H6553" t="str">
        <f>HYPERLINK("http://catalog.hathitrust.org/Record/008916780")</f>
        <v>http://catalog.hathitrust.org/Record/008916780</v>
      </c>
      <c r="J6553" s="1">
        <v>1884</v>
      </c>
      <c r="K6553" t="s">
        <v>4952</v>
      </c>
      <c r="L6553" t="s">
        <v>4953</v>
      </c>
    </row>
    <row r="6554" spans="1:12">
      <c r="A6554" t="s">
        <v>4954</v>
      </c>
      <c r="B6554" s="1" t="s">
        <v>4955</v>
      </c>
      <c r="F6554">
        <v>1</v>
      </c>
      <c r="G6554" t="str">
        <f>HYPERLINK("http://babel.hathitrust.org/cgi/pt?id=njp.32101063584278")</f>
        <v>http://babel.hathitrust.org/cgi/pt?id=njp.32101063584278</v>
      </c>
      <c r="H6554" t="str">
        <f>HYPERLINK("http://catalog.hathitrust.org/Record/008916788")</f>
        <v>http://catalog.hathitrust.org/Record/008916788</v>
      </c>
      <c r="J6554" s="1">
        <v>1885</v>
      </c>
      <c r="K6554" t="s">
        <v>4956</v>
      </c>
    </row>
    <row r="6555" spans="1:12">
      <c r="A6555" t="s">
        <v>4957</v>
      </c>
      <c r="B6555" s="1" t="s">
        <v>4958</v>
      </c>
      <c r="F6555">
        <v>1</v>
      </c>
      <c r="G6555" t="str">
        <f>HYPERLINK("http://babel.hathitrust.org/cgi/pt?id=hvd.hn1jnw")</f>
        <v>http://babel.hathitrust.org/cgi/pt?id=hvd.hn1jnw</v>
      </c>
      <c r="H6555" t="str">
        <f>HYPERLINK("http://catalog.hathitrust.org/Record/008916790")</f>
        <v>http://catalog.hathitrust.org/Record/008916790</v>
      </c>
      <c r="J6555" s="1">
        <v>1835</v>
      </c>
      <c r="K6555" t="s">
        <v>11519</v>
      </c>
      <c r="L6555" t="s">
        <v>12679</v>
      </c>
    </row>
    <row r="6556" spans="1:12">
      <c r="A6556" t="s">
        <v>4959</v>
      </c>
      <c r="B6556" s="1" t="s">
        <v>4960</v>
      </c>
      <c r="F6556">
        <v>1</v>
      </c>
      <c r="G6556" t="str">
        <f>HYPERLINK("http://babel.hathitrust.org/cgi/pt?id=hvd.32044097079933")</f>
        <v>http://babel.hathitrust.org/cgi/pt?id=hvd.32044097079933</v>
      </c>
      <c r="H6556" t="str">
        <f>HYPERLINK("http://catalog.hathitrust.org/Record/008916793")</f>
        <v>http://catalog.hathitrust.org/Record/008916793</v>
      </c>
      <c r="J6556" s="1">
        <v>1842</v>
      </c>
      <c r="K6556" t="s">
        <v>4961</v>
      </c>
      <c r="L6556" t="s">
        <v>12679</v>
      </c>
    </row>
    <row r="6557" spans="1:12">
      <c r="A6557" t="s">
        <v>4962</v>
      </c>
      <c r="B6557" s="1" t="s">
        <v>4960</v>
      </c>
      <c r="F6557">
        <v>1</v>
      </c>
      <c r="G6557" t="str">
        <f>HYPERLINK("http://babel.hathitrust.org/cgi/pt?id=njp.32101063584336")</f>
        <v>http://babel.hathitrust.org/cgi/pt?id=njp.32101063584336</v>
      </c>
      <c r="H6557" t="str">
        <f>HYPERLINK("http://catalog.hathitrust.org/Record/008916793")</f>
        <v>http://catalog.hathitrust.org/Record/008916793</v>
      </c>
      <c r="J6557" s="1">
        <v>1842</v>
      </c>
      <c r="K6557" t="s">
        <v>4961</v>
      </c>
      <c r="L6557" t="s">
        <v>12679</v>
      </c>
    </row>
    <row r="6558" spans="1:12">
      <c r="A6558" t="s">
        <v>4963</v>
      </c>
      <c r="B6558" s="1" t="s">
        <v>4964</v>
      </c>
      <c r="F6558">
        <v>1</v>
      </c>
      <c r="G6558" t="str">
        <f>HYPERLINK("http://babel.hathitrust.org/cgi/pt?id=njp.32101063584351")</f>
        <v>http://babel.hathitrust.org/cgi/pt?id=njp.32101063584351</v>
      </c>
      <c r="H6558" t="str">
        <f>HYPERLINK("http://catalog.hathitrust.org/Record/008916795")</f>
        <v>http://catalog.hathitrust.org/Record/008916795</v>
      </c>
      <c r="J6558" s="1">
        <v>1869</v>
      </c>
      <c r="K6558" t="s">
        <v>13887</v>
      </c>
      <c r="L6558" t="s">
        <v>13888</v>
      </c>
    </row>
    <row r="6559" spans="1:12">
      <c r="A6559" t="s">
        <v>4965</v>
      </c>
      <c r="B6559" s="1" t="s">
        <v>4966</v>
      </c>
      <c r="F6559">
        <v>1</v>
      </c>
      <c r="G6559" t="str">
        <f>HYPERLINK("http://babel.hathitrust.org/cgi/pt?id=njp.32101063584369")</f>
        <v>http://babel.hathitrust.org/cgi/pt?id=njp.32101063584369</v>
      </c>
      <c r="H6559" t="str">
        <f>HYPERLINK("http://catalog.hathitrust.org/Record/008916796")</f>
        <v>http://catalog.hathitrust.org/Record/008916796</v>
      </c>
      <c r="J6559" s="1">
        <v>1880</v>
      </c>
      <c r="K6559" t="s">
        <v>11426</v>
      </c>
      <c r="L6559" t="s">
        <v>13888</v>
      </c>
    </row>
    <row r="6560" spans="1:12">
      <c r="A6560" t="s">
        <v>4967</v>
      </c>
      <c r="B6560" s="1" t="s">
        <v>4968</v>
      </c>
      <c r="F6560">
        <v>1</v>
      </c>
      <c r="G6560" t="str">
        <f>HYPERLINK("http://babel.hathitrust.org/cgi/pt?id=njp.32101063584377")</f>
        <v>http://babel.hathitrust.org/cgi/pt?id=njp.32101063584377</v>
      </c>
      <c r="H6560" t="str">
        <f>HYPERLINK("http://catalog.hathitrust.org/Record/008916797")</f>
        <v>http://catalog.hathitrust.org/Record/008916797</v>
      </c>
      <c r="J6560" s="1">
        <v>1886</v>
      </c>
      <c r="K6560" t="s">
        <v>4969</v>
      </c>
      <c r="L6560" t="s">
        <v>16848</v>
      </c>
    </row>
    <row r="6561" spans="1:12">
      <c r="A6561" t="s">
        <v>4970</v>
      </c>
      <c r="B6561" s="1" t="s">
        <v>4971</v>
      </c>
      <c r="F6561">
        <v>1</v>
      </c>
      <c r="G6561" t="str">
        <f>HYPERLINK("http://babel.hathitrust.org/cgi/pt?id=njp.32101063584401")</f>
        <v>http://babel.hathitrust.org/cgi/pt?id=njp.32101063584401</v>
      </c>
      <c r="H6561" t="str">
        <f>HYPERLINK("http://catalog.hathitrust.org/Record/008916799")</f>
        <v>http://catalog.hathitrust.org/Record/008916799</v>
      </c>
      <c r="J6561" s="1">
        <v>1825</v>
      </c>
      <c r="K6561" t="s">
        <v>7044</v>
      </c>
      <c r="L6561" t="s">
        <v>10587</v>
      </c>
    </row>
    <row r="6562" spans="1:12">
      <c r="A6562" t="s">
        <v>4972</v>
      </c>
      <c r="B6562" s="1" t="s">
        <v>4973</v>
      </c>
      <c r="F6562">
        <v>1</v>
      </c>
      <c r="G6562" t="str">
        <f>HYPERLINK("http://babel.hathitrust.org/cgi/pt?id=njp.32101063584419")</f>
        <v>http://babel.hathitrust.org/cgi/pt?id=njp.32101063584419</v>
      </c>
      <c r="H6562" t="str">
        <f>HYPERLINK("http://catalog.hathitrust.org/Record/008916800")</f>
        <v>http://catalog.hathitrust.org/Record/008916800</v>
      </c>
      <c r="J6562" s="1">
        <v>1886</v>
      </c>
      <c r="K6562" t="s">
        <v>4974</v>
      </c>
      <c r="L6562" t="s">
        <v>12423</v>
      </c>
    </row>
    <row r="6563" spans="1:12">
      <c r="A6563" t="s">
        <v>4975</v>
      </c>
      <c r="B6563" s="1" t="s">
        <v>4976</v>
      </c>
      <c r="F6563">
        <v>1</v>
      </c>
      <c r="G6563" t="str">
        <f>HYPERLINK("http://babel.hathitrust.org/cgi/pt?id=njp.32101063584435")</f>
        <v>http://babel.hathitrust.org/cgi/pt?id=njp.32101063584435</v>
      </c>
      <c r="H6563" t="str">
        <f>HYPERLINK("http://catalog.hathitrust.org/Record/008916801")</f>
        <v>http://catalog.hathitrust.org/Record/008916801</v>
      </c>
      <c r="J6563" s="1">
        <v>1826</v>
      </c>
      <c r="K6563" t="s">
        <v>4977</v>
      </c>
      <c r="L6563" t="s">
        <v>5069</v>
      </c>
    </row>
    <row r="6564" spans="1:12">
      <c r="A6564" t="s">
        <v>4978</v>
      </c>
      <c r="B6564" s="1" t="s">
        <v>4979</v>
      </c>
      <c r="F6564">
        <v>1</v>
      </c>
      <c r="G6564" t="str">
        <f>HYPERLINK("http://babel.hathitrust.org/cgi/pt?id=njp.32101063584443")</f>
        <v>http://babel.hathitrust.org/cgi/pt?id=njp.32101063584443</v>
      </c>
      <c r="H6564" t="str">
        <f>HYPERLINK("http://catalog.hathitrust.org/Record/008916802")</f>
        <v>http://catalog.hathitrust.org/Record/008916802</v>
      </c>
      <c r="J6564" s="1">
        <v>1846</v>
      </c>
      <c r="K6564" t="s">
        <v>4980</v>
      </c>
      <c r="L6564" t="s">
        <v>16564</v>
      </c>
    </row>
    <row r="6565" spans="1:12">
      <c r="A6565" t="s">
        <v>4981</v>
      </c>
      <c r="B6565" s="1" t="s">
        <v>4982</v>
      </c>
      <c r="F6565">
        <v>1</v>
      </c>
      <c r="G6565" t="str">
        <f>HYPERLINK("http://babel.hathitrust.org/cgi/pt?id=njp.32101063584450")</f>
        <v>http://babel.hathitrust.org/cgi/pt?id=njp.32101063584450</v>
      </c>
      <c r="H6565" t="str">
        <f>HYPERLINK("http://catalog.hathitrust.org/Record/008916803")</f>
        <v>http://catalog.hathitrust.org/Record/008916803</v>
      </c>
      <c r="J6565" s="1">
        <v>1869</v>
      </c>
      <c r="K6565" t="s">
        <v>4983</v>
      </c>
      <c r="L6565" t="s">
        <v>4908</v>
      </c>
    </row>
    <row r="6566" spans="1:12">
      <c r="A6566" t="s">
        <v>4909</v>
      </c>
      <c r="B6566" s="1" t="s">
        <v>4910</v>
      </c>
      <c r="E6566">
        <v>1</v>
      </c>
      <c r="F6566">
        <v>1</v>
      </c>
      <c r="G6566" t="str">
        <f>HYPERLINK("http://babel.hathitrust.org/cgi/pt?id=njp.32101063584492")</f>
        <v>http://babel.hathitrust.org/cgi/pt?id=njp.32101063584492</v>
      </c>
      <c r="H6566" t="str">
        <f>HYPERLINK("http://catalog.hathitrust.org/Record/008916807")</f>
        <v>http://catalog.hathitrust.org/Record/008916807</v>
      </c>
      <c r="J6566" s="1">
        <v>1882</v>
      </c>
      <c r="K6566" t="s">
        <v>4911</v>
      </c>
      <c r="L6566" t="s">
        <v>19514</v>
      </c>
    </row>
    <row r="6567" spans="1:12">
      <c r="A6567" t="s">
        <v>4912</v>
      </c>
      <c r="B6567" s="1" t="s">
        <v>4913</v>
      </c>
      <c r="F6567">
        <v>1</v>
      </c>
      <c r="G6567" t="str">
        <f>HYPERLINK("http://babel.hathitrust.org/cgi/pt?id=njp.32101063584518")</f>
        <v>http://babel.hathitrust.org/cgi/pt?id=njp.32101063584518</v>
      </c>
      <c r="H6567" t="str">
        <f>HYPERLINK("http://catalog.hathitrust.org/Record/008916808")</f>
        <v>http://catalog.hathitrust.org/Record/008916808</v>
      </c>
      <c r="J6567" s="1">
        <v>1886</v>
      </c>
      <c r="K6567" t="s">
        <v>4914</v>
      </c>
      <c r="L6567" t="s">
        <v>4915</v>
      </c>
    </row>
    <row r="6568" spans="1:12">
      <c r="A6568" t="s">
        <v>4916</v>
      </c>
      <c r="B6568" s="1" t="s">
        <v>4917</v>
      </c>
      <c r="E6568">
        <v>1</v>
      </c>
      <c r="G6568" t="str">
        <f>HYPERLINK("http://babel.hathitrust.org/cgi/pt?id=njp.32101063584559")</f>
        <v>http://babel.hathitrust.org/cgi/pt?id=njp.32101063584559</v>
      </c>
      <c r="H6568" t="str">
        <f>HYPERLINK("http://catalog.hathitrust.org/Record/008916811")</f>
        <v>http://catalog.hathitrust.org/Record/008916811</v>
      </c>
      <c r="J6568" s="1">
        <v>1866</v>
      </c>
      <c r="K6568" t="s">
        <v>4918</v>
      </c>
      <c r="L6568" t="s">
        <v>20629</v>
      </c>
    </row>
    <row r="6569" spans="1:12">
      <c r="A6569" t="s">
        <v>4919</v>
      </c>
      <c r="B6569" s="1" t="s">
        <v>4920</v>
      </c>
      <c r="E6569">
        <v>1</v>
      </c>
      <c r="G6569" t="str">
        <f>HYPERLINK("http://babel.hathitrust.org/cgi/pt?id=njp.32101063604860")</f>
        <v>http://babel.hathitrust.org/cgi/pt?id=njp.32101063604860</v>
      </c>
      <c r="H6569" t="str">
        <f>HYPERLINK("http://catalog.hathitrust.org/Record/008917039")</f>
        <v>http://catalog.hathitrust.org/Record/008917039</v>
      </c>
      <c r="J6569" s="1">
        <v>1859</v>
      </c>
      <c r="K6569" t="s">
        <v>4921</v>
      </c>
      <c r="L6569" t="s">
        <v>7464</v>
      </c>
    </row>
    <row r="6570" spans="1:12">
      <c r="A6570" t="s">
        <v>4922</v>
      </c>
      <c r="B6570" s="1" t="s">
        <v>4923</v>
      </c>
      <c r="F6570">
        <v>1</v>
      </c>
      <c r="G6570" t="str">
        <f>HYPERLINK("http://babel.hathitrust.org/cgi/pt?id=njp.32101063604944")</f>
        <v>http://babel.hathitrust.org/cgi/pt?id=njp.32101063604944</v>
      </c>
      <c r="H6570" t="str">
        <f>HYPERLINK("http://catalog.hathitrust.org/Record/008917045")</f>
        <v>http://catalog.hathitrust.org/Record/008917045</v>
      </c>
      <c r="J6570" s="1">
        <v>1869</v>
      </c>
      <c r="K6570" t="s">
        <v>4924</v>
      </c>
      <c r="L6570" t="s">
        <v>4925</v>
      </c>
    </row>
    <row r="6571" spans="1:12">
      <c r="A6571" t="s">
        <v>4926</v>
      </c>
      <c r="B6571" s="1" t="s">
        <v>4927</v>
      </c>
      <c r="F6571">
        <v>1</v>
      </c>
      <c r="G6571" t="str">
        <f>HYPERLINK("http://babel.hathitrust.org/cgi/pt?id=njp.32101063604951")</f>
        <v>http://babel.hathitrust.org/cgi/pt?id=njp.32101063604951</v>
      </c>
      <c r="H6571" t="str">
        <f>HYPERLINK("http://catalog.hathitrust.org/Record/008917046")</f>
        <v>http://catalog.hathitrust.org/Record/008917046</v>
      </c>
      <c r="J6571" s="1">
        <v>1850</v>
      </c>
      <c r="K6571" t="s">
        <v>4928</v>
      </c>
      <c r="L6571" t="s">
        <v>4929</v>
      </c>
    </row>
    <row r="6572" spans="1:12">
      <c r="A6572" t="s">
        <v>4930</v>
      </c>
      <c r="B6572" s="1" t="s">
        <v>4931</v>
      </c>
      <c r="E6572">
        <v>1</v>
      </c>
      <c r="G6572" t="str">
        <f>HYPERLINK("http://babel.hathitrust.org/cgi/pt?id=njp.32101063604977")</f>
        <v>http://babel.hathitrust.org/cgi/pt?id=njp.32101063604977</v>
      </c>
      <c r="H6572" t="str">
        <f>HYPERLINK("http://catalog.hathitrust.org/Record/008917048")</f>
        <v>http://catalog.hathitrust.org/Record/008917048</v>
      </c>
      <c r="J6572" s="1">
        <v>1883</v>
      </c>
      <c r="K6572" t="s">
        <v>4932</v>
      </c>
      <c r="L6572" t="s">
        <v>20629</v>
      </c>
    </row>
    <row r="6573" spans="1:12">
      <c r="A6573" t="s">
        <v>4933</v>
      </c>
      <c r="B6573" s="1" t="s">
        <v>4934</v>
      </c>
      <c r="F6573">
        <v>1</v>
      </c>
      <c r="G6573" t="str">
        <f>HYPERLINK("http://babel.hathitrust.org/cgi/pt?id=njp.32101063604993")</f>
        <v>http://babel.hathitrust.org/cgi/pt?id=njp.32101063604993</v>
      </c>
      <c r="H6573" t="str">
        <f>HYPERLINK("http://catalog.hathitrust.org/Record/008917049")</f>
        <v>http://catalog.hathitrust.org/Record/008917049</v>
      </c>
      <c r="J6573" s="1">
        <v>1858</v>
      </c>
      <c r="K6573" t="s">
        <v>7694</v>
      </c>
      <c r="L6573" t="s">
        <v>14941</v>
      </c>
    </row>
    <row r="6574" spans="1:12">
      <c r="A6574" t="s">
        <v>4935</v>
      </c>
      <c r="B6574" s="1" t="s">
        <v>4936</v>
      </c>
      <c r="F6574">
        <v>1</v>
      </c>
      <c r="G6574" t="str">
        <f>HYPERLINK("http://babel.hathitrust.org/cgi/pt?id=njp.32101063605040")</f>
        <v>http://babel.hathitrust.org/cgi/pt?id=njp.32101063605040</v>
      </c>
      <c r="H6574" t="str">
        <f>HYPERLINK("http://catalog.hathitrust.org/Record/008917054")</f>
        <v>http://catalog.hathitrust.org/Record/008917054</v>
      </c>
      <c r="J6574" s="1">
        <v>1863</v>
      </c>
      <c r="K6574" t="s">
        <v>4937</v>
      </c>
      <c r="L6574" t="s">
        <v>12659</v>
      </c>
    </row>
    <row r="6575" spans="1:12">
      <c r="A6575" t="s">
        <v>4938</v>
      </c>
      <c r="B6575" s="1" t="s">
        <v>4939</v>
      </c>
      <c r="F6575">
        <v>1</v>
      </c>
      <c r="G6575" t="str">
        <f>HYPERLINK("http://babel.hathitrust.org/cgi/pt?id=njp.32101063608002")</f>
        <v>http://babel.hathitrust.org/cgi/pt?id=njp.32101063608002</v>
      </c>
      <c r="H6575" t="str">
        <f>HYPERLINK("http://catalog.hathitrust.org/Record/008917201")</f>
        <v>http://catalog.hathitrust.org/Record/008917201</v>
      </c>
      <c r="J6575" s="1">
        <v>1857</v>
      </c>
      <c r="K6575" t="s">
        <v>4940</v>
      </c>
      <c r="L6575" t="s">
        <v>11018</v>
      </c>
    </row>
    <row r="6576" spans="1:12">
      <c r="A6576" t="s">
        <v>4941</v>
      </c>
      <c r="B6576" s="1" t="s">
        <v>4942</v>
      </c>
      <c r="F6576">
        <v>1</v>
      </c>
      <c r="G6576" t="str">
        <f>HYPERLINK("http://babel.hathitrust.org/cgi/pt?id=hvd.hn1dcl")</f>
        <v>http://babel.hathitrust.org/cgi/pt?id=hvd.hn1dcl</v>
      </c>
      <c r="H6576" t="str">
        <f>HYPERLINK("http://catalog.hathitrust.org/Record/008917220")</f>
        <v>http://catalog.hathitrust.org/Record/008917220</v>
      </c>
      <c r="J6576" s="1">
        <v>1870</v>
      </c>
      <c r="K6576" t="s">
        <v>4873</v>
      </c>
      <c r="L6576" t="s">
        <v>4874</v>
      </c>
    </row>
    <row r="6577" spans="1:12">
      <c r="A6577" t="s">
        <v>4875</v>
      </c>
      <c r="B6577" s="1" t="s">
        <v>4942</v>
      </c>
      <c r="F6577">
        <v>1</v>
      </c>
      <c r="G6577" t="str">
        <f>HYPERLINK("http://babel.hathitrust.org/cgi/pt?id=njp.32101063608473")</f>
        <v>http://babel.hathitrust.org/cgi/pt?id=njp.32101063608473</v>
      </c>
      <c r="H6577" t="str">
        <f>HYPERLINK("http://catalog.hathitrust.org/Record/008917220")</f>
        <v>http://catalog.hathitrust.org/Record/008917220</v>
      </c>
      <c r="J6577" s="1">
        <v>1870</v>
      </c>
      <c r="K6577" t="s">
        <v>4873</v>
      </c>
      <c r="L6577" t="s">
        <v>4874</v>
      </c>
    </row>
    <row r="6578" spans="1:12">
      <c r="A6578" t="s">
        <v>4876</v>
      </c>
      <c r="B6578" s="1" t="s">
        <v>4877</v>
      </c>
      <c r="E6578">
        <v>1</v>
      </c>
      <c r="G6578" t="str">
        <f>HYPERLINK("http://babel.hathitrust.org/cgi/pt?id=njp.32101063851693")</f>
        <v>http://babel.hathitrust.org/cgi/pt?id=njp.32101063851693</v>
      </c>
      <c r="H6578" t="str">
        <f>HYPERLINK("http://catalog.hathitrust.org/Record/008918998")</f>
        <v>http://catalog.hathitrust.org/Record/008918998</v>
      </c>
      <c r="J6578" s="1">
        <v>1815</v>
      </c>
      <c r="K6578" t="s">
        <v>4878</v>
      </c>
      <c r="L6578" t="s">
        <v>18911</v>
      </c>
    </row>
    <row r="6579" spans="1:12">
      <c r="A6579" t="s">
        <v>4879</v>
      </c>
      <c r="B6579" s="1" t="s">
        <v>4880</v>
      </c>
      <c r="F6579">
        <v>1</v>
      </c>
      <c r="G6579" t="str">
        <f>HYPERLINK("http://babel.hathitrust.org/cgi/pt?id=njp.32101064786021")</f>
        <v>http://babel.hathitrust.org/cgi/pt?id=njp.32101064786021</v>
      </c>
      <c r="H6579" t="str">
        <f>HYPERLINK("http://catalog.hathitrust.org/Record/008921354")</f>
        <v>http://catalog.hathitrust.org/Record/008921354</v>
      </c>
      <c r="J6579" s="1">
        <v>1853</v>
      </c>
      <c r="K6579" t="s">
        <v>4881</v>
      </c>
      <c r="L6579" t="s">
        <v>4882</v>
      </c>
    </row>
    <row r="6580" spans="1:12">
      <c r="A6580" t="s">
        <v>4883</v>
      </c>
      <c r="B6580" s="1" t="s">
        <v>4884</v>
      </c>
      <c r="F6580">
        <v>1</v>
      </c>
      <c r="G6580" t="str">
        <f>HYPERLINK("http://babel.hathitrust.org/cgi/pt?id=njp.32101064786401")</f>
        <v>http://babel.hathitrust.org/cgi/pt?id=njp.32101064786401</v>
      </c>
      <c r="H6580" t="str">
        <f>HYPERLINK("http://catalog.hathitrust.org/Record/008921363")</f>
        <v>http://catalog.hathitrust.org/Record/008921363</v>
      </c>
      <c r="J6580" s="1">
        <v>1894</v>
      </c>
      <c r="K6580" t="s">
        <v>4885</v>
      </c>
      <c r="L6580" t="s">
        <v>4886</v>
      </c>
    </row>
    <row r="6581" spans="1:12">
      <c r="A6581" t="s">
        <v>4887</v>
      </c>
      <c r="B6581" s="1" t="s">
        <v>4888</v>
      </c>
      <c r="F6581">
        <v>1</v>
      </c>
      <c r="G6581" t="str">
        <f>HYPERLINK("http://babel.hathitrust.org/cgi/pt?id=njp.32101064786427")</f>
        <v>http://babel.hathitrust.org/cgi/pt?id=njp.32101064786427</v>
      </c>
      <c r="H6581" t="str">
        <f>HYPERLINK("http://catalog.hathitrust.org/Record/008921364")</f>
        <v>http://catalog.hathitrust.org/Record/008921364</v>
      </c>
      <c r="J6581" s="1">
        <v>1817</v>
      </c>
      <c r="K6581" t="s">
        <v>4889</v>
      </c>
      <c r="L6581" t="s">
        <v>4890</v>
      </c>
    </row>
    <row r="6582" spans="1:12">
      <c r="A6582" t="s">
        <v>4891</v>
      </c>
      <c r="B6582" s="1" t="s">
        <v>4892</v>
      </c>
      <c r="F6582">
        <v>1</v>
      </c>
      <c r="G6582" t="str">
        <f>HYPERLINK("http://babel.hathitrust.org/cgi/pt?id=njp.32101064791948")</f>
        <v>http://babel.hathitrust.org/cgi/pt?id=njp.32101064791948</v>
      </c>
      <c r="H6582" t="str">
        <f>HYPERLINK("http://catalog.hathitrust.org/Record/008921636")</f>
        <v>http://catalog.hathitrust.org/Record/008921636</v>
      </c>
      <c r="J6582" s="1">
        <v>1896</v>
      </c>
      <c r="K6582" t="s">
        <v>4893</v>
      </c>
      <c r="L6582" t="s">
        <v>16779</v>
      </c>
    </row>
    <row r="6583" spans="1:12">
      <c r="A6583" t="s">
        <v>4894</v>
      </c>
      <c r="B6583" s="1" t="s">
        <v>4895</v>
      </c>
      <c r="F6583">
        <v>1</v>
      </c>
      <c r="G6583" t="str">
        <f>HYPERLINK("http://babel.hathitrust.org/cgi/pt?id=njp.32101064791955")</f>
        <v>http://babel.hathitrust.org/cgi/pt?id=njp.32101064791955</v>
      </c>
      <c r="H6583" t="str">
        <f>HYPERLINK("http://catalog.hathitrust.org/Record/008921637")</f>
        <v>http://catalog.hathitrust.org/Record/008921637</v>
      </c>
      <c r="J6583" s="1">
        <v>1874</v>
      </c>
      <c r="K6583" t="s">
        <v>4896</v>
      </c>
      <c r="L6583" t="s">
        <v>4897</v>
      </c>
    </row>
    <row r="6584" spans="1:12">
      <c r="A6584" t="s">
        <v>4898</v>
      </c>
      <c r="B6584" s="1" t="s">
        <v>4899</v>
      </c>
      <c r="F6584">
        <v>1</v>
      </c>
      <c r="G6584" t="str">
        <f>HYPERLINK("http://babel.hathitrust.org/cgi/pt?id=njp.32101064791989")</f>
        <v>http://babel.hathitrust.org/cgi/pt?id=njp.32101064791989</v>
      </c>
      <c r="H6584" t="str">
        <f>HYPERLINK("http://catalog.hathitrust.org/Record/008921640")</f>
        <v>http://catalog.hathitrust.org/Record/008921640</v>
      </c>
      <c r="J6584" s="1">
        <v>1877</v>
      </c>
      <c r="K6584" t="s">
        <v>4900</v>
      </c>
      <c r="L6584" t="s">
        <v>4901</v>
      </c>
    </row>
    <row r="6585" spans="1:12">
      <c r="A6585" t="s">
        <v>4902</v>
      </c>
      <c r="B6585" s="1" t="s">
        <v>4903</v>
      </c>
      <c r="F6585">
        <v>1</v>
      </c>
      <c r="G6585" t="str">
        <f>HYPERLINK("http://babel.hathitrust.org/cgi/pt?id=njp.32101064791997")</f>
        <v>http://babel.hathitrust.org/cgi/pt?id=njp.32101064791997</v>
      </c>
      <c r="H6585" t="str">
        <f>HYPERLINK("http://catalog.hathitrust.org/Record/008921641")</f>
        <v>http://catalog.hathitrust.org/Record/008921641</v>
      </c>
      <c r="J6585" s="1">
        <v>1846</v>
      </c>
      <c r="K6585" t="s">
        <v>4904</v>
      </c>
      <c r="L6585" t="s">
        <v>13902</v>
      </c>
    </row>
    <row r="6586" spans="1:12">
      <c r="A6586" t="s">
        <v>4905</v>
      </c>
      <c r="B6586" s="1" t="s">
        <v>4906</v>
      </c>
      <c r="F6586">
        <v>1</v>
      </c>
      <c r="G6586" t="str">
        <f>HYPERLINK("http://babel.hathitrust.org/cgi/pt?id=njp.32101064792003")</f>
        <v>http://babel.hathitrust.org/cgi/pt?id=njp.32101064792003</v>
      </c>
      <c r="H6586" t="str">
        <f>HYPERLINK("http://catalog.hathitrust.org/Record/008921642")</f>
        <v>http://catalog.hathitrust.org/Record/008921642</v>
      </c>
      <c r="J6586" s="1">
        <v>1890</v>
      </c>
      <c r="K6586" t="s">
        <v>4907</v>
      </c>
      <c r="L6586" t="s">
        <v>16749</v>
      </c>
    </row>
    <row r="6587" spans="1:12">
      <c r="A6587" t="s">
        <v>4835</v>
      </c>
      <c r="B6587" s="1" t="s">
        <v>4836</v>
      </c>
      <c r="E6587">
        <v>1</v>
      </c>
      <c r="F6587">
        <v>1</v>
      </c>
      <c r="G6587" t="str">
        <f>HYPERLINK("http://babel.hathitrust.org/cgi/pt?id=njp.32101064792029")</f>
        <v>http://babel.hathitrust.org/cgi/pt?id=njp.32101064792029</v>
      </c>
      <c r="H6587" t="str">
        <f>HYPERLINK("http://catalog.hathitrust.org/Record/008921644")</f>
        <v>http://catalog.hathitrust.org/Record/008921644</v>
      </c>
      <c r="J6587" s="1">
        <v>1887</v>
      </c>
      <c r="K6587" t="s">
        <v>4837</v>
      </c>
      <c r="L6587" t="s">
        <v>20629</v>
      </c>
    </row>
    <row r="6588" spans="1:12">
      <c r="A6588" t="s">
        <v>4838</v>
      </c>
      <c r="B6588" s="1" t="s">
        <v>4839</v>
      </c>
      <c r="F6588">
        <v>1</v>
      </c>
      <c r="G6588" t="str">
        <f>HYPERLINK("http://babel.hathitrust.org/cgi/pt?id=njp.32101064792037")</f>
        <v>http://babel.hathitrust.org/cgi/pt?id=njp.32101064792037</v>
      </c>
      <c r="H6588" t="str">
        <f>HYPERLINK("http://catalog.hathitrust.org/Record/008921645")</f>
        <v>http://catalog.hathitrust.org/Record/008921645</v>
      </c>
      <c r="J6588" s="1">
        <v>1871</v>
      </c>
      <c r="K6588" t="s">
        <v>4840</v>
      </c>
      <c r="L6588" t="s">
        <v>4841</v>
      </c>
    </row>
    <row r="6589" spans="1:12">
      <c r="A6589" t="s">
        <v>4842</v>
      </c>
      <c r="B6589" s="1" t="s">
        <v>4843</v>
      </c>
      <c r="F6589">
        <v>1</v>
      </c>
      <c r="G6589" t="str">
        <f>HYPERLINK("http://babel.hathitrust.org/cgi/pt?id=njp.32101064792144")</f>
        <v>http://babel.hathitrust.org/cgi/pt?id=njp.32101064792144</v>
      </c>
      <c r="H6589" t="str">
        <f>HYPERLINK("http://catalog.hathitrust.org/Record/008921655")</f>
        <v>http://catalog.hathitrust.org/Record/008921655</v>
      </c>
      <c r="J6589" s="1">
        <v>1886</v>
      </c>
      <c r="K6589" t="s">
        <v>4844</v>
      </c>
      <c r="L6589" t="s">
        <v>19460</v>
      </c>
    </row>
    <row r="6590" spans="1:12">
      <c r="A6590" t="s">
        <v>4845</v>
      </c>
      <c r="B6590" s="1" t="s">
        <v>4846</v>
      </c>
      <c r="F6590">
        <v>1</v>
      </c>
      <c r="G6590" t="str">
        <f>HYPERLINK("http://babel.hathitrust.org/cgi/pt?id=njp.32101064792169")</f>
        <v>http://babel.hathitrust.org/cgi/pt?id=njp.32101064792169</v>
      </c>
      <c r="H6590" t="str">
        <f>HYPERLINK("http://catalog.hathitrust.org/Record/008921657")</f>
        <v>http://catalog.hathitrust.org/Record/008921657</v>
      </c>
      <c r="J6590" s="1">
        <v>1862</v>
      </c>
      <c r="K6590" t="s">
        <v>5445</v>
      </c>
      <c r="L6590" t="s">
        <v>15042</v>
      </c>
    </row>
    <row r="6591" spans="1:12">
      <c r="A6591" t="s">
        <v>4847</v>
      </c>
      <c r="B6591" s="1" t="s">
        <v>4848</v>
      </c>
      <c r="F6591">
        <v>1</v>
      </c>
      <c r="G6591" t="str">
        <f>HYPERLINK("http://babel.hathitrust.org/cgi/pt?id=njp.32101064792177")</f>
        <v>http://babel.hathitrust.org/cgi/pt?id=njp.32101064792177</v>
      </c>
      <c r="H6591" t="str">
        <f>HYPERLINK("http://catalog.hathitrust.org/Record/008921658")</f>
        <v>http://catalog.hathitrust.org/Record/008921658</v>
      </c>
      <c r="J6591" s="1">
        <v>1851</v>
      </c>
      <c r="K6591" t="s">
        <v>4849</v>
      </c>
      <c r="L6591" t="s">
        <v>15042</v>
      </c>
    </row>
    <row r="6592" spans="1:12">
      <c r="A6592" t="s">
        <v>4850</v>
      </c>
      <c r="B6592" s="1" t="s">
        <v>4851</v>
      </c>
      <c r="F6592">
        <v>1</v>
      </c>
      <c r="G6592" t="str">
        <f>HYPERLINK("http://babel.hathitrust.org/cgi/pt?id=njp.32101064792276")</f>
        <v>http://babel.hathitrust.org/cgi/pt?id=njp.32101064792276</v>
      </c>
      <c r="H6592" t="str">
        <f>HYPERLINK("http://catalog.hathitrust.org/Record/008921663")</f>
        <v>http://catalog.hathitrust.org/Record/008921663</v>
      </c>
      <c r="J6592" s="1">
        <v>1886</v>
      </c>
      <c r="K6592" t="s">
        <v>4852</v>
      </c>
      <c r="L6592" t="s">
        <v>12623</v>
      </c>
    </row>
    <row r="6593" spans="1:12">
      <c r="A6593" t="s">
        <v>4853</v>
      </c>
      <c r="B6593" s="1" t="s">
        <v>4854</v>
      </c>
      <c r="E6593">
        <v>1</v>
      </c>
      <c r="F6593">
        <v>1</v>
      </c>
      <c r="G6593" t="str">
        <f>HYPERLINK("http://babel.hathitrust.org/cgi/pt?id=njp.32101064792292")</f>
        <v>http://babel.hathitrust.org/cgi/pt?id=njp.32101064792292</v>
      </c>
      <c r="H6593" t="str">
        <f>HYPERLINK("http://catalog.hathitrust.org/Record/008921665")</f>
        <v>http://catalog.hathitrust.org/Record/008921665</v>
      </c>
      <c r="J6593" s="1">
        <v>1869</v>
      </c>
      <c r="K6593" t="s">
        <v>4855</v>
      </c>
      <c r="L6593" t="s">
        <v>6956</v>
      </c>
    </row>
    <row r="6594" spans="1:12">
      <c r="A6594" t="s">
        <v>4856</v>
      </c>
      <c r="B6594" s="1" t="s">
        <v>4857</v>
      </c>
      <c r="E6594">
        <v>1</v>
      </c>
      <c r="G6594" t="str">
        <f>HYPERLINK("http://babel.hathitrust.org/cgi/pt?id=njp.32101065979641")</f>
        <v>http://babel.hathitrust.org/cgi/pt?id=njp.32101065979641</v>
      </c>
      <c r="H6594" t="str">
        <f>HYPERLINK("http://catalog.hathitrust.org/Record/008924593")</f>
        <v>http://catalog.hathitrust.org/Record/008924593</v>
      </c>
      <c r="I6594" s="1" t="s">
        <v>20920</v>
      </c>
      <c r="J6594" s="1">
        <v>1804</v>
      </c>
      <c r="K6594" t="s">
        <v>15787</v>
      </c>
      <c r="L6594" t="s">
        <v>15788</v>
      </c>
    </row>
    <row r="6595" spans="1:12">
      <c r="A6595" t="s">
        <v>4858</v>
      </c>
      <c r="B6595" s="1" t="s">
        <v>4859</v>
      </c>
      <c r="F6595">
        <v>1</v>
      </c>
      <c r="G6595" t="str">
        <f>HYPERLINK("http://babel.hathitrust.org/cgi/pt?id=njp.32101066125608")</f>
        <v>http://babel.hathitrust.org/cgi/pt?id=njp.32101066125608</v>
      </c>
      <c r="H6595" t="str">
        <f>HYPERLINK("http://catalog.hathitrust.org/Record/008925372")</f>
        <v>http://catalog.hathitrust.org/Record/008925372</v>
      </c>
      <c r="J6595" s="1">
        <v>1863</v>
      </c>
      <c r="K6595" t="s">
        <v>4860</v>
      </c>
      <c r="L6595" t="s">
        <v>19514</v>
      </c>
    </row>
    <row r="6596" spans="1:12">
      <c r="A6596" t="s">
        <v>4861</v>
      </c>
      <c r="B6596" s="1" t="s">
        <v>4862</v>
      </c>
      <c r="E6596">
        <v>1</v>
      </c>
      <c r="G6596" t="str">
        <f>HYPERLINK("http://babel.hathitrust.org/cgi/pt?id=njp.32101066125772")</f>
        <v>http://babel.hathitrust.org/cgi/pt?id=njp.32101066125772</v>
      </c>
      <c r="H6596" t="str">
        <f>HYPERLINK("http://catalog.hathitrust.org/Record/008925378")</f>
        <v>http://catalog.hathitrust.org/Record/008925378</v>
      </c>
      <c r="J6596" s="1">
        <v>1880</v>
      </c>
      <c r="K6596" t="s">
        <v>4863</v>
      </c>
      <c r="L6596" t="s">
        <v>17914</v>
      </c>
    </row>
    <row r="6597" spans="1:12">
      <c r="A6597" t="s">
        <v>4864</v>
      </c>
      <c r="B6597" s="1" t="s">
        <v>4865</v>
      </c>
      <c r="F6597">
        <v>1</v>
      </c>
      <c r="G6597" t="str">
        <f>HYPERLINK("http://babel.hathitrust.org/cgi/pt?id=njp.32101066163344")</f>
        <v>http://babel.hathitrust.org/cgi/pt?id=njp.32101066163344</v>
      </c>
      <c r="H6597" t="str">
        <f>HYPERLINK("http://catalog.hathitrust.org/Record/008926148")</f>
        <v>http://catalog.hathitrust.org/Record/008926148</v>
      </c>
      <c r="J6597" s="1">
        <v>1886</v>
      </c>
      <c r="K6597" t="s">
        <v>4866</v>
      </c>
      <c r="L6597" t="s">
        <v>19080</v>
      </c>
    </row>
    <row r="6598" spans="1:12">
      <c r="A6598" t="s">
        <v>4867</v>
      </c>
      <c r="B6598" s="1" t="s">
        <v>4868</v>
      </c>
      <c r="F6598">
        <v>1</v>
      </c>
      <c r="G6598" t="str">
        <f>HYPERLINK("http://babel.hathitrust.org/cgi/pt?id=njp.32101066163351")</f>
        <v>http://babel.hathitrust.org/cgi/pt?id=njp.32101066163351</v>
      </c>
      <c r="H6598" t="str">
        <f>HYPERLINK("http://catalog.hathitrust.org/Record/008926149")</f>
        <v>http://catalog.hathitrust.org/Record/008926149</v>
      </c>
      <c r="J6598" s="1">
        <v>1871</v>
      </c>
      <c r="K6598" t="s">
        <v>4869</v>
      </c>
      <c r="L6598" t="s">
        <v>4870</v>
      </c>
    </row>
    <row r="6599" spans="1:12">
      <c r="A6599" t="s">
        <v>4871</v>
      </c>
      <c r="B6599" s="1" t="s">
        <v>4872</v>
      </c>
      <c r="F6599">
        <v>1</v>
      </c>
      <c r="G6599" t="str">
        <f>HYPERLINK("http://babel.hathitrust.org/cgi/pt?id=njp.32101066163377")</f>
        <v>http://babel.hathitrust.org/cgi/pt?id=njp.32101066163377</v>
      </c>
      <c r="H6599" t="str">
        <f>HYPERLINK("http://catalog.hathitrust.org/Record/008926151")</f>
        <v>http://catalog.hathitrust.org/Record/008926151</v>
      </c>
      <c r="J6599" s="1">
        <v>1900</v>
      </c>
      <c r="K6599" t="s">
        <v>4791</v>
      </c>
      <c r="L6599" t="s">
        <v>4792</v>
      </c>
    </row>
    <row r="6600" spans="1:12">
      <c r="A6600" t="s">
        <v>4793</v>
      </c>
      <c r="B6600" s="1" t="s">
        <v>4794</v>
      </c>
      <c r="F6600">
        <v>1</v>
      </c>
      <c r="G6600" t="str">
        <f>HYPERLINK("http://babel.hathitrust.org/cgi/pt?id=njp.32101066384668")</f>
        <v>http://babel.hathitrust.org/cgi/pt?id=njp.32101066384668</v>
      </c>
      <c r="H6600" t="str">
        <f>HYPERLINK("http://catalog.hathitrust.org/Record/008927416")</f>
        <v>http://catalog.hathitrust.org/Record/008927416</v>
      </c>
      <c r="J6600" s="1">
        <v>1889</v>
      </c>
      <c r="K6600" t="s">
        <v>4795</v>
      </c>
      <c r="L6600" t="s">
        <v>4796</v>
      </c>
    </row>
    <row r="6601" spans="1:12">
      <c r="A6601" t="s">
        <v>4797</v>
      </c>
      <c r="B6601" s="1" t="s">
        <v>4798</v>
      </c>
      <c r="E6601">
        <v>1</v>
      </c>
      <c r="G6601" t="str">
        <f>HYPERLINK("http://babel.hathitrust.org/cgi/pt?id=njp.32101066384684")</f>
        <v>http://babel.hathitrust.org/cgi/pt?id=njp.32101066384684</v>
      </c>
      <c r="H6601" t="str">
        <f>HYPERLINK("http://catalog.hathitrust.org/Record/008927417")</f>
        <v>http://catalog.hathitrust.org/Record/008927417</v>
      </c>
      <c r="J6601" s="1">
        <v>1889</v>
      </c>
      <c r="K6601" t="s">
        <v>4799</v>
      </c>
      <c r="L6601" t="s">
        <v>5700</v>
      </c>
    </row>
    <row r="6602" spans="1:12">
      <c r="A6602" t="s">
        <v>4800</v>
      </c>
      <c r="B6602" s="1" t="s">
        <v>4801</v>
      </c>
      <c r="F6602">
        <v>1</v>
      </c>
      <c r="G6602" t="str">
        <f>HYPERLINK("http://babel.hathitrust.org/cgi/pt?id=njp.32101066469485")</f>
        <v>http://babel.hathitrust.org/cgi/pt?id=njp.32101066469485</v>
      </c>
      <c r="H6602" t="str">
        <f>HYPERLINK("http://catalog.hathitrust.org/Record/008928738")</f>
        <v>http://catalog.hathitrust.org/Record/008928738</v>
      </c>
      <c r="J6602" s="1">
        <v>1676</v>
      </c>
      <c r="K6602" t="s">
        <v>4802</v>
      </c>
      <c r="L6602" t="s">
        <v>4803</v>
      </c>
    </row>
    <row r="6603" spans="1:12">
      <c r="A6603" t="s">
        <v>4804</v>
      </c>
      <c r="B6603" s="1" t="s">
        <v>4805</v>
      </c>
      <c r="F6603">
        <v>1</v>
      </c>
      <c r="G6603" t="str">
        <f>HYPERLINK("http://babel.hathitrust.org/cgi/pt?id=uc1.$b527723")</f>
        <v>http://babel.hathitrust.org/cgi/pt?id=uc1.$b527723</v>
      </c>
      <c r="H6603" t="str">
        <f>HYPERLINK("http://catalog.hathitrust.org/Record/008932515")</f>
        <v>http://catalog.hathitrust.org/Record/008932515</v>
      </c>
      <c r="J6603" s="1">
        <v>1895</v>
      </c>
      <c r="K6603" t="s">
        <v>4806</v>
      </c>
      <c r="L6603" t="s">
        <v>4807</v>
      </c>
    </row>
    <row r="6604" spans="1:12">
      <c r="A6604" t="s">
        <v>4808</v>
      </c>
      <c r="B6604" s="1" t="s">
        <v>4805</v>
      </c>
      <c r="F6604">
        <v>1</v>
      </c>
      <c r="G6604" t="str">
        <f>HYPERLINK("http://babel.hathitrust.org/cgi/pt?id=uc2.ark:/13960/t23b61p7r")</f>
        <v>http://babel.hathitrust.org/cgi/pt?id=uc2.ark:/13960/t23b61p7r</v>
      </c>
      <c r="H6604" t="str">
        <f>HYPERLINK("http://catalog.hathitrust.org/Record/008932515")</f>
        <v>http://catalog.hathitrust.org/Record/008932515</v>
      </c>
      <c r="J6604" s="1">
        <v>1895</v>
      </c>
      <c r="K6604" t="s">
        <v>4806</v>
      </c>
      <c r="L6604" t="s">
        <v>4807</v>
      </c>
    </row>
    <row r="6605" spans="1:12">
      <c r="A6605" t="s">
        <v>4809</v>
      </c>
      <c r="B6605" s="1" t="s">
        <v>4810</v>
      </c>
      <c r="F6605">
        <v>1</v>
      </c>
      <c r="G6605" t="str">
        <f>HYPERLINK("http://babel.hathitrust.org/cgi/pt?id=uc1.31822012915930")</f>
        <v>http://babel.hathitrust.org/cgi/pt?id=uc1.31822012915930</v>
      </c>
      <c r="H6605" t="str">
        <f>HYPERLINK("http://catalog.hathitrust.org/Record/008945915")</f>
        <v>http://catalog.hathitrust.org/Record/008945915</v>
      </c>
      <c r="J6605" s="1">
        <v>1912</v>
      </c>
      <c r="K6605" t="s">
        <v>4811</v>
      </c>
      <c r="L6605" t="s">
        <v>4812</v>
      </c>
    </row>
    <row r="6606" spans="1:12">
      <c r="A6606" t="s">
        <v>4813</v>
      </c>
      <c r="B6606" s="1" t="s">
        <v>4814</v>
      </c>
      <c r="F6606">
        <v>1</v>
      </c>
      <c r="G6606" t="str">
        <f>HYPERLINK("http://babel.hathitrust.org/cgi/pt?id=uc1.31822010604536")</f>
        <v>http://babel.hathitrust.org/cgi/pt?id=uc1.31822010604536</v>
      </c>
      <c r="H6606" t="str">
        <f>HYPERLINK("http://catalog.hathitrust.org/Record/008946114")</f>
        <v>http://catalog.hathitrust.org/Record/008946114</v>
      </c>
      <c r="J6606" s="1">
        <v>1908</v>
      </c>
      <c r="K6606" t="s">
        <v>4815</v>
      </c>
      <c r="L6606" t="s">
        <v>4816</v>
      </c>
    </row>
    <row r="6607" spans="1:12">
      <c r="A6607" t="s">
        <v>4817</v>
      </c>
      <c r="B6607" s="1" t="s">
        <v>4818</v>
      </c>
      <c r="F6607">
        <v>1</v>
      </c>
      <c r="G6607" t="str">
        <f>HYPERLINK("http://babel.hathitrust.org/cgi/pt?id=njp.32101066892355")</f>
        <v>http://babel.hathitrust.org/cgi/pt?id=njp.32101066892355</v>
      </c>
      <c r="H6607" t="str">
        <f>HYPERLINK("http://catalog.hathitrust.org/Record/008954622")</f>
        <v>http://catalog.hathitrust.org/Record/008954622</v>
      </c>
      <c r="J6607" s="1">
        <v>1911</v>
      </c>
      <c r="K6607" t="s">
        <v>4819</v>
      </c>
      <c r="L6607" t="s">
        <v>4820</v>
      </c>
    </row>
    <row r="6608" spans="1:12">
      <c r="A6608" t="s">
        <v>4821</v>
      </c>
      <c r="B6608" s="1" t="s">
        <v>4822</v>
      </c>
      <c r="F6608">
        <v>1</v>
      </c>
      <c r="G6608" t="str">
        <f>HYPERLINK("http://babel.hathitrust.org/cgi/pt?id=njp.32101067174423")</f>
        <v>http://babel.hathitrust.org/cgi/pt?id=njp.32101067174423</v>
      </c>
      <c r="H6608" t="str">
        <f>HYPERLINK("http://catalog.hathitrust.org/Record/008956188")</f>
        <v>http://catalog.hathitrust.org/Record/008956188</v>
      </c>
      <c r="J6608" s="1">
        <v>1901</v>
      </c>
      <c r="K6608" t="s">
        <v>4823</v>
      </c>
      <c r="L6608" t="s">
        <v>13492</v>
      </c>
    </row>
    <row r="6609" spans="1:12">
      <c r="A6609" t="s">
        <v>4824</v>
      </c>
      <c r="B6609" s="1" t="s">
        <v>4825</v>
      </c>
      <c r="E6609">
        <v>1</v>
      </c>
      <c r="G6609" t="str">
        <f>HYPERLINK("http://babel.hathitrust.org/cgi/pt?id=njp.32101067178234")</f>
        <v>http://babel.hathitrust.org/cgi/pt?id=njp.32101067178234</v>
      </c>
      <c r="H6609" t="str">
        <f>HYPERLINK("http://catalog.hathitrust.org/Record/008956296")</f>
        <v>http://catalog.hathitrust.org/Record/008956296</v>
      </c>
      <c r="J6609" s="1">
        <v>1800</v>
      </c>
      <c r="K6609" t="s">
        <v>4826</v>
      </c>
      <c r="L6609" t="s">
        <v>20981</v>
      </c>
    </row>
    <row r="6610" spans="1:12">
      <c r="A6610" t="s">
        <v>4827</v>
      </c>
      <c r="B6610" s="1" t="s">
        <v>4828</v>
      </c>
      <c r="F6610">
        <v>1</v>
      </c>
      <c r="G6610" t="str">
        <f>HYPERLINK("http://babel.hathitrust.org/cgi/pt?id=njp.32101067483436")</f>
        <v>http://babel.hathitrust.org/cgi/pt?id=njp.32101067483436</v>
      </c>
      <c r="H6610" t="str">
        <f>HYPERLINK("http://catalog.hathitrust.org/Record/008958095")</f>
        <v>http://catalog.hathitrust.org/Record/008958095</v>
      </c>
      <c r="J6610" s="1">
        <v>1889</v>
      </c>
      <c r="K6610" t="s">
        <v>4829</v>
      </c>
      <c r="L6610" t="s">
        <v>5080</v>
      </c>
    </row>
    <row r="6611" spans="1:12">
      <c r="A6611" t="s">
        <v>4830</v>
      </c>
      <c r="B6611" s="1" t="s">
        <v>4831</v>
      </c>
      <c r="F6611">
        <v>1</v>
      </c>
      <c r="G6611" t="str">
        <f>HYPERLINK("http://babel.hathitrust.org/cgi/pt?id=njp.32101067483451")</f>
        <v>http://babel.hathitrust.org/cgi/pt?id=njp.32101067483451</v>
      </c>
      <c r="H6611" t="str">
        <f>HYPERLINK("http://catalog.hathitrust.org/Record/008958097")</f>
        <v>http://catalog.hathitrust.org/Record/008958097</v>
      </c>
      <c r="J6611" s="1">
        <v>1887</v>
      </c>
      <c r="K6611" t="s">
        <v>4832</v>
      </c>
      <c r="L6611" t="s">
        <v>15169</v>
      </c>
    </row>
    <row r="6612" spans="1:12">
      <c r="A6612" t="s">
        <v>4833</v>
      </c>
      <c r="B6612" s="1" t="s">
        <v>4834</v>
      </c>
      <c r="E6612">
        <v>1</v>
      </c>
      <c r="G6612" t="str">
        <f>HYPERLINK("http://babel.hathitrust.org/cgi/pt?id=njp.32101067483485")</f>
        <v>http://babel.hathitrust.org/cgi/pt?id=njp.32101067483485</v>
      </c>
      <c r="H6612" t="str">
        <f>HYPERLINK("http://catalog.hathitrust.org/Record/008958099")</f>
        <v>http://catalog.hathitrust.org/Record/008958099</v>
      </c>
      <c r="J6612" s="1">
        <v>1818</v>
      </c>
      <c r="K6612" t="s">
        <v>4763</v>
      </c>
      <c r="L6612" t="s">
        <v>20043</v>
      </c>
    </row>
    <row r="6613" spans="1:12">
      <c r="A6613" t="s">
        <v>4764</v>
      </c>
      <c r="B6613" s="1" t="s">
        <v>4765</v>
      </c>
      <c r="E6613">
        <v>1</v>
      </c>
      <c r="G6613" t="str">
        <f>HYPERLINK("http://babel.hathitrust.org/cgi/pt?id=njp.32101067483493")</f>
        <v>http://babel.hathitrust.org/cgi/pt?id=njp.32101067483493</v>
      </c>
      <c r="H6613" t="str">
        <f>HYPERLINK("http://catalog.hathitrust.org/Record/008958100")</f>
        <v>http://catalog.hathitrust.org/Record/008958100</v>
      </c>
      <c r="J6613" s="1">
        <v>1802</v>
      </c>
      <c r="K6613" t="s">
        <v>4766</v>
      </c>
      <c r="L6613" t="s">
        <v>20043</v>
      </c>
    </row>
    <row r="6614" spans="1:12">
      <c r="A6614" t="s">
        <v>4767</v>
      </c>
      <c r="B6614" s="1" t="s">
        <v>4768</v>
      </c>
      <c r="F6614">
        <v>1</v>
      </c>
      <c r="G6614" t="str">
        <f>HYPERLINK("http://babel.hathitrust.org/cgi/pt?id=njp.32101067521706")</f>
        <v>http://babel.hathitrust.org/cgi/pt?id=njp.32101067521706</v>
      </c>
      <c r="H6614" t="str">
        <f>HYPERLINK("http://catalog.hathitrust.org/Record/008959258")</f>
        <v>http://catalog.hathitrust.org/Record/008959258</v>
      </c>
      <c r="J6614" s="1">
        <v>1889</v>
      </c>
      <c r="K6614" t="s">
        <v>4769</v>
      </c>
      <c r="L6614" t="s">
        <v>4770</v>
      </c>
    </row>
    <row r="6615" spans="1:12">
      <c r="A6615" t="s">
        <v>4771</v>
      </c>
      <c r="B6615" s="1" t="s">
        <v>4772</v>
      </c>
      <c r="F6615">
        <v>1</v>
      </c>
      <c r="G6615" t="str">
        <f>HYPERLINK("http://babel.hathitrust.org/cgi/pt?id=njp.32101067625879")</f>
        <v>http://babel.hathitrust.org/cgi/pt?id=njp.32101067625879</v>
      </c>
      <c r="H6615" t="str">
        <f>HYPERLINK("http://catalog.hathitrust.org/Record/008960980")</f>
        <v>http://catalog.hathitrust.org/Record/008960980</v>
      </c>
      <c r="J6615" s="1">
        <v>1907</v>
      </c>
      <c r="K6615" t="s">
        <v>4773</v>
      </c>
      <c r="L6615" t="s">
        <v>4774</v>
      </c>
    </row>
    <row r="6616" spans="1:12">
      <c r="A6616" t="s">
        <v>4775</v>
      </c>
      <c r="B6616" s="1" t="s">
        <v>4772</v>
      </c>
      <c r="F6616">
        <v>1</v>
      </c>
      <c r="G6616" t="str">
        <f>HYPERLINK("http://babel.hathitrust.org/cgi/pt?id=uc2.ark:/13960/t44q7v74f")</f>
        <v>http://babel.hathitrust.org/cgi/pt?id=uc2.ark:/13960/t44q7v74f</v>
      </c>
      <c r="H6616" t="str">
        <f>HYPERLINK("http://catalog.hathitrust.org/Record/008960980")</f>
        <v>http://catalog.hathitrust.org/Record/008960980</v>
      </c>
      <c r="J6616" s="1">
        <v>1907</v>
      </c>
      <c r="K6616" t="s">
        <v>4773</v>
      </c>
      <c r="L6616" t="s">
        <v>4774</v>
      </c>
    </row>
    <row r="6617" spans="1:12">
      <c r="A6617" t="s">
        <v>4776</v>
      </c>
      <c r="B6617" s="1" t="s">
        <v>4777</v>
      </c>
      <c r="F6617">
        <v>1</v>
      </c>
      <c r="G6617" t="str">
        <f>HYPERLINK("http://babel.hathitrust.org/cgi/pt?id=njp.32101067627727")</f>
        <v>http://babel.hathitrust.org/cgi/pt?id=njp.32101067627727</v>
      </c>
      <c r="H6617" t="str">
        <f>HYPERLINK("http://catalog.hathitrust.org/Record/008961096")</f>
        <v>http://catalog.hathitrust.org/Record/008961096</v>
      </c>
      <c r="J6617" s="1">
        <v>1828</v>
      </c>
      <c r="K6617" t="s">
        <v>4778</v>
      </c>
      <c r="L6617" t="s">
        <v>9647</v>
      </c>
    </row>
    <row r="6618" spans="1:12">
      <c r="A6618" t="s">
        <v>4779</v>
      </c>
      <c r="B6618" s="1" t="s">
        <v>4780</v>
      </c>
      <c r="F6618">
        <v>1</v>
      </c>
      <c r="G6618" t="str">
        <f>HYPERLINK("http://babel.hathitrust.org/cgi/pt?id=njp.32101067627735")</f>
        <v>http://babel.hathitrust.org/cgi/pt?id=njp.32101067627735</v>
      </c>
      <c r="H6618" t="str">
        <f>HYPERLINK("http://catalog.hathitrust.org/Record/008961097")</f>
        <v>http://catalog.hathitrust.org/Record/008961097</v>
      </c>
      <c r="I6618" s="1" t="s">
        <v>20755</v>
      </c>
      <c r="J6618" s="1">
        <v>1820</v>
      </c>
      <c r="K6618" t="s">
        <v>4781</v>
      </c>
      <c r="L6618" t="s">
        <v>9647</v>
      </c>
    </row>
    <row r="6619" spans="1:12">
      <c r="A6619" t="s">
        <v>4782</v>
      </c>
      <c r="B6619" s="1" t="s">
        <v>4780</v>
      </c>
      <c r="F6619">
        <v>1</v>
      </c>
      <c r="G6619" t="str">
        <f>HYPERLINK("http://babel.hathitrust.org/cgi/pt?id=njp.32101067627743")</f>
        <v>http://babel.hathitrust.org/cgi/pt?id=njp.32101067627743</v>
      </c>
      <c r="H6619" t="str">
        <f>HYPERLINK("http://catalog.hathitrust.org/Record/008961097")</f>
        <v>http://catalog.hathitrust.org/Record/008961097</v>
      </c>
      <c r="I6619" s="1" t="s">
        <v>20916</v>
      </c>
      <c r="J6619" s="1">
        <v>1820</v>
      </c>
      <c r="K6619" t="s">
        <v>4781</v>
      </c>
      <c r="L6619" t="s">
        <v>9647</v>
      </c>
    </row>
    <row r="6620" spans="1:12">
      <c r="A6620" t="s">
        <v>4783</v>
      </c>
      <c r="B6620" s="1" t="s">
        <v>4784</v>
      </c>
      <c r="C6620">
        <v>1</v>
      </c>
      <c r="D6620">
        <v>1</v>
      </c>
      <c r="G6620" t="str">
        <f>HYPERLINK("http://babel.hathitrust.org/cgi/pt?id=njp.32101067650877")</f>
        <v>http://babel.hathitrust.org/cgi/pt?id=njp.32101067650877</v>
      </c>
      <c r="H6620" t="str">
        <f>HYPERLINK("http://catalog.hathitrust.org/Record/008962271")</f>
        <v>http://catalog.hathitrust.org/Record/008962271</v>
      </c>
      <c r="J6620" s="1">
        <v>1837</v>
      </c>
      <c r="K6620" t="s">
        <v>4785</v>
      </c>
      <c r="L6620" t="s">
        <v>14485</v>
      </c>
    </row>
    <row r="6621" spans="1:12">
      <c r="A6621" t="s">
        <v>4786</v>
      </c>
      <c r="B6621" s="1" t="s">
        <v>4787</v>
      </c>
      <c r="F6621">
        <v>1</v>
      </c>
      <c r="G6621" t="str">
        <f>HYPERLINK("http://babel.hathitrust.org/cgi/pt?id=njp.32101067671543")</f>
        <v>http://babel.hathitrust.org/cgi/pt?id=njp.32101067671543</v>
      </c>
      <c r="H6621" t="str">
        <f>HYPERLINK("http://catalog.hathitrust.org/Record/008963329")</f>
        <v>http://catalog.hathitrust.org/Record/008963329</v>
      </c>
      <c r="J6621" s="1">
        <v>1780</v>
      </c>
      <c r="K6621" t="s">
        <v>4788</v>
      </c>
    </row>
    <row r="6622" spans="1:12">
      <c r="A6622" t="s">
        <v>4789</v>
      </c>
      <c r="B6622" s="1" t="s">
        <v>4790</v>
      </c>
      <c r="F6622">
        <v>1</v>
      </c>
      <c r="G6622" t="str">
        <f>HYPERLINK("http://babel.hathitrust.org/cgi/pt?id=njp.32101067671568")</f>
        <v>http://babel.hathitrust.org/cgi/pt?id=njp.32101067671568</v>
      </c>
      <c r="H6622" t="str">
        <f>HYPERLINK("http://catalog.hathitrust.org/Record/008963330")</f>
        <v>http://catalog.hathitrust.org/Record/008963330</v>
      </c>
      <c r="J6622" s="1">
        <v>1787</v>
      </c>
      <c r="K6622" t="s">
        <v>4728</v>
      </c>
      <c r="L6622" t="s">
        <v>20960</v>
      </c>
    </row>
    <row r="6623" spans="1:12">
      <c r="A6623" t="s">
        <v>4729</v>
      </c>
      <c r="B6623" s="1" t="s">
        <v>4730</v>
      </c>
      <c r="F6623">
        <v>1</v>
      </c>
      <c r="G6623" t="str">
        <f>HYPERLINK("http://babel.hathitrust.org/cgi/pt?id=njp.32101067671626")</f>
        <v>http://babel.hathitrust.org/cgi/pt?id=njp.32101067671626</v>
      </c>
      <c r="H6623" t="str">
        <f>HYPERLINK("http://catalog.hathitrust.org/Record/008963334")</f>
        <v>http://catalog.hathitrust.org/Record/008963334</v>
      </c>
      <c r="J6623" s="1">
        <v>1792</v>
      </c>
      <c r="K6623" t="s">
        <v>4731</v>
      </c>
      <c r="L6623" t="s">
        <v>14033</v>
      </c>
    </row>
    <row r="6624" spans="1:12">
      <c r="A6624" t="s">
        <v>4732</v>
      </c>
      <c r="B6624" s="1" t="s">
        <v>4733</v>
      </c>
      <c r="F6624">
        <v>1</v>
      </c>
      <c r="G6624" t="str">
        <f>HYPERLINK("http://babel.hathitrust.org/cgi/pt?id=njp.32101067676302")</f>
        <v>http://babel.hathitrust.org/cgi/pt?id=njp.32101067676302</v>
      </c>
      <c r="H6624" t="str">
        <f>HYPERLINK("http://catalog.hathitrust.org/Record/008963594")</f>
        <v>http://catalog.hathitrust.org/Record/008963594</v>
      </c>
      <c r="J6624" s="1">
        <v>1727</v>
      </c>
      <c r="K6624" t="s">
        <v>4734</v>
      </c>
      <c r="L6624" t="s">
        <v>15178</v>
      </c>
    </row>
    <row r="6625" spans="1:12">
      <c r="A6625" t="s">
        <v>4735</v>
      </c>
      <c r="B6625" s="1" t="s">
        <v>4736</v>
      </c>
      <c r="F6625">
        <v>1</v>
      </c>
      <c r="G6625" t="str">
        <f>HYPERLINK("http://babel.hathitrust.org/cgi/pt?id=njp.32101067681849")</f>
        <v>http://babel.hathitrust.org/cgi/pt?id=njp.32101067681849</v>
      </c>
      <c r="H6625" t="str">
        <f>HYPERLINK("http://catalog.hathitrust.org/Record/008963917")</f>
        <v>http://catalog.hathitrust.org/Record/008963917</v>
      </c>
      <c r="J6625" s="1">
        <v>1868</v>
      </c>
      <c r="K6625" t="s">
        <v>4737</v>
      </c>
      <c r="L6625" t="s">
        <v>4738</v>
      </c>
    </row>
    <row r="6626" spans="1:12">
      <c r="A6626" t="s">
        <v>4739</v>
      </c>
      <c r="B6626" s="1" t="s">
        <v>4740</v>
      </c>
      <c r="E6626">
        <v>1</v>
      </c>
      <c r="G6626" t="str">
        <f>HYPERLINK("http://babel.hathitrust.org/cgi/pt?id=njp.32101067690501")</f>
        <v>http://babel.hathitrust.org/cgi/pt?id=njp.32101067690501</v>
      </c>
      <c r="H6626" t="str">
        <f>HYPERLINK("http://catalog.hathitrust.org/Record/008964175")</f>
        <v>http://catalog.hathitrust.org/Record/008964175</v>
      </c>
      <c r="J6626" s="1">
        <v>1861</v>
      </c>
      <c r="K6626" t="s">
        <v>20476</v>
      </c>
      <c r="L6626" t="s">
        <v>20467</v>
      </c>
    </row>
    <row r="6627" spans="1:12">
      <c r="A6627" t="s">
        <v>4741</v>
      </c>
      <c r="B6627" s="1" t="s">
        <v>4742</v>
      </c>
      <c r="F6627">
        <v>1</v>
      </c>
      <c r="G6627" t="str">
        <f>HYPERLINK("http://babel.hathitrust.org/cgi/pt?id=njp.32101067888956")</f>
        <v>http://babel.hathitrust.org/cgi/pt?id=njp.32101067888956</v>
      </c>
      <c r="H6627" t="str">
        <f>HYPERLINK("http://catalog.hathitrust.org/Record/008966020")</f>
        <v>http://catalog.hathitrust.org/Record/008966020</v>
      </c>
      <c r="J6627" s="1">
        <v>1874</v>
      </c>
      <c r="K6627" t="s">
        <v>4743</v>
      </c>
      <c r="L6627" t="s">
        <v>4744</v>
      </c>
    </row>
    <row r="6628" spans="1:12">
      <c r="A6628" t="s">
        <v>4745</v>
      </c>
      <c r="B6628" s="1" t="s">
        <v>4746</v>
      </c>
      <c r="F6628">
        <v>1</v>
      </c>
      <c r="G6628" t="str">
        <f>HYPERLINK("http://babel.hathitrust.org/cgi/pt?id=njp.32101067889657")</f>
        <v>http://babel.hathitrust.org/cgi/pt?id=njp.32101067889657</v>
      </c>
      <c r="H6628" t="str">
        <f>HYPERLINK("http://catalog.hathitrust.org/Record/008966072")</f>
        <v>http://catalog.hathitrust.org/Record/008966072</v>
      </c>
      <c r="J6628" s="1">
        <v>1812</v>
      </c>
      <c r="K6628" t="s">
        <v>7765</v>
      </c>
      <c r="L6628" t="s">
        <v>7766</v>
      </c>
    </row>
    <row r="6629" spans="1:12">
      <c r="A6629" t="s">
        <v>4747</v>
      </c>
      <c r="B6629" s="1" t="s">
        <v>4748</v>
      </c>
      <c r="E6629">
        <v>1</v>
      </c>
      <c r="F6629">
        <v>1</v>
      </c>
      <c r="G6629" t="str">
        <f>HYPERLINK("http://babel.hathitrust.org/cgi/pt?id=njp.32101068027091")</f>
        <v>http://babel.hathitrust.org/cgi/pt?id=njp.32101068027091</v>
      </c>
      <c r="H6629" t="str">
        <f>HYPERLINK("http://catalog.hathitrust.org/Record/008966697")</f>
        <v>http://catalog.hathitrust.org/Record/008966697</v>
      </c>
      <c r="I6629" s="1" t="s">
        <v>20679</v>
      </c>
      <c r="J6629" s="1">
        <v>1773</v>
      </c>
      <c r="K6629" t="s">
        <v>4749</v>
      </c>
      <c r="L6629" t="s">
        <v>15788</v>
      </c>
    </row>
    <row r="6630" spans="1:12">
      <c r="A6630" t="s">
        <v>4750</v>
      </c>
      <c r="B6630" s="1" t="s">
        <v>4748</v>
      </c>
      <c r="E6630">
        <v>1</v>
      </c>
      <c r="F6630">
        <v>1</v>
      </c>
      <c r="G6630" t="str">
        <f>HYPERLINK("http://babel.hathitrust.org/cgi/pt?id=njp.32101068580313")</f>
        <v>http://babel.hathitrust.org/cgi/pt?id=njp.32101068580313</v>
      </c>
      <c r="H6630" t="str">
        <f>HYPERLINK("http://catalog.hathitrust.org/Record/008966697")</f>
        <v>http://catalog.hathitrust.org/Record/008966697</v>
      </c>
      <c r="I6630" s="1" t="s">
        <v>20916</v>
      </c>
      <c r="J6630" s="1">
        <v>1773</v>
      </c>
      <c r="K6630" t="s">
        <v>4749</v>
      </c>
      <c r="L6630" t="s">
        <v>15788</v>
      </c>
    </row>
    <row r="6631" spans="1:12">
      <c r="A6631" t="s">
        <v>4751</v>
      </c>
      <c r="B6631" s="1" t="s">
        <v>4748</v>
      </c>
      <c r="E6631">
        <v>1</v>
      </c>
      <c r="F6631">
        <v>1</v>
      </c>
      <c r="G6631" t="str">
        <f>HYPERLINK("http://babel.hathitrust.org/cgi/pt?id=njp.32101068580321")</f>
        <v>http://babel.hathitrust.org/cgi/pt?id=njp.32101068580321</v>
      </c>
      <c r="H6631" t="str">
        <f>HYPERLINK("http://catalog.hathitrust.org/Record/008966697")</f>
        <v>http://catalog.hathitrust.org/Record/008966697</v>
      </c>
      <c r="I6631" s="1" t="s">
        <v>20920</v>
      </c>
      <c r="J6631" s="1">
        <v>1773</v>
      </c>
      <c r="K6631" t="s">
        <v>4749</v>
      </c>
      <c r="L6631" t="s">
        <v>15788</v>
      </c>
    </row>
    <row r="6632" spans="1:12">
      <c r="A6632" t="s">
        <v>4752</v>
      </c>
      <c r="B6632" s="1" t="s">
        <v>4753</v>
      </c>
      <c r="E6632">
        <v>1</v>
      </c>
      <c r="F6632">
        <v>1</v>
      </c>
      <c r="G6632" t="str">
        <f>HYPERLINK("http://babel.hathitrust.org/cgi/pt?id=njp.32101068144946")</f>
        <v>http://babel.hathitrust.org/cgi/pt?id=njp.32101068144946</v>
      </c>
      <c r="H6632" t="str">
        <f>HYPERLINK("http://catalog.hathitrust.org/Record/008967583")</f>
        <v>http://catalog.hathitrust.org/Record/008967583</v>
      </c>
      <c r="J6632" s="1">
        <v>1870</v>
      </c>
      <c r="K6632" t="s">
        <v>4754</v>
      </c>
      <c r="L6632" t="s">
        <v>18991</v>
      </c>
    </row>
    <row r="6633" spans="1:12">
      <c r="A6633" t="s">
        <v>4755</v>
      </c>
      <c r="B6633" s="1" t="s">
        <v>4753</v>
      </c>
      <c r="F6633">
        <v>1</v>
      </c>
      <c r="G6633" t="str">
        <f>HYPERLINK("http://babel.hathitrust.org/cgi/pt?id=uva.x000418373")</f>
        <v>http://babel.hathitrust.org/cgi/pt?id=uva.x000418373</v>
      </c>
      <c r="H6633" t="str">
        <f>HYPERLINK("http://catalog.hathitrust.org/Record/008967583")</f>
        <v>http://catalog.hathitrust.org/Record/008967583</v>
      </c>
      <c r="J6633" s="1">
        <v>1870</v>
      </c>
      <c r="K6633" t="s">
        <v>4754</v>
      </c>
      <c r="L6633" t="s">
        <v>18991</v>
      </c>
    </row>
    <row r="6634" spans="1:12">
      <c r="A6634" t="s">
        <v>4756</v>
      </c>
      <c r="B6634" s="1" t="s">
        <v>4757</v>
      </c>
      <c r="E6634">
        <v>1</v>
      </c>
      <c r="G6634" t="str">
        <f>HYPERLINK("http://babel.hathitrust.org/cgi/pt?id=njp.32101068580289")</f>
        <v>http://babel.hathitrust.org/cgi/pt?id=njp.32101068580289</v>
      </c>
      <c r="H6634" t="str">
        <f>HYPERLINK("http://catalog.hathitrust.org/Record/008972701")</f>
        <v>http://catalog.hathitrust.org/Record/008972701</v>
      </c>
      <c r="I6634" s="1" t="s">
        <v>20755</v>
      </c>
      <c r="J6634" s="1">
        <v>1737</v>
      </c>
      <c r="K6634" t="s">
        <v>4758</v>
      </c>
      <c r="L6634" t="s">
        <v>15788</v>
      </c>
    </row>
    <row r="6635" spans="1:12">
      <c r="A6635" t="s">
        <v>4759</v>
      </c>
      <c r="B6635" s="1" t="s">
        <v>4757</v>
      </c>
      <c r="E6635">
        <v>1</v>
      </c>
      <c r="G6635" t="str">
        <f>HYPERLINK("http://babel.hathitrust.org/cgi/pt?id=njp.32101068580297")</f>
        <v>http://babel.hathitrust.org/cgi/pt?id=njp.32101068580297</v>
      </c>
      <c r="H6635" t="str">
        <f>HYPERLINK("http://catalog.hathitrust.org/Record/008972701")</f>
        <v>http://catalog.hathitrust.org/Record/008972701</v>
      </c>
      <c r="I6635" s="1" t="s">
        <v>20920</v>
      </c>
      <c r="J6635" s="1">
        <v>1737</v>
      </c>
      <c r="K6635" t="s">
        <v>4758</v>
      </c>
      <c r="L6635" t="s">
        <v>15788</v>
      </c>
    </row>
    <row r="6636" spans="1:12">
      <c r="A6636" t="s">
        <v>4760</v>
      </c>
      <c r="B6636" s="1" t="s">
        <v>4757</v>
      </c>
      <c r="E6636">
        <v>1</v>
      </c>
      <c r="G6636" t="str">
        <f>HYPERLINK("http://babel.hathitrust.org/cgi/pt?id=njp.32101068580305")</f>
        <v>http://babel.hathitrust.org/cgi/pt?id=njp.32101068580305</v>
      </c>
      <c r="H6636" t="str">
        <f>HYPERLINK("http://catalog.hathitrust.org/Record/008972701")</f>
        <v>http://catalog.hathitrust.org/Record/008972701</v>
      </c>
      <c r="I6636" s="1" t="s">
        <v>20679</v>
      </c>
      <c r="J6636" s="1">
        <v>1737</v>
      </c>
      <c r="K6636" t="s">
        <v>4758</v>
      </c>
      <c r="L6636" t="s">
        <v>15788</v>
      </c>
    </row>
    <row r="6637" spans="1:12">
      <c r="A6637" t="s">
        <v>4761</v>
      </c>
      <c r="B6637" s="1" t="s">
        <v>4762</v>
      </c>
      <c r="E6637">
        <v>1</v>
      </c>
      <c r="G6637" t="str">
        <f>HYPERLINK("http://babel.hathitrust.org/cgi/pt?id=njp.32101068580891")</f>
        <v>http://babel.hathitrust.org/cgi/pt?id=njp.32101068580891</v>
      </c>
      <c r="H6637" t="str">
        <f>HYPERLINK("http://catalog.hathitrust.org/Record/008972724")</f>
        <v>http://catalog.hathitrust.org/Record/008972724</v>
      </c>
      <c r="J6637" s="1">
        <v>1912</v>
      </c>
      <c r="K6637" t="s">
        <v>4676</v>
      </c>
      <c r="L6637" t="s">
        <v>20331</v>
      </c>
    </row>
    <row r="6638" spans="1:12">
      <c r="A6638" t="s">
        <v>4677</v>
      </c>
      <c r="B6638" s="1" t="s">
        <v>4678</v>
      </c>
      <c r="D6638">
        <v>1</v>
      </c>
      <c r="G6638" t="str">
        <f>HYPERLINK("http://babel.hathitrust.org/cgi/pt?id=njp.32101068588761")</f>
        <v>http://babel.hathitrust.org/cgi/pt?id=njp.32101068588761</v>
      </c>
      <c r="H6638" t="str">
        <f>HYPERLINK("http://catalog.hathitrust.org/Record/008973025")</f>
        <v>http://catalog.hathitrust.org/Record/008973025</v>
      </c>
      <c r="J6638" s="1">
        <v>1894</v>
      </c>
      <c r="K6638" t="s">
        <v>10305</v>
      </c>
      <c r="L6638" t="s">
        <v>4679</v>
      </c>
    </row>
    <row r="6639" spans="1:12">
      <c r="A6639" t="s">
        <v>4680</v>
      </c>
      <c r="B6639" s="1" t="s">
        <v>4681</v>
      </c>
      <c r="F6639">
        <v>1</v>
      </c>
      <c r="G6639" t="str">
        <f>HYPERLINK("http://babel.hathitrust.org/cgi/pt?id=njp.32101038142988")</f>
        <v>http://babel.hathitrust.org/cgi/pt?id=njp.32101038142988</v>
      </c>
      <c r="H6639" t="str">
        <f>HYPERLINK("http://catalog.hathitrust.org/Record/008973562")</f>
        <v>http://catalog.hathitrust.org/Record/008973562</v>
      </c>
      <c r="J6639" s="1">
        <v>1805</v>
      </c>
      <c r="K6639" t="s">
        <v>4682</v>
      </c>
      <c r="L6639" t="s">
        <v>20086</v>
      </c>
    </row>
    <row r="6640" spans="1:12">
      <c r="A6640" t="s">
        <v>4683</v>
      </c>
      <c r="B6640" s="1" t="s">
        <v>4681</v>
      </c>
      <c r="F6640">
        <v>1</v>
      </c>
      <c r="G6640" t="str">
        <f>HYPERLINK("http://babel.hathitrust.org/cgi/pt?id=njp.32101068599784")</f>
        <v>http://babel.hathitrust.org/cgi/pt?id=njp.32101068599784</v>
      </c>
      <c r="H6640" t="str">
        <f>HYPERLINK("http://catalog.hathitrust.org/Record/008973562")</f>
        <v>http://catalog.hathitrust.org/Record/008973562</v>
      </c>
      <c r="I6640" s="1" t="s">
        <v>4684</v>
      </c>
      <c r="J6640" s="1">
        <v>1805</v>
      </c>
      <c r="K6640" t="s">
        <v>4682</v>
      </c>
      <c r="L6640" t="s">
        <v>20086</v>
      </c>
    </row>
    <row r="6641" spans="1:12">
      <c r="A6641" t="s">
        <v>4685</v>
      </c>
      <c r="B6641" s="1" t="s">
        <v>4681</v>
      </c>
      <c r="F6641">
        <v>1</v>
      </c>
      <c r="G6641" t="str">
        <f>HYPERLINK("http://babel.hathitrust.org/cgi/pt?id=njp.32101068599792")</f>
        <v>http://babel.hathitrust.org/cgi/pt?id=njp.32101068599792</v>
      </c>
      <c r="H6641" t="str">
        <f>HYPERLINK("http://catalog.hathitrust.org/Record/008973562")</f>
        <v>http://catalog.hathitrust.org/Record/008973562</v>
      </c>
      <c r="I6641" s="1" t="s">
        <v>20108</v>
      </c>
      <c r="J6641" s="1">
        <v>1805</v>
      </c>
      <c r="K6641" t="s">
        <v>4682</v>
      </c>
      <c r="L6641" t="s">
        <v>20086</v>
      </c>
    </row>
    <row r="6642" spans="1:12">
      <c r="A6642" t="s">
        <v>4686</v>
      </c>
      <c r="B6642" s="1" t="s">
        <v>4687</v>
      </c>
      <c r="F6642">
        <v>1</v>
      </c>
      <c r="G6642" t="str">
        <f>HYPERLINK("http://babel.hathitrust.org/cgi/pt?id=njp.32101068599800")</f>
        <v>http://babel.hathitrust.org/cgi/pt?id=njp.32101068599800</v>
      </c>
      <c r="H6642" t="str">
        <f>HYPERLINK("http://catalog.hathitrust.org/Record/008973563")</f>
        <v>http://catalog.hathitrust.org/Record/008973563</v>
      </c>
      <c r="J6642" s="1">
        <v>1804</v>
      </c>
      <c r="K6642" t="s">
        <v>4688</v>
      </c>
      <c r="L6642" t="s">
        <v>20086</v>
      </c>
    </row>
    <row r="6643" spans="1:12">
      <c r="A6643" t="s">
        <v>4689</v>
      </c>
      <c r="B6643" s="1" t="s">
        <v>4690</v>
      </c>
      <c r="F6643">
        <v>1</v>
      </c>
      <c r="G6643" t="str">
        <f>HYPERLINK("http://babel.hathitrust.org/cgi/pt?id=njp.32101068599818")</f>
        <v>http://babel.hathitrust.org/cgi/pt?id=njp.32101068599818</v>
      </c>
      <c r="H6643" t="str">
        <f>HYPERLINK("http://catalog.hathitrust.org/Record/008973564")</f>
        <v>http://catalog.hathitrust.org/Record/008973564</v>
      </c>
      <c r="J6643" s="1">
        <v>1870</v>
      </c>
      <c r="K6643" t="s">
        <v>4691</v>
      </c>
      <c r="L6643" t="s">
        <v>20086</v>
      </c>
    </row>
    <row r="6644" spans="1:12">
      <c r="A6644" t="s">
        <v>4692</v>
      </c>
      <c r="B6644" s="1" t="s">
        <v>4693</v>
      </c>
      <c r="E6644">
        <v>1</v>
      </c>
      <c r="G6644" t="str">
        <f>HYPERLINK("http://babel.hathitrust.org/cgi/pt?id=njp.32101068600285")</f>
        <v>http://babel.hathitrust.org/cgi/pt?id=njp.32101068600285</v>
      </c>
      <c r="H6644" t="str">
        <f>HYPERLINK("http://catalog.hathitrust.org/Record/008973589")</f>
        <v>http://catalog.hathitrust.org/Record/008973589</v>
      </c>
      <c r="J6644" s="1">
        <v>1920</v>
      </c>
      <c r="K6644" t="s">
        <v>4694</v>
      </c>
      <c r="L6644" t="s">
        <v>18816</v>
      </c>
    </row>
    <row r="6645" spans="1:12">
      <c r="A6645" t="s">
        <v>4695</v>
      </c>
      <c r="B6645" s="1" t="s">
        <v>4696</v>
      </c>
      <c r="E6645">
        <v>1</v>
      </c>
      <c r="G6645" t="str">
        <f>HYPERLINK("http://babel.hathitrust.org/cgi/pt?id=njp.32101069166492")</f>
        <v>http://babel.hathitrust.org/cgi/pt?id=njp.32101069166492</v>
      </c>
      <c r="H6645" t="str">
        <f>HYPERLINK("http://catalog.hathitrust.org/Record/008978453")</f>
        <v>http://catalog.hathitrust.org/Record/008978453</v>
      </c>
      <c r="I6645" s="1" t="s">
        <v>12077</v>
      </c>
      <c r="J6645" s="1">
        <v>1790</v>
      </c>
      <c r="K6645" t="s">
        <v>4697</v>
      </c>
      <c r="L6645" t="s">
        <v>4698</v>
      </c>
    </row>
    <row r="6646" spans="1:12">
      <c r="A6646" t="s">
        <v>4699</v>
      </c>
      <c r="B6646" s="1" t="s">
        <v>4696</v>
      </c>
      <c r="E6646">
        <v>1</v>
      </c>
      <c r="G6646" t="str">
        <f>HYPERLINK("http://babel.hathitrust.org/cgi/pt?id=njp.32101069166500")</f>
        <v>http://babel.hathitrust.org/cgi/pt?id=njp.32101069166500</v>
      </c>
      <c r="H6646" t="str">
        <f>HYPERLINK("http://catalog.hathitrust.org/Record/008978453")</f>
        <v>http://catalog.hathitrust.org/Record/008978453</v>
      </c>
      <c r="I6646" s="1" t="s">
        <v>4700</v>
      </c>
      <c r="J6646" s="1">
        <v>1790</v>
      </c>
      <c r="K6646" t="s">
        <v>4697</v>
      </c>
      <c r="L6646" t="s">
        <v>4698</v>
      </c>
    </row>
    <row r="6647" spans="1:12">
      <c r="A6647" t="s">
        <v>4701</v>
      </c>
      <c r="B6647" s="1" t="s">
        <v>4702</v>
      </c>
      <c r="F6647">
        <v>1</v>
      </c>
      <c r="G6647" t="str">
        <f>HYPERLINK("http://babel.hathitrust.org/cgi/pt?id=njp.32101069167037")</f>
        <v>http://babel.hathitrust.org/cgi/pt?id=njp.32101069167037</v>
      </c>
      <c r="H6647" t="str">
        <f>HYPERLINK("http://catalog.hathitrust.org/Record/008978485")</f>
        <v>http://catalog.hathitrust.org/Record/008978485</v>
      </c>
      <c r="I6647" s="1" t="s">
        <v>4700</v>
      </c>
      <c r="J6647" s="1">
        <v>1781</v>
      </c>
      <c r="K6647" t="s">
        <v>4703</v>
      </c>
      <c r="L6647" t="s">
        <v>20960</v>
      </c>
    </row>
    <row r="6648" spans="1:12">
      <c r="A6648" t="s">
        <v>4704</v>
      </c>
      <c r="B6648" s="1" t="s">
        <v>4705</v>
      </c>
      <c r="E6648">
        <v>1</v>
      </c>
      <c r="G6648" t="str">
        <f>HYPERLINK("http://babel.hathitrust.org/cgi/pt?id=hvd.hn2dc8")</f>
        <v>http://babel.hathitrust.org/cgi/pt?id=hvd.hn2dc8</v>
      </c>
      <c r="H6648" t="str">
        <f>HYPERLINK("http://catalog.hathitrust.org/Record/008980913")</f>
        <v>http://catalog.hathitrust.org/Record/008980913</v>
      </c>
      <c r="J6648" s="1">
        <v>1867</v>
      </c>
      <c r="K6648" t="s">
        <v>4706</v>
      </c>
      <c r="L6648" t="s">
        <v>4707</v>
      </c>
    </row>
    <row r="6649" spans="1:12">
      <c r="A6649" t="s">
        <v>4708</v>
      </c>
      <c r="B6649" s="1" t="s">
        <v>4709</v>
      </c>
      <c r="F6649">
        <v>1</v>
      </c>
      <c r="G6649" t="str">
        <f>HYPERLINK("http://babel.hathitrust.org/cgi/pt?id=njp.32101071985673")</f>
        <v>http://babel.hathitrust.org/cgi/pt?id=njp.32101071985673</v>
      </c>
      <c r="H6649" t="str">
        <f>HYPERLINK("http://catalog.hathitrust.org/Record/008980947")</f>
        <v>http://catalog.hathitrust.org/Record/008980947</v>
      </c>
      <c r="J6649" s="1">
        <v>1910</v>
      </c>
      <c r="K6649" t="s">
        <v>4710</v>
      </c>
      <c r="L6649" t="s">
        <v>4711</v>
      </c>
    </row>
    <row r="6650" spans="1:12">
      <c r="A6650" t="s">
        <v>4712</v>
      </c>
      <c r="B6650" s="1" t="s">
        <v>4713</v>
      </c>
      <c r="D6650">
        <v>1</v>
      </c>
      <c r="G6650" t="str">
        <f>HYPERLINK("http://babel.hathitrust.org/cgi/pt?id=hvd.hn2dbu")</f>
        <v>http://babel.hathitrust.org/cgi/pt?id=hvd.hn2dbu</v>
      </c>
      <c r="H6650" t="str">
        <f>HYPERLINK("http://catalog.hathitrust.org/Record/008980955")</f>
        <v>http://catalog.hathitrust.org/Record/008980955</v>
      </c>
      <c r="J6650" s="1">
        <v>1871</v>
      </c>
      <c r="K6650" t="s">
        <v>13520</v>
      </c>
      <c r="L6650" t="s">
        <v>19800</v>
      </c>
    </row>
    <row r="6651" spans="1:12">
      <c r="A6651" t="s">
        <v>4714</v>
      </c>
      <c r="B6651" s="1" t="s">
        <v>4713</v>
      </c>
      <c r="F6651">
        <v>1</v>
      </c>
      <c r="G6651" t="str">
        <f>HYPERLINK("http://babel.hathitrust.org/cgi/pt?id=njp.32101071985764")</f>
        <v>http://babel.hathitrust.org/cgi/pt?id=njp.32101071985764</v>
      </c>
      <c r="H6651" t="str">
        <f>HYPERLINK("http://catalog.hathitrust.org/Record/008980955")</f>
        <v>http://catalog.hathitrust.org/Record/008980955</v>
      </c>
      <c r="J6651" s="1">
        <v>1871</v>
      </c>
      <c r="K6651" t="s">
        <v>13520</v>
      </c>
      <c r="L6651" t="s">
        <v>19800</v>
      </c>
    </row>
    <row r="6652" spans="1:12">
      <c r="A6652" t="s">
        <v>4715</v>
      </c>
      <c r="B6652" s="1" t="s">
        <v>4716</v>
      </c>
      <c r="F6652">
        <v>1</v>
      </c>
      <c r="G6652" t="str">
        <f>HYPERLINK("http://babel.hathitrust.org/cgi/pt?id=njp.32101071985871")</f>
        <v>http://babel.hathitrust.org/cgi/pt?id=njp.32101071985871</v>
      </c>
      <c r="H6652" t="str">
        <f>HYPERLINK("http://catalog.hathitrust.org/Record/008980959")</f>
        <v>http://catalog.hathitrust.org/Record/008980959</v>
      </c>
      <c r="J6652" s="1">
        <v>1883</v>
      </c>
      <c r="K6652" t="s">
        <v>14247</v>
      </c>
      <c r="L6652" t="s">
        <v>16360</v>
      </c>
    </row>
    <row r="6653" spans="1:12">
      <c r="A6653" t="s">
        <v>4717</v>
      </c>
      <c r="B6653" s="1" t="s">
        <v>4718</v>
      </c>
      <c r="D6653">
        <v>1</v>
      </c>
      <c r="G6653" t="str">
        <f>HYPERLINK("http://babel.hathitrust.org/cgi/pt?id=njp.32101071985889")</f>
        <v>http://babel.hathitrust.org/cgi/pt?id=njp.32101071985889</v>
      </c>
      <c r="H6653" t="str">
        <f>HYPERLINK("http://catalog.hathitrust.org/Record/008980960")</f>
        <v>http://catalog.hathitrust.org/Record/008980960</v>
      </c>
      <c r="J6653" s="1">
        <v>1880</v>
      </c>
      <c r="K6653" t="s">
        <v>4719</v>
      </c>
      <c r="L6653" t="s">
        <v>13169</v>
      </c>
    </row>
    <row r="6654" spans="1:12">
      <c r="A6654" t="s">
        <v>4720</v>
      </c>
      <c r="B6654" s="1" t="s">
        <v>4721</v>
      </c>
      <c r="E6654">
        <v>1</v>
      </c>
      <c r="G6654" t="str">
        <f>HYPERLINK("http://babel.hathitrust.org/cgi/pt?id=njp.32101071986457")</f>
        <v>http://babel.hathitrust.org/cgi/pt?id=njp.32101071986457</v>
      </c>
      <c r="H6654" t="str">
        <f>HYPERLINK("http://catalog.hathitrust.org/Record/008980991")</f>
        <v>http://catalog.hathitrust.org/Record/008980991</v>
      </c>
      <c r="J6654" s="1">
        <v>1892</v>
      </c>
      <c r="K6654" t="s">
        <v>4722</v>
      </c>
      <c r="L6654" t="s">
        <v>4723</v>
      </c>
    </row>
    <row r="6655" spans="1:12">
      <c r="A6655" t="s">
        <v>4724</v>
      </c>
      <c r="B6655" s="1" t="s">
        <v>4725</v>
      </c>
      <c r="F6655">
        <v>1</v>
      </c>
      <c r="G6655" t="str">
        <f>HYPERLINK("http://babel.hathitrust.org/cgi/pt?id=njp.32101071987570")</f>
        <v>http://babel.hathitrust.org/cgi/pt?id=njp.32101071987570</v>
      </c>
      <c r="H6655" t="str">
        <f>HYPERLINK("http://catalog.hathitrust.org/Record/008981038")</f>
        <v>http://catalog.hathitrust.org/Record/008981038</v>
      </c>
      <c r="J6655" s="1">
        <v>1903</v>
      </c>
      <c r="K6655" t="s">
        <v>4726</v>
      </c>
    </row>
    <row r="6656" spans="1:12">
      <c r="A6656" t="s">
        <v>4727</v>
      </c>
      <c r="B6656" s="1" t="s">
        <v>4630</v>
      </c>
      <c r="F6656">
        <v>1</v>
      </c>
      <c r="G6656" t="str">
        <f>HYPERLINK("http://babel.hathitrust.org/cgi/pt?id=njp.32101071988768")</f>
        <v>http://babel.hathitrust.org/cgi/pt?id=njp.32101071988768</v>
      </c>
      <c r="H6656" t="str">
        <f>HYPERLINK("http://catalog.hathitrust.org/Record/008981088")</f>
        <v>http://catalog.hathitrust.org/Record/008981088</v>
      </c>
      <c r="J6656" s="1">
        <v>1912</v>
      </c>
      <c r="K6656" t="s">
        <v>4631</v>
      </c>
    </row>
    <row r="6657" spans="1:12">
      <c r="A6657" t="s">
        <v>4632</v>
      </c>
      <c r="B6657" s="1" t="s">
        <v>4633</v>
      </c>
      <c r="F6657">
        <v>1</v>
      </c>
      <c r="G6657" t="str">
        <f>HYPERLINK("http://babel.hathitrust.org/cgi/pt?id=wu.89087905378")</f>
        <v>http://babel.hathitrust.org/cgi/pt?id=wu.89087905378</v>
      </c>
      <c r="H6657" t="str">
        <f>HYPERLINK("http://catalog.hathitrust.org/Record/008988057")</f>
        <v>http://catalog.hathitrust.org/Record/008988057</v>
      </c>
      <c r="J6657" s="1">
        <v>1888</v>
      </c>
      <c r="K6657" t="s">
        <v>4634</v>
      </c>
      <c r="L6657" t="s">
        <v>4635</v>
      </c>
    </row>
    <row r="6658" spans="1:12">
      <c r="A6658" t="s">
        <v>4636</v>
      </c>
      <c r="B6658" s="1" t="s">
        <v>4637</v>
      </c>
      <c r="F6658">
        <v>1</v>
      </c>
      <c r="G6658" t="str">
        <f>HYPERLINK("http://babel.hathitrust.org/cgi/pt?id=wu.89099423253")</f>
        <v>http://babel.hathitrust.org/cgi/pt?id=wu.89099423253</v>
      </c>
      <c r="H6658" t="str">
        <f>HYPERLINK("http://catalog.hathitrust.org/Record/008988058")</f>
        <v>http://catalog.hathitrust.org/Record/008988058</v>
      </c>
      <c r="J6658" s="1">
        <v>1885</v>
      </c>
      <c r="K6658" t="s">
        <v>8228</v>
      </c>
      <c r="L6658" t="s">
        <v>8229</v>
      </c>
    </row>
    <row r="6659" spans="1:12">
      <c r="A6659" t="s">
        <v>4638</v>
      </c>
      <c r="B6659" s="1" t="s">
        <v>4639</v>
      </c>
      <c r="F6659">
        <v>1</v>
      </c>
      <c r="G6659" t="str">
        <f>HYPERLINK("http://babel.hathitrust.org/cgi/pt?id=wu.89032262370")</f>
        <v>http://babel.hathitrust.org/cgi/pt?id=wu.89032262370</v>
      </c>
      <c r="H6659" t="str">
        <f>HYPERLINK("http://catalog.hathitrust.org/Record/008988060")</f>
        <v>http://catalog.hathitrust.org/Record/008988060</v>
      </c>
      <c r="J6659" s="1">
        <v>1873</v>
      </c>
      <c r="K6659" t="s">
        <v>4640</v>
      </c>
      <c r="L6659" t="s">
        <v>20884</v>
      </c>
    </row>
    <row r="6660" spans="1:12">
      <c r="A6660" t="s">
        <v>4641</v>
      </c>
      <c r="B6660" s="1" t="s">
        <v>4642</v>
      </c>
      <c r="E6660">
        <v>1</v>
      </c>
      <c r="F6660">
        <v>1</v>
      </c>
      <c r="G6660" t="str">
        <f>HYPERLINK("http://babel.hathitrust.org/cgi/pt?id=wu.89099423006")</f>
        <v>http://babel.hathitrust.org/cgi/pt?id=wu.89099423006</v>
      </c>
      <c r="H6660" t="str">
        <f>HYPERLINK("http://catalog.hathitrust.org/Record/008988199")</f>
        <v>http://catalog.hathitrust.org/Record/008988199</v>
      </c>
      <c r="J6660" s="1">
        <v>1890</v>
      </c>
      <c r="K6660" t="s">
        <v>4643</v>
      </c>
    </row>
    <row r="6661" spans="1:12">
      <c r="A6661" t="s">
        <v>4644</v>
      </c>
      <c r="B6661" s="1" t="s">
        <v>4645</v>
      </c>
      <c r="E6661">
        <v>1</v>
      </c>
      <c r="G6661" t="str">
        <f>HYPERLINK("http://babel.hathitrust.org/cgi/pt?id=wu.89098105000")</f>
        <v>http://babel.hathitrust.org/cgi/pt?id=wu.89098105000</v>
      </c>
      <c r="H6661" t="str">
        <f>HYPERLINK("http://catalog.hathitrust.org/Record/008988201")</f>
        <v>http://catalog.hathitrust.org/Record/008988201</v>
      </c>
      <c r="I6661" s="1" t="s">
        <v>20755</v>
      </c>
      <c r="J6661" s="1">
        <v>1856</v>
      </c>
      <c r="K6661" t="s">
        <v>4646</v>
      </c>
      <c r="L6661" t="s">
        <v>18463</v>
      </c>
    </row>
    <row r="6662" spans="1:12">
      <c r="A6662" t="s">
        <v>4647</v>
      </c>
      <c r="B6662" s="1" t="s">
        <v>4645</v>
      </c>
      <c r="E6662">
        <v>1</v>
      </c>
      <c r="G6662" t="str">
        <f>HYPERLINK("http://babel.hathitrust.org/cgi/pt?id=wu.89099425787")</f>
        <v>http://babel.hathitrust.org/cgi/pt?id=wu.89099425787</v>
      </c>
      <c r="H6662" t="str">
        <f>HYPERLINK("http://catalog.hathitrust.org/Record/008988201")</f>
        <v>http://catalog.hathitrust.org/Record/008988201</v>
      </c>
      <c r="I6662" s="1" t="s">
        <v>4648</v>
      </c>
      <c r="J6662" s="1">
        <v>1856</v>
      </c>
      <c r="K6662" t="s">
        <v>4646</v>
      </c>
      <c r="L6662" t="s">
        <v>18463</v>
      </c>
    </row>
    <row r="6663" spans="1:12">
      <c r="A6663" t="s">
        <v>4649</v>
      </c>
      <c r="B6663" s="1" t="s">
        <v>4650</v>
      </c>
      <c r="F6663">
        <v>1</v>
      </c>
      <c r="G6663" t="str">
        <f>HYPERLINK("http://babel.hathitrust.org/cgi/pt?id=wu.89094827367")</f>
        <v>http://babel.hathitrust.org/cgi/pt?id=wu.89094827367</v>
      </c>
      <c r="H6663" t="str">
        <f>HYPERLINK("http://catalog.hathitrust.org/Record/008988212")</f>
        <v>http://catalog.hathitrust.org/Record/008988212</v>
      </c>
      <c r="J6663" s="1">
        <v>1929</v>
      </c>
      <c r="K6663" t="s">
        <v>16395</v>
      </c>
      <c r="L6663" t="s">
        <v>16396</v>
      </c>
    </row>
    <row r="6664" spans="1:12">
      <c r="A6664" t="s">
        <v>4651</v>
      </c>
      <c r="B6664" s="1" t="s">
        <v>4652</v>
      </c>
      <c r="F6664">
        <v>1</v>
      </c>
      <c r="G6664" t="str">
        <f>HYPERLINK("http://babel.hathitrust.org/cgi/pt?id=wu.89044677334")</f>
        <v>http://babel.hathitrust.org/cgi/pt?id=wu.89044677334</v>
      </c>
      <c r="H6664" t="str">
        <f>HYPERLINK("http://catalog.hathitrust.org/Record/008988214")</f>
        <v>http://catalog.hathitrust.org/Record/008988214</v>
      </c>
      <c r="J6664" s="1">
        <v>1914</v>
      </c>
      <c r="K6664" t="s">
        <v>4653</v>
      </c>
      <c r="L6664" t="s">
        <v>4654</v>
      </c>
    </row>
    <row r="6665" spans="1:12">
      <c r="A6665" t="s">
        <v>4655</v>
      </c>
      <c r="B6665" s="1" t="s">
        <v>4656</v>
      </c>
      <c r="F6665">
        <v>1</v>
      </c>
      <c r="G6665" t="str">
        <f>HYPERLINK("http://babel.hathitrust.org/cgi/pt?id=wu.89099427221")</f>
        <v>http://babel.hathitrust.org/cgi/pt?id=wu.89099427221</v>
      </c>
      <c r="H6665" t="str">
        <f>HYPERLINK("http://catalog.hathitrust.org/Record/008988215")</f>
        <v>http://catalog.hathitrust.org/Record/008988215</v>
      </c>
      <c r="J6665" s="1">
        <v>1918</v>
      </c>
      <c r="K6665" t="s">
        <v>11627</v>
      </c>
      <c r="L6665" t="s">
        <v>12623</v>
      </c>
    </row>
    <row r="6666" spans="1:12">
      <c r="A6666" t="s">
        <v>4657</v>
      </c>
      <c r="B6666" s="1" t="s">
        <v>4658</v>
      </c>
      <c r="F6666">
        <v>1</v>
      </c>
      <c r="G6666" t="str">
        <f>HYPERLINK("http://babel.hathitrust.org/cgi/pt?id=wu.89099427262")</f>
        <v>http://babel.hathitrust.org/cgi/pt?id=wu.89099427262</v>
      </c>
      <c r="H6666" t="str">
        <f>HYPERLINK("http://catalog.hathitrust.org/Record/008988217")</f>
        <v>http://catalog.hathitrust.org/Record/008988217</v>
      </c>
      <c r="J6666" s="1">
        <v>1885</v>
      </c>
      <c r="K6666" t="s">
        <v>4659</v>
      </c>
      <c r="L6666" t="s">
        <v>4660</v>
      </c>
    </row>
    <row r="6667" spans="1:12">
      <c r="A6667" t="s">
        <v>4661</v>
      </c>
      <c r="B6667" s="1" t="s">
        <v>4662</v>
      </c>
      <c r="F6667">
        <v>1</v>
      </c>
      <c r="G6667" t="str">
        <f>HYPERLINK("http://babel.hathitrust.org/cgi/pt?id=wu.89104408216")</f>
        <v>http://babel.hathitrust.org/cgi/pt?id=wu.89104408216</v>
      </c>
      <c r="H6667" t="str">
        <f>HYPERLINK("http://catalog.hathitrust.org/Record/008988218")</f>
        <v>http://catalog.hathitrust.org/Record/008988218</v>
      </c>
      <c r="J6667" s="1">
        <v>1913</v>
      </c>
      <c r="K6667" t="s">
        <v>4663</v>
      </c>
      <c r="L6667" t="s">
        <v>4664</v>
      </c>
    </row>
    <row r="6668" spans="1:12">
      <c r="A6668" t="s">
        <v>4665</v>
      </c>
      <c r="B6668" s="1" t="s">
        <v>4666</v>
      </c>
      <c r="E6668">
        <v>1</v>
      </c>
      <c r="F6668">
        <v>1</v>
      </c>
      <c r="G6668" t="str">
        <f>HYPERLINK("http://babel.hathitrust.org/cgi/pt?id=wu.89099427403")</f>
        <v>http://babel.hathitrust.org/cgi/pt?id=wu.89099427403</v>
      </c>
      <c r="H6668" t="str">
        <f>HYPERLINK("http://catalog.hathitrust.org/Record/008988221")</f>
        <v>http://catalog.hathitrust.org/Record/008988221</v>
      </c>
      <c r="J6668" s="1">
        <v>1884</v>
      </c>
      <c r="K6668" t="s">
        <v>4667</v>
      </c>
      <c r="L6668" t="s">
        <v>15662</v>
      </c>
    </row>
    <row r="6669" spans="1:12">
      <c r="A6669" t="s">
        <v>4668</v>
      </c>
      <c r="B6669" s="1" t="s">
        <v>4669</v>
      </c>
      <c r="F6669">
        <v>1</v>
      </c>
      <c r="G6669" t="str">
        <f>HYPERLINK("http://babel.hathitrust.org/cgi/pt?id=wu.89099426868")</f>
        <v>http://babel.hathitrust.org/cgi/pt?id=wu.89099426868</v>
      </c>
      <c r="H6669" t="str">
        <f>HYPERLINK("http://catalog.hathitrust.org/Record/008988246")</f>
        <v>http://catalog.hathitrust.org/Record/008988246</v>
      </c>
      <c r="J6669" s="1">
        <v>1904</v>
      </c>
      <c r="K6669" t="s">
        <v>4670</v>
      </c>
    </row>
    <row r="6670" spans="1:12">
      <c r="A6670" t="s">
        <v>4671</v>
      </c>
      <c r="B6670" s="1" t="s">
        <v>4672</v>
      </c>
      <c r="F6670">
        <v>1</v>
      </c>
      <c r="G6670" t="str">
        <f>HYPERLINK("http://babel.hathitrust.org/cgi/pt?id=wu.89099896102")</f>
        <v>http://babel.hathitrust.org/cgi/pt?id=wu.89099896102</v>
      </c>
      <c r="H6670" t="str">
        <f>HYPERLINK("http://catalog.hathitrust.org/Record/008991727")</f>
        <v>http://catalog.hathitrust.org/Record/008991727</v>
      </c>
      <c r="I6670" s="1" t="s">
        <v>20755</v>
      </c>
      <c r="J6670" s="1">
        <v>1912</v>
      </c>
      <c r="K6670" t="s">
        <v>4673</v>
      </c>
      <c r="L6670" t="s">
        <v>15379</v>
      </c>
    </row>
    <row r="6671" spans="1:12">
      <c r="A6671" t="s">
        <v>4674</v>
      </c>
      <c r="B6671" s="1" t="s">
        <v>4675</v>
      </c>
      <c r="F6671">
        <v>1</v>
      </c>
      <c r="G6671" t="str">
        <f>HYPERLINK("http://babel.hathitrust.org/cgi/pt?id=wu.89099896037")</f>
        <v>http://babel.hathitrust.org/cgi/pt?id=wu.89099896037</v>
      </c>
      <c r="H6671" t="str">
        <f>HYPERLINK("http://catalog.hathitrust.org/Record/008991730")</f>
        <v>http://catalog.hathitrust.org/Record/008991730</v>
      </c>
      <c r="J6671" s="1">
        <v>1854</v>
      </c>
      <c r="K6671" t="s">
        <v>4579</v>
      </c>
      <c r="L6671" t="s">
        <v>12790</v>
      </c>
    </row>
    <row r="6672" spans="1:12">
      <c r="A6672" t="s">
        <v>4580</v>
      </c>
      <c r="B6672" s="1" t="s">
        <v>4581</v>
      </c>
      <c r="F6672">
        <v>1</v>
      </c>
      <c r="G6672" t="str">
        <f>HYPERLINK("http://babel.hathitrust.org/cgi/pt?id=wu.89099896060")</f>
        <v>http://babel.hathitrust.org/cgi/pt?id=wu.89099896060</v>
      </c>
      <c r="H6672" t="str">
        <f>HYPERLINK("http://catalog.hathitrust.org/Record/008991731")</f>
        <v>http://catalog.hathitrust.org/Record/008991731</v>
      </c>
      <c r="J6672" s="1">
        <v>1862</v>
      </c>
      <c r="K6672" t="s">
        <v>4582</v>
      </c>
      <c r="L6672" t="s">
        <v>4583</v>
      </c>
    </row>
    <row r="6673" spans="1:12">
      <c r="A6673" t="s">
        <v>4584</v>
      </c>
      <c r="B6673" s="1" t="s">
        <v>4585</v>
      </c>
      <c r="E6673">
        <v>1</v>
      </c>
      <c r="F6673">
        <v>1</v>
      </c>
      <c r="G6673" t="str">
        <f>HYPERLINK("http://babel.hathitrust.org/cgi/pt?id=wu.89013484555")</f>
        <v>http://babel.hathitrust.org/cgi/pt?id=wu.89013484555</v>
      </c>
      <c r="H6673" t="str">
        <f>HYPERLINK("http://catalog.hathitrust.org/Record/008991734")</f>
        <v>http://catalog.hathitrust.org/Record/008991734</v>
      </c>
      <c r="J6673" s="1">
        <v>1838</v>
      </c>
      <c r="K6673" t="s">
        <v>4586</v>
      </c>
      <c r="L6673" t="s">
        <v>20956</v>
      </c>
    </row>
    <row r="6674" spans="1:12">
      <c r="A6674" t="s">
        <v>4587</v>
      </c>
      <c r="B6674" s="1" t="s">
        <v>4588</v>
      </c>
      <c r="F6674">
        <v>1</v>
      </c>
      <c r="G6674" t="str">
        <f>HYPERLINK("http://babel.hathitrust.org/cgi/pt?id=wu.89053180782")</f>
        <v>http://babel.hathitrust.org/cgi/pt?id=wu.89053180782</v>
      </c>
      <c r="H6674" t="str">
        <f>HYPERLINK("http://catalog.hathitrust.org/Record/008991737")</f>
        <v>http://catalog.hathitrust.org/Record/008991737</v>
      </c>
      <c r="J6674" s="1">
        <v>1902</v>
      </c>
      <c r="K6674" t="s">
        <v>4589</v>
      </c>
      <c r="L6674" t="s">
        <v>4590</v>
      </c>
    </row>
    <row r="6675" spans="1:12">
      <c r="A6675" t="s">
        <v>4591</v>
      </c>
      <c r="B6675" s="1" t="s">
        <v>4592</v>
      </c>
      <c r="F6675">
        <v>1</v>
      </c>
      <c r="G6675" t="str">
        <f>HYPERLINK("http://babel.hathitrust.org/cgi/pt?id=wu.89099427569")</f>
        <v>http://babel.hathitrust.org/cgi/pt?id=wu.89099427569</v>
      </c>
      <c r="H6675" t="str">
        <f>HYPERLINK("http://catalog.hathitrust.org/Record/008991738")</f>
        <v>http://catalog.hathitrust.org/Record/008991738</v>
      </c>
      <c r="J6675" s="1">
        <v>1909</v>
      </c>
      <c r="K6675" t="s">
        <v>4593</v>
      </c>
      <c r="L6675" t="s">
        <v>4594</v>
      </c>
    </row>
    <row r="6676" spans="1:12">
      <c r="A6676" t="s">
        <v>4595</v>
      </c>
      <c r="B6676" s="1" t="s">
        <v>4596</v>
      </c>
      <c r="F6676">
        <v>1</v>
      </c>
      <c r="G6676" t="str">
        <f>HYPERLINK("http://babel.hathitrust.org/cgi/pt?id=wu.89099427635")</f>
        <v>http://babel.hathitrust.org/cgi/pt?id=wu.89099427635</v>
      </c>
      <c r="H6676" t="str">
        <f>HYPERLINK("http://catalog.hathitrust.org/Record/008991741")</f>
        <v>http://catalog.hathitrust.org/Record/008991741</v>
      </c>
      <c r="J6676" s="1">
        <v>1893</v>
      </c>
      <c r="K6676" t="s">
        <v>4597</v>
      </c>
      <c r="L6676" t="s">
        <v>13209</v>
      </c>
    </row>
    <row r="6677" spans="1:12">
      <c r="A6677" t="s">
        <v>4598</v>
      </c>
      <c r="B6677" s="1" t="s">
        <v>4599</v>
      </c>
      <c r="E6677">
        <v>1</v>
      </c>
      <c r="F6677">
        <v>1</v>
      </c>
      <c r="G6677" t="str">
        <f>HYPERLINK("http://babel.hathitrust.org/cgi/pt?id=wu.89099427825")</f>
        <v>http://babel.hathitrust.org/cgi/pt?id=wu.89099427825</v>
      </c>
      <c r="H6677" t="str">
        <f>HYPERLINK("http://catalog.hathitrust.org/Record/008991744")</f>
        <v>http://catalog.hathitrust.org/Record/008991744</v>
      </c>
      <c r="J6677" s="1">
        <v>1875</v>
      </c>
      <c r="K6677" t="s">
        <v>12224</v>
      </c>
      <c r="L6677" t="s">
        <v>12225</v>
      </c>
    </row>
    <row r="6678" spans="1:12">
      <c r="A6678" t="s">
        <v>4600</v>
      </c>
      <c r="B6678" s="1" t="s">
        <v>4601</v>
      </c>
      <c r="E6678">
        <v>1</v>
      </c>
      <c r="G6678" t="str">
        <f>HYPERLINK("http://babel.hathitrust.org/cgi/pt?id=wu.89090360132")</f>
        <v>http://babel.hathitrust.org/cgi/pt?id=wu.89090360132</v>
      </c>
      <c r="H6678" t="str">
        <f>HYPERLINK("http://catalog.hathitrust.org/Record/008991752")</f>
        <v>http://catalog.hathitrust.org/Record/008991752</v>
      </c>
      <c r="J6678" s="1">
        <v>1881</v>
      </c>
      <c r="K6678" t="s">
        <v>4602</v>
      </c>
    </row>
    <row r="6679" spans="1:12">
      <c r="A6679" t="s">
        <v>4603</v>
      </c>
      <c r="B6679" s="1" t="s">
        <v>4604</v>
      </c>
      <c r="F6679">
        <v>1</v>
      </c>
      <c r="G6679" t="str">
        <f>HYPERLINK("http://babel.hathitrust.org/cgi/pt?id=wu.89090394495")</f>
        <v>http://babel.hathitrust.org/cgi/pt?id=wu.89090394495</v>
      </c>
      <c r="H6679" t="str">
        <f>HYPERLINK("http://catalog.hathitrust.org/Record/008991753")</f>
        <v>http://catalog.hathitrust.org/Record/008991753</v>
      </c>
      <c r="J6679" s="1">
        <v>1869</v>
      </c>
      <c r="K6679" t="s">
        <v>4605</v>
      </c>
      <c r="L6679" t="s">
        <v>16306</v>
      </c>
    </row>
    <row r="6680" spans="1:12">
      <c r="A6680" t="s">
        <v>4606</v>
      </c>
      <c r="B6680" s="1" t="s">
        <v>4607</v>
      </c>
      <c r="F6680">
        <v>1</v>
      </c>
      <c r="G6680" t="str">
        <f>HYPERLINK("http://babel.hathitrust.org/cgi/pt?id=wu.89090360066")</f>
        <v>http://babel.hathitrust.org/cgi/pt?id=wu.89090360066</v>
      </c>
      <c r="H6680" t="str">
        <f>HYPERLINK("http://catalog.hathitrust.org/Record/008991754")</f>
        <v>http://catalog.hathitrust.org/Record/008991754</v>
      </c>
      <c r="J6680" s="1">
        <v>1890</v>
      </c>
      <c r="K6680" t="s">
        <v>4608</v>
      </c>
      <c r="L6680" t="s">
        <v>4609</v>
      </c>
    </row>
    <row r="6681" spans="1:12">
      <c r="A6681" t="s">
        <v>4610</v>
      </c>
      <c r="B6681" s="1" t="s">
        <v>4611</v>
      </c>
      <c r="F6681">
        <v>1</v>
      </c>
      <c r="G6681" t="str">
        <f>HYPERLINK("http://babel.hathitrust.org/cgi/pt?id=wu.89099896151")</f>
        <v>http://babel.hathitrust.org/cgi/pt?id=wu.89099896151</v>
      </c>
      <c r="H6681" t="str">
        <f>HYPERLINK("http://catalog.hathitrust.org/Record/008991758")</f>
        <v>http://catalog.hathitrust.org/Record/008991758</v>
      </c>
      <c r="J6681" s="1">
        <v>1889</v>
      </c>
      <c r="K6681" t="s">
        <v>4612</v>
      </c>
      <c r="L6681" t="s">
        <v>19601</v>
      </c>
    </row>
    <row r="6682" spans="1:12">
      <c r="A6682" t="s">
        <v>4613</v>
      </c>
      <c r="B6682" s="1" t="s">
        <v>4614</v>
      </c>
      <c r="F6682">
        <v>1</v>
      </c>
      <c r="G6682" t="str">
        <f>HYPERLINK("http://babel.hathitrust.org/cgi/pt?id=wu.89099903205")</f>
        <v>http://babel.hathitrust.org/cgi/pt?id=wu.89099903205</v>
      </c>
      <c r="H6682" t="str">
        <f>HYPERLINK("http://catalog.hathitrust.org/Record/008991759")</f>
        <v>http://catalog.hathitrust.org/Record/008991759</v>
      </c>
      <c r="J6682" s="1">
        <v>1895</v>
      </c>
      <c r="K6682" t="s">
        <v>4615</v>
      </c>
      <c r="L6682" t="s">
        <v>4616</v>
      </c>
    </row>
    <row r="6683" spans="1:12">
      <c r="A6683" t="s">
        <v>4617</v>
      </c>
      <c r="B6683" s="1" t="s">
        <v>4618</v>
      </c>
      <c r="F6683">
        <v>1</v>
      </c>
      <c r="G6683" t="str">
        <f>HYPERLINK("http://babel.hathitrust.org/cgi/pt?id=wu.89099903213")</f>
        <v>http://babel.hathitrust.org/cgi/pt?id=wu.89099903213</v>
      </c>
      <c r="H6683" t="str">
        <f>HYPERLINK("http://catalog.hathitrust.org/Record/008991760")</f>
        <v>http://catalog.hathitrust.org/Record/008991760</v>
      </c>
      <c r="J6683" s="1">
        <v>1896</v>
      </c>
      <c r="K6683" t="s">
        <v>4615</v>
      </c>
      <c r="L6683" t="s">
        <v>4616</v>
      </c>
    </row>
    <row r="6684" spans="1:12">
      <c r="A6684" t="s">
        <v>4619</v>
      </c>
      <c r="B6684" s="1" t="s">
        <v>4620</v>
      </c>
      <c r="F6684">
        <v>1</v>
      </c>
      <c r="G6684" t="str">
        <f>HYPERLINK("http://babel.hathitrust.org/cgi/pt?id=wu.89099903320")</f>
        <v>http://babel.hathitrust.org/cgi/pt?id=wu.89099903320</v>
      </c>
      <c r="H6684" t="str">
        <f>HYPERLINK("http://catalog.hathitrust.org/Record/008991779")</f>
        <v>http://catalog.hathitrust.org/Record/008991779</v>
      </c>
      <c r="J6684" s="1">
        <v>1912</v>
      </c>
      <c r="K6684" t="s">
        <v>4621</v>
      </c>
      <c r="L6684" t="s">
        <v>4622</v>
      </c>
    </row>
    <row r="6685" spans="1:12">
      <c r="A6685" t="s">
        <v>4623</v>
      </c>
      <c r="B6685" s="1" t="s">
        <v>4624</v>
      </c>
      <c r="F6685">
        <v>1</v>
      </c>
      <c r="G6685" t="str">
        <f>HYPERLINK("http://babel.hathitrust.org/cgi/pt?id=wu.89099903361")</f>
        <v>http://babel.hathitrust.org/cgi/pt?id=wu.89099903361</v>
      </c>
      <c r="H6685" t="str">
        <f>HYPERLINK("http://catalog.hathitrust.org/Record/008991782")</f>
        <v>http://catalog.hathitrust.org/Record/008991782</v>
      </c>
      <c r="J6685" s="1">
        <v>1900</v>
      </c>
      <c r="K6685" t="s">
        <v>9223</v>
      </c>
      <c r="L6685" t="s">
        <v>9216</v>
      </c>
    </row>
    <row r="6686" spans="1:12">
      <c r="A6686" t="s">
        <v>4625</v>
      </c>
      <c r="B6686" s="1" t="s">
        <v>4626</v>
      </c>
      <c r="F6686">
        <v>1</v>
      </c>
      <c r="G6686" t="str">
        <f>HYPERLINK("http://babel.hathitrust.org/cgi/pt?id=wu.89099903387")</f>
        <v>http://babel.hathitrust.org/cgi/pt?id=wu.89099903387</v>
      </c>
      <c r="H6686" t="str">
        <f>HYPERLINK("http://catalog.hathitrust.org/Record/008991783")</f>
        <v>http://catalog.hathitrust.org/Record/008991783</v>
      </c>
      <c r="J6686" s="1">
        <v>1896</v>
      </c>
      <c r="K6686" t="s">
        <v>4627</v>
      </c>
      <c r="L6686" t="s">
        <v>9216</v>
      </c>
    </row>
    <row r="6687" spans="1:12">
      <c r="A6687" t="s">
        <v>4628</v>
      </c>
      <c r="B6687" s="1" t="s">
        <v>4629</v>
      </c>
      <c r="F6687">
        <v>1</v>
      </c>
      <c r="G6687" t="str">
        <f>HYPERLINK("http://babel.hathitrust.org/cgi/pt?id=wu.89099903411")</f>
        <v>http://babel.hathitrust.org/cgi/pt?id=wu.89099903411</v>
      </c>
      <c r="H6687" t="str">
        <f>HYPERLINK("http://catalog.hathitrust.org/Record/008991786")</f>
        <v>http://catalog.hathitrust.org/Record/008991786</v>
      </c>
      <c r="I6687" s="1" t="s">
        <v>20916</v>
      </c>
      <c r="J6687" s="1">
        <v>1901</v>
      </c>
      <c r="K6687" t="s">
        <v>4532</v>
      </c>
      <c r="L6687" t="s">
        <v>4533</v>
      </c>
    </row>
    <row r="6688" spans="1:12">
      <c r="A6688" t="s">
        <v>4534</v>
      </c>
      <c r="B6688" s="1" t="s">
        <v>4629</v>
      </c>
      <c r="F6688">
        <v>1</v>
      </c>
      <c r="G6688" t="str">
        <f>HYPERLINK("http://babel.hathitrust.org/cgi/pt?id=wu.89099903429")</f>
        <v>http://babel.hathitrust.org/cgi/pt?id=wu.89099903429</v>
      </c>
      <c r="H6688" t="str">
        <f>HYPERLINK("http://catalog.hathitrust.org/Record/008991786")</f>
        <v>http://catalog.hathitrust.org/Record/008991786</v>
      </c>
      <c r="I6688" s="1" t="s">
        <v>20755</v>
      </c>
      <c r="J6688" s="1">
        <v>1901</v>
      </c>
      <c r="K6688" t="s">
        <v>4532</v>
      </c>
      <c r="L6688" t="s">
        <v>4533</v>
      </c>
    </row>
    <row r="6689" spans="1:12">
      <c r="A6689" t="s">
        <v>4535</v>
      </c>
      <c r="B6689" s="1" t="s">
        <v>4536</v>
      </c>
      <c r="F6689">
        <v>1</v>
      </c>
      <c r="G6689" t="str">
        <f>HYPERLINK("http://babel.hathitrust.org/cgi/pt?id=wu.89099903494")</f>
        <v>http://babel.hathitrust.org/cgi/pt?id=wu.89099903494</v>
      </c>
      <c r="H6689" t="str">
        <f>HYPERLINK("http://catalog.hathitrust.org/Record/008991789")</f>
        <v>http://catalog.hathitrust.org/Record/008991789</v>
      </c>
      <c r="J6689" s="1">
        <v>1838</v>
      </c>
      <c r="K6689" t="s">
        <v>4537</v>
      </c>
      <c r="L6689" t="s">
        <v>4538</v>
      </c>
    </row>
    <row r="6690" spans="1:12">
      <c r="A6690" t="s">
        <v>4539</v>
      </c>
      <c r="B6690" s="1" t="s">
        <v>4540</v>
      </c>
      <c r="F6690">
        <v>1</v>
      </c>
      <c r="G6690" t="str">
        <f>HYPERLINK("http://babel.hathitrust.org/cgi/pt?id=wu.89099903593")</f>
        <v>http://babel.hathitrust.org/cgi/pt?id=wu.89099903593</v>
      </c>
      <c r="H6690" t="str">
        <f>HYPERLINK("http://catalog.hathitrust.org/Record/008991795")</f>
        <v>http://catalog.hathitrust.org/Record/008991795</v>
      </c>
      <c r="J6690" s="1">
        <v>1855</v>
      </c>
      <c r="K6690" t="s">
        <v>4541</v>
      </c>
      <c r="L6690" t="s">
        <v>4925</v>
      </c>
    </row>
    <row r="6691" spans="1:12">
      <c r="A6691" t="s">
        <v>4542</v>
      </c>
      <c r="B6691" s="1" t="s">
        <v>4543</v>
      </c>
      <c r="E6691">
        <v>1</v>
      </c>
      <c r="F6691">
        <v>1</v>
      </c>
      <c r="G6691" t="str">
        <f>HYPERLINK("http://babel.hathitrust.org/cgi/pt?id=wu.89099903650")</f>
        <v>http://babel.hathitrust.org/cgi/pt?id=wu.89099903650</v>
      </c>
      <c r="H6691" t="str">
        <f>HYPERLINK("http://catalog.hathitrust.org/Record/008991799")</f>
        <v>http://catalog.hathitrust.org/Record/008991799</v>
      </c>
      <c r="J6691" s="1">
        <v>1870</v>
      </c>
      <c r="K6691" t="s">
        <v>4544</v>
      </c>
      <c r="L6691" t="s">
        <v>4545</v>
      </c>
    </row>
    <row r="6692" spans="1:12">
      <c r="A6692" t="s">
        <v>4546</v>
      </c>
      <c r="B6692" s="1" t="s">
        <v>4547</v>
      </c>
      <c r="F6692">
        <v>1</v>
      </c>
      <c r="G6692" t="str">
        <f>HYPERLINK("http://babel.hathitrust.org/cgi/pt?id=wu.89099903767")</f>
        <v>http://babel.hathitrust.org/cgi/pt?id=wu.89099903767</v>
      </c>
      <c r="H6692" t="str">
        <f>HYPERLINK("http://catalog.hathitrust.org/Record/008991807")</f>
        <v>http://catalog.hathitrust.org/Record/008991807</v>
      </c>
      <c r="J6692" s="1">
        <v>1856</v>
      </c>
      <c r="K6692" t="s">
        <v>4548</v>
      </c>
      <c r="L6692" t="s">
        <v>4549</v>
      </c>
    </row>
    <row r="6693" spans="1:12">
      <c r="A6693" t="s">
        <v>4550</v>
      </c>
      <c r="B6693" s="1" t="s">
        <v>4551</v>
      </c>
      <c r="F6693">
        <v>1</v>
      </c>
      <c r="G6693" t="str">
        <f>HYPERLINK("http://babel.hathitrust.org/cgi/pt?id=wu.89099904013")</f>
        <v>http://babel.hathitrust.org/cgi/pt?id=wu.89099904013</v>
      </c>
      <c r="H6693" t="str">
        <f>HYPERLINK("http://catalog.hathitrust.org/Record/008991813")</f>
        <v>http://catalog.hathitrust.org/Record/008991813</v>
      </c>
      <c r="J6693" s="1">
        <v>1921</v>
      </c>
      <c r="K6693" t="s">
        <v>4552</v>
      </c>
      <c r="L6693" t="s">
        <v>4553</v>
      </c>
    </row>
    <row r="6694" spans="1:12">
      <c r="A6694" t="s">
        <v>4554</v>
      </c>
      <c r="B6694" s="1" t="s">
        <v>4555</v>
      </c>
      <c r="F6694">
        <v>1</v>
      </c>
      <c r="G6694" t="str">
        <f>HYPERLINK("http://babel.hathitrust.org/cgi/pt?id=wu.89099904104")</f>
        <v>http://babel.hathitrust.org/cgi/pt?id=wu.89099904104</v>
      </c>
      <c r="H6694" t="str">
        <f>HYPERLINK("http://catalog.hathitrust.org/Record/008991816")</f>
        <v>http://catalog.hathitrust.org/Record/008991816</v>
      </c>
      <c r="J6694" s="1">
        <v>1937</v>
      </c>
      <c r="K6694" t="s">
        <v>4556</v>
      </c>
      <c r="L6694" t="s">
        <v>4557</v>
      </c>
    </row>
    <row r="6695" spans="1:12">
      <c r="A6695" t="s">
        <v>4558</v>
      </c>
      <c r="B6695" s="1" t="s">
        <v>4559</v>
      </c>
      <c r="E6695">
        <v>1</v>
      </c>
      <c r="F6695">
        <v>1</v>
      </c>
      <c r="G6695" t="str">
        <f>HYPERLINK("http://babel.hathitrust.org/cgi/pt?id=wu.89099428112")</f>
        <v>http://babel.hathitrust.org/cgi/pt?id=wu.89099428112</v>
      </c>
      <c r="H6695" t="str">
        <f>HYPERLINK("http://catalog.hathitrust.org/Record/008991822")</f>
        <v>http://catalog.hathitrust.org/Record/008991822</v>
      </c>
      <c r="J6695" s="1">
        <v>1880</v>
      </c>
      <c r="K6695" t="s">
        <v>4560</v>
      </c>
      <c r="L6695" t="s">
        <v>18991</v>
      </c>
    </row>
    <row r="6696" spans="1:12">
      <c r="A6696" t="s">
        <v>4561</v>
      </c>
      <c r="B6696" s="1" t="s">
        <v>4562</v>
      </c>
      <c r="F6696">
        <v>1</v>
      </c>
      <c r="G6696" t="str">
        <f>HYPERLINK("http://babel.hathitrust.org/cgi/pt?id=wu.89099428187")</f>
        <v>http://babel.hathitrust.org/cgi/pt?id=wu.89099428187</v>
      </c>
      <c r="H6696" t="str">
        <f>HYPERLINK("http://catalog.hathitrust.org/Record/008991824")</f>
        <v>http://catalog.hathitrust.org/Record/008991824</v>
      </c>
      <c r="J6696" s="1">
        <v>1893</v>
      </c>
      <c r="K6696" t="s">
        <v>4563</v>
      </c>
      <c r="L6696" t="s">
        <v>4564</v>
      </c>
    </row>
    <row r="6697" spans="1:12">
      <c r="A6697" t="s">
        <v>4565</v>
      </c>
      <c r="B6697" s="1" t="s">
        <v>4566</v>
      </c>
      <c r="F6697">
        <v>1</v>
      </c>
      <c r="G6697" t="str">
        <f>HYPERLINK("http://babel.hathitrust.org/cgi/pt?id=wu.89099428203")</f>
        <v>http://babel.hathitrust.org/cgi/pt?id=wu.89099428203</v>
      </c>
      <c r="H6697" t="str">
        <f>HYPERLINK("http://catalog.hathitrust.org/Record/008991825")</f>
        <v>http://catalog.hathitrust.org/Record/008991825</v>
      </c>
      <c r="J6697" s="1">
        <v>1847</v>
      </c>
      <c r="K6697" t="s">
        <v>4567</v>
      </c>
      <c r="L6697" t="s">
        <v>4568</v>
      </c>
    </row>
    <row r="6698" spans="1:12">
      <c r="A6698" t="s">
        <v>4569</v>
      </c>
      <c r="B6698" s="1" t="s">
        <v>4570</v>
      </c>
      <c r="F6698">
        <v>1</v>
      </c>
      <c r="G6698" t="str">
        <f>HYPERLINK("http://babel.hathitrust.org/cgi/pt?id=wu.89099428211")</f>
        <v>http://babel.hathitrust.org/cgi/pt?id=wu.89099428211</v>
      </c>
      <c r="H6698" t="str">
        <f>HYPERLINK("http://catalog.hathitrust.org/Record/008991826")</f>
        <v>http://catalog.hathitrust.org/Record/008991826</v>
      </c>
      <c r="J6698" s="1">
        <v>1824</v>
      </c>
      <c r="K6698" t="s">
        <v>4571</v>
      </c>
      <c r="L6698" t="s">
        <v>4572</v>
      </c>
    </row>
    <row r="6699" spans="1:12">
      <c r="A6699" t="s">
        <v>4573</v>
      </c>
      <c r="B6699" s="1" t="s">
        <v>4574</v>
      </c>
      <c r="F6699">
        <v>1</v>
      </c>
      <c r="G6699" t="str">
        <f>HYPERLINK("http://babel.hathitrust.org/cgi/pt?id=wu.89089195291")</f>
        <v>http://babel.hathitrust.org/cgi/pt?id=wu.89089195291</v>
      </c>
      <c r="H6699" t="str">
        <f>HYPERLINK("http://catalog.hathitrust.org/Record/008991832")</f>
        <v>http://catalog.hathitrust.org/Record/008991832</v>
      </c>
      <c r="J6699" s="1">
        <v>1848</v>
      </c>
      <c r="K6699" t="s">
        <v>4575</v>
      </c>
      <c r="L6699" t="s">
        <v>4576</v>
      </c>
    </row>
    <row r="6700" spans="1:12">
      <c r="A6700" t="s">
        <v>4577</v>
      </c>
      <c r="B6700" s="1" t="s">
        <v>4578</v>
      </c>
      <c r="F6700">
        <v>1</v>
      </c>
      <c r="G6700" t="str">
        <f>HYPERLINK("http://babel.hathitrust.org/cgi/pt?id=wu.89089193379")</f>
        <v>http://babel.hathitrust.org/cgi/pt?id=wu.89089193379</v>
      </c>
      <c r="H6700" t="str">
        <f>HYPERLINK("http://catalog.hathitrust.org/Record/008991833")</f>
        <v>http://catalog.hathitrust.org/Record/008991833</v>
      </c>
      <c r="J6700" s="1">
        <v>1875</v>
      </c>
      <c r="K6700" t="s">
        <v>4492</v>
      </c>
      <c r="L6700" t="s">
        <v>4493</v>
      </c>
    </row>
    <row r="6701" spans="1:12">
      <c r="A6701" t="s">
        <v>4494</v>
      </c>
      <c r="B6701" s="1" t="s">
        <v>4495</v>
      </c>
      <c r="F6701">
        <v>1</v>
      </c>
      <c r="G6701" t="str">
        <f>HYPERLINK("http://babel.hathitrust.org/cgi/pt?id=wu.89048894802")</f>
        <v>http://babel.hathitrust.org/cgi/pt?id=wu.89048894802</v>
      </c>
      <c r="H6701" t="str">
        <f>HYPERLINK("http://catalog.hathitrust.org/Record/008991835")</f>
        <v>http://catalog.hathitrust.org/Record/008991835</v>
      </c>
      <c r="J6701" s="1">
        <v>1873</v>
      </c>
      <c r="K6701" t="s">
        <v>4496</v>
      </c>
      <c r="L6701" t="s">
        <v>19827</v>
      </c>
    </row>
    <row r="6702" spans="1:12">
      <c r="A6702" t="s">
        <v>4497</v>
      </c>
      <c r="B6702" s="1" t="s">
        <v>4498</v>
      </c>
      <c r="E6702">
        <v>1</v>
      </c>
      <c r="F6702">
        <v>1</v>
      </c>
      <c r="G6702" t="str">
        <f>HYPERLINK("http://babel.hathitrust.org/cgi/pt?id=wu.89099428252")</f>
        <v>http://babel.hathitrust.org/cgi/pt?id=wu.89099428252</v>
      </c>
      <c r="H6702" t="str">
        <f>HYPERLINK("http://catalog.hathitrust.org/Record/008991836")</f>
        <v>http://catalog.hathitrust.org/Record/008991836</v>
      </c>
      <c r="J6702" s="1">
        <v>1839</v>
      </c>
      <c r="K6702" t="s">
        <v>4499</v>
      </c>
      <c r="L6702" t="s">
        <v>4500</v>
      </c>
    </row>
    <row r="6703" spans="1:12">
      <c r="A6703" t="s">
        <v>4501</v>
      </c>
      <c r="B6703" s="1" t="s">
        <v>4502</v>
      </c>
      <c r="F6703">
        <v>1</v>
      </c>
      <c r="G6703" t="str">
        <f>HYPERLINK("http://babel.hathitrust.org/cgi/pt?id=wu.89089193338")</f>
        <v>http://babel.hathitrust.org/cgi/pt?id=wu.89089193338</v>
      </c>
      <c r="H6703" t="str">
        <f>HYPERLINK("http://catalog.hathitrust.org/Record/008991839")</f>
        <v>http://catalog.hathitrust.org/Record/008991839</v>
      </c>
      <c r="J6703" s="1">
        <v>1866</v>
      </c>
      <c r="K6703" t="s">
        <v>4503</v>
      </c>
      <c r="L6703" t="s">
        <v>7727</v>
      </c>
    </row>
    <row r="6704" spans="1:12">
      <c r="A6704" t="s">
        <v>4504</v>
      </c>
      <c r="B6704" s="1" t="s">
        <v>4505</v>
      </c>
      <c r="F6704">
        <v>1</v>
      </c>
      <c r="G6704" t="str">
        <f>HYPERLINK("http://babel.hathitrust.org/cgi/pt?id=wu.89099428302")</f>
        <v>http://babel.hathitrust.org/cgi/pt?id=wu.89099428302</v>
      </c>
      <c r="H6704" t="str">
        <f>HYPERLINK("http://catalog.hathitrust.org/Record/008991840")</f>
        <v>http://catalog.hathitrust.org/Record/008991840</v>
      </c>
      <c r="J6704" s="1">
        <v>1867</v>
      </c>
      <c r="K6704" t="s">
        <v>4506</v>
      </c>
      <c r="L6704" t="s">
        <v>4507</v>
      </c>
    </row>
    <row r="6705" spans="1:12">
      <c r="A6705" t="s">
        <v>4508</v>
      </c>
      <c r="B6705" s="1" t="s">
        <v>4509</v>
      </c>
      <c r="F6705">
        <v>1</v>
      </c>
      <c r="G6705" t="str">
        <f>HYPERLINK("http://babel.hathitrust.org/cgi/pt?id=wu.89099428328")</f>
        <v>http://babel.hathitrust.org/cgi/pt?id=wu.89099428328</v>
      </c>
      <c r="H6705" t="str">
        <f>HYPERLINK("http://catalog.hathitrust.org/Record/008991841")</f>
        <v>http://catalog.hathitrust.org/Record/008991841</v>
      </c>
      <c r="J6705" s="1">
        <v>1899</v>
      </c>
      <c r="K6705" t="s">
        <v>4510</v>
      </c>
      <c r="L6705" t="s">
        <v>4511</v>
      </c>
    </row>
    <row r="6706" spans="1:12">
      <c r="A6706" t="s">
        <v>4512</v>
      </c>
      <c r="B6706" s="1" t="s">
        <v>4513</v>
      </c>
      <c r="F6706">
        <v>1</v>
      </c>
      <c r="G6706" t="str">
        <f>HYPERLINK("http://babel.hathitrust.org/cgi/pt?id=wu.89099428336")</f>
        <v>http://babel.hathitrust.org/cgi/pt?id=wu.89099428336</v>
      </c>
      <c r="H6706" t="str">
        <f>HYPERLINK("http://catalog.hathitrust.org/Record/008991842")</f>
        <v>http://catalog.hathitrust.org/Record/008991842</v>
      </c>
      <c r="J6706" s="1">
        <v>1881</v>
      </c>
      <c r="K6706" t="s">
        <v>4514</v>
      </c>
      <c r="L6706" t="s">
        <v>4515</v>
      </c>
    </row>
    <row r="6707" spans="1:12">
      <c r="A6707" t="s">
        <v>4516</v>
      </c>
      <c r="B6707" s="1" t="s">
        <v>4517</v>
      </c>
      <c r="F6707">
        <v>1</v>
      </c>
      <c r="G6707" t="str">
        <f>HYPERLINK("http://babel.hathitrust.org/cgi/pt?id=wu.89099428351")</f>
        <v>http://babel.hathitrust.org/cgi/pt?id=wu.89099428351</v>
      </c>
      <c r="H6707" t="str">
        <f>HYPERLINK("http://catalog.hathitrust.org/Record/008991844")</f>
        <v>http://catalog.hathitrust.org/Record/008991844</v>
      </c>
      <c r="J6707" s="1">
        <v>1871</v>
      </c>
      <c r="K6707" t="s">
        <v>4518</v>
      </c>
      <c r="L6707" t="s">
        <v>4519</v>
      </c>
    </row>
    <row r="6708" spans="1:12">
      <c r="A6708" t="s">
        <v>4520</v>
      </c>
      <c r="B6708" s="1" t="s">
        <v>4521</v>
      </c>
      <c r="E6708">
        <v>1</v>
      </c>
      <c r="F6708">
        <v>1</v>
      </c>
      <c r="G6708" t="str">
        <f>HYPERLINK("http://babel.hathitrust.org/cgi/pt?id=wu.89099428369")</f>
        <v>http://babel.hathitrust.org/cgi/pt?id=wu.89099428369</v>
      </c>
      <c r="H6708" t="str">
        <f>HYPERLINK("http://catalog.hathitrust.org/Record/008991845")</f>
        <v>http://catalog.hathitrust.org/Record/008991845</v>
      </c>
      <c r="J6708" s="1">
        <v>1871</v>
      </c>
      <c r="K6708" t="s">
        <v>4522</v>
      </c>
      <c r="L6708" t="s">
        <v>4523</v>
      </c>
    </row>
    <row r="6709" spans="1:12">
      <c r="A6709" t="s">
        <v>4524</v>
      </c>
      <c r="B6709" s="1" t="s">
        <v>4525</v>
      </c>
      <c r="E6709">
        <v>1</v>
      </c>
      <c r="F6709">
        <v>1</v>
      </c>
      <c r="G6709" t="str">
        <f>HYPERLINK("http://babel.hathitrust.org/cgi/pt?id=wu.89090360041")</f>
        <v>http://babel.hathitrust.org/cgi/pt?id=wu.89090360041</v>
      </c>
      <c r="H6709" t="str">
        <f>HYPERLINK("http://catalog.hathitrust.org/Record/008991847")</f>
        <v>http://catalog.hathitrust.org/Record/008991847</v>
      </c>
      <c r="J6709" s="1">
        <v>1880</v>
      </c>
      <c r="K6709" t="s">
        <v>4615</v>
      </c>
      <c r="L6709" t="s">
        <v>4526</v>
      </c>
    </row>
    <row r="6710" spans="1:12">
      <c r="A6710" t="s">
        <v>4527</v>
      </c>
      <c r="B6710" s="1" t="s">
        <v>4528</v>
      </c>
      <c r="F6710">
        <v>1</v>
      </c>
      <c r="G6710" t="str">
        <f>HYPERLINK("http://babel.hathitrust.org/cgi/pt?id=wu.89099428393")</f>
        <v>http://babel.hathitrust.org/cgi/pt?id=wu.89099428393</v>
      </c>
      <c r="H6710" t="str">
        <f>HYPERLINK("http://catalog.hathitrust.org/Record/008991850")</f>
        <v>http://catalog.hathitrust.org/Record/008991850</v>
      </c>
      <c r="J6710" s="1">
        <v>1883</v>
      </c>
      <c r="K6710" t="s">
        <v>4529</v>
      </c>
      <c r="L6710" t="s">
        <v>12035</v>
      </c>
    </row>
    <row r="6711" spans="1:12">
      <c r="A6711" t="s">
        <v>4530</v>
      </c>
      <c r="B6711" s="1" t="s">
        <v>4531</v>
      </c>
      <c r="E6711">
        <v>1</v>
      </c>
      <c r="G6711" t="str">
        <f>HYPERLINK("http://babel.hathitrust.org/cgi/pt?id=wu.89099428435")</f>
        <v>http://babel.hathitrust.org/cgi/pt?id=wu.89099428435</v>
      </c>
      <c r="H6711" t="str">
        <f>HYPERLINK("http://catalog.hathitrust.org/Record/008991852")</f>
        <v>http://catalog.hathitrust.org/Record/008991852</v>
      </c>
      <c r="J6711" s="1">
        <v>1826</v>
      </c>
      <c r="K6711" t="s">
        <v>4456</v>
      </c>
      <c r="L6711" t="s">
        <v>11854</v>
      </c>
    </row>
    <row r="6712" spans="1:12">
      <c r="A6712" t="s">
        <v>4457</v>
      </c>
      <c r="B6712" s="1" t="s">
        <v>4458</v>
      </c>
      <c r="F6712">
        <v>1</v>
      </c>
      <c r="G6712" t="str">
        <f>HYPERLINK("http://babel.hathitrust.org/cgi/pt?id=wu.89099428450")</f>
        <v>http://babel.hathitrust.org/cgi/pt?id=wu.89099428450</v>
      </c>
      <c r="H6712" t="str">
        <f>HYPERLINK("http://catalog.hathitrust.org/Record/008991854")</f>
        <v>http://catalog.hathitrust.org/Record/008991854</v>
      </c>
      <c r="J6712" s="1">
        <v>1895</v>
      </c>
      <c r="K6712" t="s">
        <v>4459</v>
      </c>
      <c r="L6712" t="s">
        <v>4460</v>
      </c>
    </row>
    <row r="6713" spans="1:12">
      <c r="A6713" t="s">
        <v>4461</v>
      </c>
      <c r="B6713" s="1" t="s">
        <v>4462</v>
      </c>
      <c r="F6713">
        <v>1</v>
      </c>
      <c r="G6713" t="str">
        <f>HYPERLINK("http://babel.hathitrust.org/cgi/pt?id=wu.89090360389")</f>
        <v>http://babel.hathitrust.org/cgi/pt?id=wu.89090360389</v>
      </c>
      <c r="H6713" t="str">
        <f>HYPERLINK("http://catalog.hathitrust.org/Record/008991858")</f>
        <v>http://catalog.hathitrust.org/Record/008991858</v>
      </c>
      <c r="J6713" s="1">
        <v>1854</v>
      </c>
      <c r="K6713" t="s">
        <v>5735</v>
      </c>
      <c r="L6713" t="s">
        <v>12780</v>
      </c>
    </row>
    <row r="6714" spans="1:12">
      <c r="A6714" t="s">
        <v>4463</v>
      </c>
      <c r="B6714" s="1" t="s">
        <v>4464</v>
      </c>
      <c r="E6714">
        <v>1</v>
      </c>
      <c r="F6714">
        <v>1</v>
      </c>
      <c r="G6714" t="str">
        <f>HYPERLINK("http://babel.hathitrust.org/cgi/pt?id=wu.89090360355")</f>
        <v>http://babel.hathitrust.org/cgi/pt?id=wu.89090360355</v>
      </c>
      <c r="H6714" t="str">
        <f>HYPERLINK("http://catalog.hathitrust.org/Record/008991859")</f>
        <v>http://catalog.hathitrust.org/Record/008991859</v>
      </c>
      <c r="J6714" s="1">
        <v>1849</v>
      </c>
      <c r="K6714" t="s">
        <v>4465</v>
      </c>
      <c r="L6714" t="s">
        <v>12780</v>
      </c>
    </row>
    <row r="6715" spans="1:12">
      <c r="A6715" t="s">
        <v>4466</v>
      </c>
      <c r="B6715" s="1" t="s">
        <v>4467</v>
      </c>
      <c r="E6715">
        <v>1</v>
      </c>
      <c r="F6715">
        <v>1</v>
      </c>
      <c r="G6715" t="str">
        <f>HYPERLINK("http://babel.hathitrust.org/cgi/pt?id=wu.89099428534")</f>
        <v>http://babel.hathitrust.org/cgi/pt?id=wu.89099428534</v>
      </c>
      <c r="H6715" t="str">
        <f>HYPERLINK("http://catalog.hathitrust.org/Record/008991861")</f>
        <v>http://catalog.hathitrust.org/Record/008991861</v>
      </c>
      <c r="J6715" s="1">
        <v>1845</v>
      </c>
      <c r="K6715" t="s">
        <v>4468</v>
      </c>
      <c r="L6715" t="s">
        <v>12780</v>
      </c>
    </row>
    <row r="6716" spans="1:12">
      <c r="A6716" t="s">
        <v>4469</v>
      </c>
      <c r="B6716" s="1" t="s">
        <v>4470</v>
      </c>
      <c r="F6716">
        <v>1</v>
      </c>
      <c r="G6716" t="str">
        <f>HYPERLINK("http://babel.hathitrust.org/cgi/pt?id=wu.89099896730")</f>
        <v>http://babel.hathitrust.org/cgi/pt?id=wu.89099896730</v>
      </c>
      <c r="H6716" t="str">
        <f>HYPERLINK("http://catalog.hathitrust.org/Record/008991863")</f>
        <v>http://catalog.hathitrust.org/Record/008991863</v>
      </c>
      <c r="J6716" s="1">
        <v>1867</v>
      </c>
      <c r="K6716" t="s">
        <v>4471</v>
      </c>
      <c r="L6716" t="s">
        <v>4929</v>
      </c>
    </row>
    <row r="6717" spans="1:12">
      <c r="A6717" t="s">
        <v>4472</v>
      </c>
      <c r="B6717" s="1" t="s">
        <v>4473</v>
      </c>
      <c r="D6717">
        <v>1</v>
      </c>
      <c r="G6717" t="str">
        <f>HYPERLINK("http://babel.hathitrust.org/cgi/pt?id=wu.89099896763")</f>
        <v>http://babel.hathitrust.org/cgi/pt?id=wu.89099896763</v>
      </c>
      <c r="H6717" t="str">
        <f>HYPERLINK("http://catalog.hathitrust.org/Record/008991864")</f>
        <v>http://catalog.hathitrust.org/Record/008991864</v>
      </c>
      <c r="J6717" s="1">
        <v>1835</v>
      </c>
      <c r="K6717" t="s">
        <v>4474</v>
      </c>
      <c r="L6717" t="s">
        <v>20043</v>
      </c>
    </row>
    <row r="6718" spans="1:12">
      <c r="A6718" t="s">
        <v>4475</v>
      </c>
      <c r="B6718" s="1" t="s">
        <v>4476</v>
      </c>
      <c r="F6718">
        <v>1</v>
      </c>
      <c r="G6718" t="str">
        <f>HYPERLINK("http://babel.hathitrust.org/cgi/pt?id=wu.89099896771")</f>
        <v>http://babel.hathitrust.org/cgi/pt?id=wu.89099896771</v>
      </c>
      <c r="H6718" t="str">
        <f>HYPERLINK("http://catalog.hathitrust.org/Record/008991865")</f>
        <v>http://catalog.hathitrust.org/Record/008991865</v>
      </c>
      <c r="I6718" s="1" t="s">
        <v>20916</v>
      </c>
      <c r="J6718" s="1">
        <v>1882</v>
      </c>
      <c r="K6718" t="s">
        <v>4477</v>
      </c>
      <c r="L6718" t="s">
        <v>11905</v>
      </c>
    </row>
    <row r="6719" spans="1:12">
      <c r="A6719" t="s">
        <v>4478</v>
      </c>
      <c r="B6719" s="1" t="s">
        <v>4479</v>
      </c>
      <c r="F6719">
        <v>1</v>
      </c>
      <c r="G6719" t="str">
        <f>HYPERLINK("http://babel.hathitrust.org/cgi/pt?id=wu.89099896805")</f>
        <v>http://babel.hathitrust.org/cgi/pt?id=wu.89099896805</v>
      </c>
      <c r="H6719" t="str">
        <f>HYPERLINK("http://catalog.hathitrust.org/Record/008991866")</f>
        <v>http://catalog.hathitrust.org/Record/008991866</v>
      </c>
      <c r="J6719" s="1">
        <v>1845</v>
      </c>
      <c r="K6719" t="s">
        <v>4480</v>
      </c>
      <c r="L6719" t="s">
        <v>4481</v>
      </c>
    </row>
    <row r="6720" spans="1:12">
      <c r="A6720" t="s">
        <v>4482</v>
      </c>
      <c r="B6720" s="1" t="s">
        <v>4483</v>
      </c>
      <c r="F6720">
        <v>1</v>
      </c>
      <c r="G6720" t="str">
        <f>HYPERLINK("http://babel.hathitrust.org/cgi/pt?id=wu.89099896847")</f>
        <v>http://babel.hathitrust.org/cgi/pt?id=wu.89099896847</v>
      </c>
      <c r="H6720" t="str">
        <f>HYPERLINK("http://catalog.hathitrust.org/Record/008991868")</f>
        <v>http://catalog.hathitrust.org/Record/008991868</v>
      </c>
      <c r="J6720" s="1">
        <v>1884</v>
      </c>
      <c r="K6720" t="s">
        <v>4484</v>
      </c>
      <c r="L6720" t="s">
        <v>17959</v>
      </c>
    </row>
    <row r="6721" spans="1:12">
      <c r="A6721" t="s">
        <v>4485</v>
      </c>
      <c r="B6721" s="1" t="s">
        <v>4486</v>
      </c>
      <c r="E6721">
        <v>1</v>
      </c>
      <c r="F6721">
        <v>1</v>
      </c>
      <c r="G6721" t="str">
        <f>HYPERLINK("http://babel.hathitrust.org/cgi/pt?id=wu.89089192405")</f>
        <v>http://babel.hathitrust.org/cgi/pt?id=wu.89089192405</v>
      </c>
      <c r="H6721" t="str">
        <f>HYPERLINK("http://catalog.hathitrust.org/Record/008991872")</f>
        <v>http://catalog.hathitrust.org/Record/008991872</v>
      </c>
      <c r="J6721" s="1">
        <v>1854</v>
      </c>
      <c r="K6721" t="s">
        <v>4487</v>
      </c>
      <c r="L6721" t="s">
        <v>12780</v>
      </c>
    </row>
    <row r="6722" spans="1:12">
      <c r="A6722" t="s">
        <v>4488</v>
      </c>
      <c r="B6722" s="1" t="s">
        <v>4489</v>
      </c>
      <c r="F6722">
        <v>1</v>
      </c>
      <c r="G6722" t="str">
        <f>HYPERLINK("http://babel.hathitrust.org/cgi/pt?id=wu.89090360298")</f>
        <v>http://babel.hathitrust.org/cgi/pt?id=wu.89090360298</v>
      </c>
      <c r="H6722" t="str">
        <f>HYPERLINK("http://catalog.hathitrust.org/Record/008991873")</f>
        <v>http://catalog.hathitrust.org/Record/008991873</v>
      </c>
      <c r="J6722" s="1">
        <v>1864</v>
      </c>
      <c r="K6722" t="s">
        <v>4490</v>
      </c>
      <c r="L6722" t="s">
        <v>4491</v>
      </c>
    </row>
    <row r="6723" spans="1:12">
      <c r="A6723" t="s">
        <v>4408</v>
      </c>
      <c r="B6723" s="1" t="s">
        <v>4409</v>
      </c>
      <c r="F6723">
        <v>1</v>
      </c>
      <c r="G6723" t="str">
        <f>HYPERLINK("http://babel.hathitrust.org/cgi/pt?id=wu.89104409610")</f>
        <v>http://babel.hathitrust.org/cgi/pt?id=wu.89104409610</v>
      </c>
      <c r="H6723" t="str">
        <f>HYPERLINK("http://catalog.hathitrust.org/Record/008991875")</f>
        <v>http://catalog.hathitrust.org/Record/008991875</v>
      </c>
      <c r="J6723" s="1">
        <v>1875</v>
      </c>
      <c r="K6723" t="s">
        <v>4410</v>
      </c>
      <c r="L6723" t="s">
        <v>4491</v>
      </c>
    </row>
    <row r="6724" spans="1:12">
      <c r="A6724" t="s">
        <v>4411</v>
      </c>
      <c r="B6724" s="1" t="s">
        <v>4412</v>
      </c>
      <c r="F6724">
        <v>1</v>
      </c>
      <c r="G6724" t="str">
        <f>HYPERLINK("http://babel.hathitrust.org/cgi/pt?id=wu.89099428567")</f>
        <v>http://babel.hathitrust.org/cgi/pt?id=wu.89099428567</v>
      </c>
      <c r="H6724" t="str">
        <f>HYPERLINK("http://catalog.hathitrust.org/Record/008991876")</f>
        <v>http://catalog.hathitrust.org/Record/008991876</v>
      </c>
      <c r="J6724" s="1">
        <v>1868</v>
      </c>
      <c r="K6724" t="s">
        <v>4413</v>
      </c>
      <c r="L6724" t="s">
        <v>4414</v>
      </c>
    </row>
    <row r="6725" spans="1:12">
      <c r="A6725" t="s">
        <v>4415</v>
      </c>
      <c r="B6725" s="1" t="s">
        <v>4416</v>
      </c>
      <c r="F6725">
        <v>1</v>
      </c>
      <c r="G6725" t="str">
        <f>HYPERLINK("http://babel.hathitrust.org/cgi/pt?id=wu.89089192462")</f>
        <v>http://babel.hathitrust.org/cgi/pt?id=wu.89089192462</v>
      </c>
      <c r="H6725" t="str">
        <f>HYPERLINK("http://catalog.hathitrust.org/Record/008991877")</f>
        <v>http://catalog.hathitrust.org/Record/008991877</v>
      </c>
      <c r="J6725" s="1">
        <v>1869</v>
      </c>
      <c r="K6725" t="s">
        <v>4413</v>
      </c>
      <c r="L6725" t="s">
        <v>4414</v>
      </c>
    </row>
    <row r="6726" spans="1:12">
      <c r="A6726" t="s">
        <v>4417</v>
      </c>
      <c r="B6726" s="1" t="s">
        <v>4418</v>
      </c>
      <c r="F6726">
        <v>1</v>
      </c>
      <c r="G6726" t="str">
        <f>HYPERLINK("http://babel.hathitrust.org/cgi/pt?id=wu.89099428583")</f>
        <v>http://babel.hathitrust.org/cgi/pt?id=wu.89099428583</v>
      </c>
      <c r="H6726" t="str">
        <f>HYPERLINK("http://catalog.hathitrust.org/Record/008991878")</f>
        <v>http://catalog.hathitrust.org/Record/008991878</v>
      </c>
      <c r="J6726" s="1">
        <v>1884</v>
      </c>
      <c r="K6726" t="s">
        <v>4419</v>
      </c>
      <c r="L6726" t="s">
        <v>4420</v>
      </c>
    </row>
    <row r="6727" spans="1:12">
      <c r="A6727" t="s">
        <v>4421</v>
      </c>
      <c r="B6727" s="1" t="s">
        <v>4422</v>
      </c>
      <c r="F6727">
        <v>1</v>
      </c>
      <c r="G6727" t="str">
        <f>HYPERLINK("http://babel.hathitrust.org/cgi/pt?id=hvd.32044081502106")</f>
        <v>http://babel.hathitrust.org/cgi/pt?id=hvd.32044081502106</v>
      </c>
      <c r="H6727" t="str">
        <f>HYPERLINK("http://catalog.hathitrust.org/Record/008991879")</f>
        <v>http://catalog.hathitrust.org/Record/008991879</v>
      </c>
      <c r="J6727" s="1">
        <v>1862</v>
      </c>
      <c r="K6727" t="s">
        <v>4423</v>
      </c>
      <c r="L6727" t="s">
        <v>4424</v>
      </c>
    </row>
    <row r="6728" spans="1:12">
      <c r="A6728" t="s">
        <v>4425</v>
      </c>
      <c r="B6728" s="1" t="s">
        <v>4426</v>
      </c>
      <c r="F6728">
        <v>1</v>
      </c>
      <c r="G6728" t="str">
        <f>HYPERLINK("http://babel.hathitrust.org/cgi/pt?id=wu.89099428625")</f>
        <v>http://babel.hathitrust.org/cgi/pt?id=wu.89099428625</v>
      </c>
      <c r="H6728" t="str">
        <f>HYPERLINK("http://catalog.hathitrust.org/Record/008991880")</f>
        <v>http://catalog.hathitrust.org/Record/008991880</v>
      </c>
      <c r="J6728" s="1">
        <v>1860</v>
      </c>
      <c r="K6728" t="s">
        <v>4427</v>
      </c>
      <c r="L6728" t="s">
        <v>12785</v>
      </c>
    </row>
    <row r="6729" spans="1:12">
      <c r="A6729" t="s">
        <v>4428</v>
      </c>
      <c r="B6729" s="1" t="s">
        <v>4429</v>
      </c>
      <c r="F6729">
        <v>1</v>
      </c>
      <c r="G6729" t="str">
        <f>HYPERLINK("http://babel.hathitrust.org/cgi/pt?id=wu.89089193510")</f>
        <v>http://babel.hathitrust.org/cgi/pt?id=wu.89089193510</v>
      </c>
      <c r="H6729" t="str">
        <f>HYPERLINK("http://catalog.hathitrust.org/Record/008991881")</f>
        <v>http://catalog.hathitrust.org/Record/008991881</v>
      </c>
      <c r="J6729" s="1">
        <v>1850</v>
      </c>
      <c r="K6729" t="s">
        <v>4430</v>
      </c>
      <c r="L6729" t="s">
        <v>12785</v>
      </c>
    </row>
    <row r="6730" spans="1:12">
      <c r="A6730" t="s">
        <v>4431</v>
      </c>
      <c r="B6730" s="1" t="s">
        <v>4432</v>
      </c>
      <c r="F6730">
        <v>1</v>
      </c>
      <c r="G6730" t="str">
        <f>HYPERLINK("http://babel.hathitrust.org/cgi/pt?id=wu.89089193437")</f>
        <v>http://babel.hathitrust.org/cgi/pt?id=wu.89089193437</v>
      </c>
      <c r="H6730" t="str">
        <f>HYPERLINK("http://catalog.hathitrust.org/Record/008991882")</f>
        <v>http://catalog.hathitrust.org/Record/008991882</v>
      </c>
      <c r="J6730" s="1">
        <v>1847</v>
      </c>
      <c r="K6730" t="s">
        <v>4433</v>
      </c>
      <c r="L6730" t="s">
        <v>15675</v>
      </c>
    </row>
    <row r="6731" spans="1:12">
      <c r="A6731" t="s">
        <v>4434</v>
      </c>
      <c r="B6731" s="1" t="s">
        <v>4435</v>
      </c>
      <c r="F6731">
        <v>1</v>
      </c>
      <c r="G6731" t="str">
        <f>HYPERLINK("http://babel.hathitrust.org/cgi/pt?id=wu.89090359985")</f>
        <v>http://babel.hathitrust.org/cgi/pt?id=wu.89090359985</v>
      </c>
      <c r="H6731" t="str">
        <f>HYPERLINK("http://catalog.hathitrust.org/Record/008991885")</f>
        <v>http://catalog.hathitrust.org/Record/008991885</v>
      </c>
      <c r="J6731" s="1">
        <v>1891</v>
      </c>
      <c r="K6731" t="s">
        <v>4436</v>
      </c>
    </row>
    <row r="6732" spans="1:12">
      <c r="A6732" t="s">
        <v>4437</v>
      </c>
      <c r="B6732" s="1" t="s">
        <v>4438</v>
      </c>
      <c r="F6732">
        <v>1</v>
      </c>
      <c r="G6732" t="str">
        <f>HYPERLINK("http://babel.hathitrust.org/cgi/pt?id=wu.89099893471")</f>
        <v>http://babel.hathitrust.org/cgi/pt?id=wu.89099893471</v>
      </c>
      <c r="H6732" t="str">
        <f>HYPERLINK("http://catalog.hathitrust.org/Record/008991886")</f>
        <v>http://catalog.hathitrust.org/Record/008991886</v>
      </c>
      <c r="J6732" s="1">
        <v>1889</v>
      </c>
      <c r="K6732" t="s">
        <v>4439</v>
      </c>
      <c r="L6732" t="s">
        <v>5882</v>
      </c>
    </row>
    <row r="6733" spans="1:12">
      <c r="A6733" t="s">
        <v>4440</v>
      </c>
      <c r="B6733" s="1" t="s">
        <v>4441</v>
      </c>
      <c r="F6733">
        <v>1</v>
      </c>
      <c r="G6733" t="str">
        <f>HYPERLINK("http://babel.hathitrust.org/cgi/pt?id=wu.89099428658")</f>
        <v>http://babel.hathitrust.org/cgi/pt?id=wu.89099428658</v>
      </c>
      <c r="H6733" t="str">
        <f>HYPERLINK("http://catalog.hathitrust.org/Record/008991890")</f>
        <v>http://catalog.hathitrust.org/Record/008991890</v>
      </c>
      <c r="J6733" s="1">
        <v>1859</v>
      </c>
      <c r="K6733" t="s">
        <v>4442</v>
      </c>
      <c r="L6733" t="s">
        <v>12785</v>
      </c>
    </row>
    <row r="6734" spans="1:12">
      <c r="A6734" t="s">
        <v>4443</v>
      </c>
      <c r="B6734" s="1" t="s">
        <v>4444</v>
      </c>
      <c r="F6734">
        <v>1</v>
      </c>
      <c r="G6734" t="str">
        <f>HYPERLINK("http://babel.hathitrust.org/cgi/pt?id=wu.89089193742")</f>
        <v>http://babel.hathitrust.org/cgi/pt?id=wu.89089193742</v>
      </c>
      <c r="H6734" t="str">
        <f>HYPERLINK("http://catalog.hathitrust.org/Record/008991891")</f>
        <v>http://catalog.hathitrust.org/Record/008991891</v>
      </c>
      <c r="J6734" s="1">
        <v>1864</v>
      </c>
      <c r="K6734" t="s">
        <v>12784</v>
      </c>
      <c r="L6734" t="s">
        <v>12785</v>
      </c>
    </row>
    <row r="6735" spans="1:12">
      <c r="A6735" t="s">
        <v>4445</v>
      </c>
      <c r="B6735" s="1" t="s">
        <v>4446</v>
      </c>
      <c r="E6735">
        <v>1</v>
      </c>
      <c r="F6735">
        <v>1</v>
      </c>
      <c r="G6735" t="str">
        <f>HYPERLINK("http://babel.hathitrust.org/cgi/pt?id=wu.89099893539")</f>
        <v>http://babel.hathitrust.org/cgi/pt?id=wu.89099893539</v>
      </c>
      <c r="H6735" t="str">
        <f>HYPERLINK("http://catalog.hathitrust.org/Record/008991892")</f>
        <v>http://catalog.hathitrust.org/Record/008991892</v>
      </c>
      <c r="J6735" s="1">
        <v>1852</v>
      </c>
      <c r="K6735" t="s">
        <v>4447</v>
      </c>
      <c r="L6735" t="s">
        <v>5177</v>
      </c>
    </row>
    <row r="6736" spans="1:12">
      <c r="A6736" t="s">
        <v>4448</v>
      </c>
      <c r="B6736" s="1" t="s">
        <v>4449</v>
      </c>
      <c r="F6736">
        <v>1</v>
      </c>
      <c r="G6736" t="str">
        <f>HYPERLINK("http://babel.hathitrust.org/cgi/pt?id=wu.89099893596")</f>
        <v>http://babel.hathitrust.org/cgi/pt?id=wu.89099893596</v>
      </c>
      <c r="H6736" t="str">
        <f>HYPERLINK("http://catalog.hathitrust.org/Record/008991894")</f>
        <v>http://catalog.hathitrust.org/Record/008991894</v>
      </c>
      <c r="J6736" s="1">
        <v>1888</v>
      </c>
      <c r="K6736" t="s">
        <v>4450</v>
      </c>
      <c r="L6736" t="s">
        <v>4451</v>
      </c>
    </row>
    <row r="6737" spans="1:12">
      <c r="A6737" t="s">
        <v>4452</v>
      </c>
      <c r="B6737" s="1" t="s">
        <v>4453</v>
      </c>
      <c r="F6737">
        <v>1</v>
      </c>
      <c r="G6737" t="str">
        <f>HYPERLINK("http://babel.hathitrust.org/cgi/pt?id=wu.89089192348")</f>
        <v>http://babel.hathitrust.org/cgi/pt?id=wu.89089192348</v>
      </c>
      <c r="H6737" t="str">
        <f>HYPERLINK("http://catalog.hathitrust.org/Record/008991895")</f>
        <v>http://catalog.hathitrust.org/Record/008991895</v>
      </c>
      <c r="J6737" s="1">
        <v>1883</v>
      </c>
      <c r="K6737" t="s">
        <v>4450</v>
      </c>
      <c r="L6737" t="s">
        <v>4451</v>
      </c>
    </row>
    <row r="6738" spans="1:12">
      <c r="A6738" t="s">
        <v>4454</v>
      </c>
      <c r="B6738" s="1" t="s">
        <v>4455</v>
      </c>
      <c r="F6738">
        <v>1</v>
      </c>
      <c r="G6738" t="str">
        <f>HYPERLINK("http://babel.hathitrust.org/cgi/pt?id=hvd.hn1szn")</f>
        <v>http://babel.hathitrust.org/cgi/pt?id=hvd.hn1szn</v>
      </c>
      <c r="H6738" t="str">
        <f>HYPERLINK("http://catalog.hathitrust.org/Record/008991897")</f>
        <v>http://catalog.hathitrust.org/Record/008991897</v>
      </c>
      <c r="J6738" s="1">
        <v>1871</v>
      </c>
      <c r="K6738" t="s">
        <v>4359</v>
      </c>
      <c r="L6738" t="s">
        <v>11377</v>
      </c>
    </row>
    <row r="6739" spans="1:12">
      <c r="A6739" t="s">
        <v>4360</v>
      </c>
      <c r="B6739" s="1" t="s">
        <v>4361</v>
      </c>
      <c r="F6739">
        <v>1</v>
      </c>
      <c r="G6739" t="str">
        <f>HYPERLINK("http://babel.hathitrust.org/cgi/pt?id=wu.89099897431")</f>
        <v>http://babel.hathitrust.org/cgi/pt?id=wu.89099897431</v>
      </c>
      <c r="H6739" t="str">
        <f>HYPERLINK("http://catalog.hathitrust.org/Record/008991898")</f>
        <v>http://catalog.hathitrust.org/Record/008991898</v>
      </c>
      <c r="J6739" s="1">
        <v>1866</v>
      </c>
      <c r="K6739" t="s">
        <v>4362</v>
      </c>
      <c r="L6739" t="s">
        <v>4363</v>
      </c>
    </row>
    <row r="6740" spans="1:12">
      <c r="A6740" t="s">
        <v>4364</v>
      </c>
      <c r="B6740" s="1" t="s">
        <v>4365</v>
      </c>
      <c r="F6740">
        <v>1</v>
      </c>
      <c r="G6740" t="str">
        <f>HYPERLINK("http://babel.hathitrust.org/cgi/pt?id=wu.89099897449")</f>
        <v>http://babel.hathitrust.org/cgi/pt?id=wu.89099897449</v>
      </c>
      <c r="H6740" t="str">
        <f>HYPERLINK("http://catalog.hathitrust.org/Record/008991899")</f>
        <v>http://catalog.hathitrust.org/Record/008991899</v>
      </c>
      <c r="J6740" s="1">
        <v>1845</v>
      </c>
      <c r="K6740" t="s">
        <v>4366</v>
      </c>
      <c r="L6740" t="s">
        <v>4367</v>
      </c>
    </row>
    <row r="6741" spans="1:12">
      <c r="A6741" t="s">
        <v>4368</v>
      </c>
      <c r="B6741" s="1" t="s">
        <v>4369</v>
      </c>
      <c r="F6741">
        <v>1</v>
      </c>
      <c r="G6741" t="str">
        <f>HYPERLINK("http://babel.hathitrust.org/cgi/pt?id=wu.89104409768")</f>
        <v>http://babel.hathitrust.org/cgi/pt?id=wu.89104409768</v>
      </c>
      <c r="H6741" t="str">
        <f>HYPERLINK("http://catalog.hathitrust.org/Record/008991900")</f>
        <v>http://catalog.hathitrust.org/Record/008991900</v>
      </c>
      <c r="J6741" s="1">
        <v>1861</v>
      </c>
      <c r="K6741" t="s">
        <v>4370</v>
      </c>
      <c r="L6741" t="s">
        <v>4371</v>
      </c>
    </row>
    <row r="6742" spans="1:12">
      <c r="A6742" t="s">
        <v>4372</v>
      </c>
      <c r="B6742" s="1" t="s">
        <v>4373</v>
      </c>
      <c r="F6742">
        <v>1</v>
      </c>
      <c r="G6742" t="str">
        <f>HYPERLINK("http://babel.hathitrust.org/cgi/pt?id=wu.89099902819")</f>
        <v>http://babel.hathitrust.org/cgi/pt?id=wu.89099902819</v>
      </c>
      <c r="H6742" t="str">
        <f>HYPERLINK("http://catalog.hathitrust.org/Record/008991908")</f>
        <v>http://catalog.hathitrust.org/Record/008991908</v>
      </c>
      <c r="J6742" s="1">
        <v>1868</v>
      </c>
      <c r="K6742" t="s">
        <v>4374</v>
      </c>
      <c r="L6742" t="s">
        <v>4375</v>
      </c>
    </row>
    <row r="6743" spans="1:12">
      <c r="A6743" t="s">
        <v>4376</v>
      </c>
      <c r="B6743" s="1" t="s">
        <v>4377</v>
      </c>
      <c r="E6743">
        <v>1</v>
      </c>
      <c r="F6743">
        <v>1</v>
      </c>
      <c r="G6743" t="str">
        <f>HYPERLINK("http://babel.hathitrust.org/cgi/pt?id=wu.89099902843")</f>
        <v>http://babel.hathitrust.org/cgi/pt?id=wu.89099902843</v>
      </c>
      <c r="H6743" t="str">
        <f>HYPERLINK("http://catalog.hathitrust.org/Record/008991910")</f>
        <v>http://catalog.hathitrust.org/Record/008991910</v>
      </c>
      <c r="J6743" s="1">
        <v>1859</v>
      </c>
      <c r="K6743" t="s">
        <v>4378</v>
      </c>
      <c r="L6743" t="s">
        <v>6295</v>
      </c>
    </row>
    <row r="6744" spans="1:12">
      <c r="A6744" t="s">
        <v>4379</v>
      </c>
      <c r="B6744" s="1" t="s">
        <v>4380</v>
      </c>
      <c r="E6744">
        <v>1</v>
      </c>
      <c r="F6744">
        <v>1</v>
      </c>
      <c r="G6744" t="str">
        <f>HYPERLINK("http://babel.hathitrust.org/cgi/pt?id=wu.89099902850")</f>
        <v>http://babel.hathitrust.org/cgi/pt?id=wu.89099902850</v>
      </c>
      <c r="H6744" t="str">
        <f>HYPERLINK("http://catalog.hathitrust.org/Record/008991911")</f>
        <v>http://catalog.hathitrust.org/Record/008991911</v>
      </c>
      <c r="J6744" s="1">
        <v>1860</v>
      </c>
      <c r="K6744" t="s">
        <v>4381</v>
      </c>
      <c r="L6744" t="s">
        <v>6295</v>
      </c>
    </row>
    <row r="6745" spans="1:12">
      <c r="A6745" t="s">
        <v>4382</v>
      </c>
      <c r="B6745" s="1" t="s">
        <v>4383</v>
      </c>
      <c r="F6745">
        <v>1</v>
      </c>
      <c r="G6745" t="str">
        <f>HYPERLINK("http://babel.hathitrust.org/cgi/pt?id=wu.89099902876")</f>
        <v>http://babel.hathitrust.org/cgi/pt?id=wu.89099902876</v>
      </c>
      <c r="H6745" t="str">
        <f>HYPERLINK("http://catalog.hathitrust.org/Record/008991912")</f>
        <v>http://catalog.hathitrust.org/Record/008991912</v>
      </c>
      <c r="J6745" s="1">
        <v>1855</v>
      </c>
      <c r="K6745" t="s">
        <v>4384</v>
      </c>
      <c r="L6745" t="s">
        <v>6295</v>
      </c>
    </row>
    <row r="6746" spans="1:12">
      <c r="A6746" t="s">
        <v>4385</v>
      </c>
      <c r="B6746" s="1" t="s">
        <v>4386</v>
      </c>
      <c r="F6746">
        <v>1</v>
      </c>
      <c r="G6746" t="str">
        <f>HYPERLINK("http://babel.hathitrust.org/cgi/pt?id=wu.89099902868")</f>
        <v>http://babel.hathitrust.org/cgi/pt?id=wu.89099902868</v>
      </c>
      <c r="H6746" t="str">
        <f>HYPERLINK("http://catalog.hathitrust.org/Record/008991913")</f>
        <v>http://catalog.hathitrust.org/Record/008991913</v>
      </c>
      <c r="J6746" s="1">
        <v>1953</v>
      </c>
      <c r="K6746" t="s">
        <v>4387</v>
      </c>
      <c r="L6746" t="s">
        <v>6295</v>
      </c>
    </row>
    <row r="6747" spans="1:12">
      <c r="A6747" t="s">
        <v>4388</v>
      </c>
      <c r="B6747" s="1" t="s">
        <v>4389</v>
      </c>
      <c r="F6747">
        <v>1</v>
      </c>
      <c r="G6747" t="str">
        <f>HYPERLINK("http://babel.hathitrust.org/cgi/pt?id=wu.89099902934")</f>
        <v>http://babel.hathitrust.org/cgi/pt?id=wu.89099902934</v>
      </c>
      <c r="H6747" t="str">
        <f>HYPERLINK("http://catalog.hathitrust.org/Record/008991915")</f>
        <v>http://catalog.hathitrust.org/Record/008991915</v>
      </c>
      <c r="J6747" s="1">
        <v>1880</v>
      </c>
      <c r="K6747" t="s">
        <v>4390</v>
      </c>
      <c r="L6747" t="s">
        <v>4391</v>
      </c>
    </row>
    <row r="6748" spans="1:12">
      <c r="A6748" t="s">
        <v>4392</v>
      </c>
      <c r="B6748" s="1" t="s">
        <v>4393</v>
      </c>
      <c r="F6748">
        <v>1</v>
      </c>
      <c r="G6748" t="str">
        <f>HYPERLINK("http://babel.hathitrust.org/cgi/pt?id=wu.89099902959")</f>
        <v>http://babel.hathitrust.org/cgi/pt?id=wu.89099902959</v>
      </c>
      <c r="H6748" t="str">
        <f>HYPERLINK("http://catalog.hathitrust.org/Record/008991917")</f>
        <v>http://catalog.hathitrust.org/Record/008991917</v>
      </c>
      <c r="J6748" s="1">
        <v>1872</v>
      </c>
      <c r="K6748" t="s">
        <v>4394</v>
      </c>
      <c r="L6748" t="s">
        <v>4395</v>
      </c>
    </row>
    <row r="6749" spans="1:12">
      <c r="A6749" t="s">
        <v>4396</v>
      </c>
      <c r="B6749" s="1" t="s">
        <v>4397</v>
      </c>
      <c r="F6749">
        <v>1</v>
      </c>
      <c r="G6749" t="str">
        <f>HYPERLINK("http://babel.hathitrust.org/cgi/pt?id=wu.89099903049")</f>
        <v>http://babel.hathitrust.org/cgi/pt?id=wu.89099903049</v>
      </c>
      <c r="H6749" t="str">
        <f>HYPERLINK("http://catalog.hathitrust.org/Record/008991921")</f>
        <v>http://catalog.hathitrust.org/Record/008991921</v>
      </c>
      <c r="J6749" s="1">
        <v>1855</v>
      </c>
      <c r="K6749" t="s">
        <v>4398</v>
      </c>
      <c r="L6749" t="s">
        <v>4399</v>
      </c>
    </row>
    <row r="6750" spans="1:12">
      <c r="A6750" t="s">
        <v>4400</v>
      </c>
      <c r="B6750" s="1" t="s">
        <v>4401</v>
      </c>
      <c r="F6750">
        <v>1</v>
      </c>
      <c r="G6750" t="str">
        <f>HYPERLINK("http://babel.hathitrust.org/cgi/pt?id=wu.89099903056")</f>
        <v>http://babel.hathitrust.org/cgi/pt?id=wu.89099903056</v>
      </c>
      <c r="H6750" t="str">
        <f>HYPERLINK("http://catalog.hathitrust.org/Record/008991922")</f>
        <v>http://catalog.hathitrust.org/Record/008991922</v>
      </c>
      <c r="J6750" s="1">
        <v>1864</v>
      </c>
      <c r="K6750" t="s">
        <v>4398</v>
      </c>
      <c r="L6750" t="s">
        <v>4399</v>
      </c>
    </row>
    <row r="6751" spans="1:12">
      <c r="A6751" t="s">
        <v>4402</v>
      </c>
      <c r="B6751" s="1" t="s">
        <v>4403</v>
      </c>
      <c r="F6751">
        <v>1</v>
      </c>
      <c r="G6751" t="str">
        <f>HYPERLINK("http://babel.hathitrust.org/cgi/pt?id=wu.89099893901")</f>
        <v>http://babel.hathitrust.org/cgi/pt?id=wu.89099893901</v>
      </c>
      <c r="H6751" t="str">
        <f>HYPERLINK("http://catalog.hathitrust.org/Record/008991924")</f>
        <v>http://catalog.hathitrust.org/Record/008991924</v>
      </c>
      <c r="J6751" s="1">
        <v>1866</v>
      </c>
      <c r="K6751" t="s">
        <v>6161</v>
      </c>
      <c r="L6751" t="s">
        <v>4404</v>
      </c>
    </row>
    <row r="6752" spans="1:12">
      <c r="A6752" t="s">
        <v>4405</v>
      </c>
      <c r="B6752" s="1" t="s">
        <v>4406</v>
      </c>
      <c r="F6752">
        <v>1</v>
      </c>
      <c r="G6752" t="str">
        <f>HYPERLINK("http://babel.hathitrust.org/cgi/pt?id=wu.89099893893")</f>
        <v>http://babel.hathitrust.org/cgi/pt?id=wu.89099893893</v>
      </c>
      <c r="H6752" t="str">
        <f>HYPERLINK("http://catalog.hathitrust.org/Record/008991925")</f>
        <v>http://catalog.hathitrust.org/Record/008991925</v>
      </c>
      <c r="J6752" s="1">
        <v>1867</v>
      </c>
      <c r="K6752" t="s">
        <v>4407</v>
      </c>
      <c r="L6752" t="s">
        <v>4404</v>
      </c>
    </row>
    <row r="6753" spans="1:12">
      <c r="A6753" t="s">
        <v>4321</v>
      </c>
      <c r="B6753" s="1" t="s">
        <v>4322</v>
      </c>
      <c r="F6753">
        <v>1</v>
      </c>
      <c r="G6753" t="str">
        <f>HYPERLINK("http://babel.hathitrust.org/cgi/pt?id=wu.89099893968")</f>
        <v>http://babel.hathitrust.org/cgi/pt?id=wu.89099893968</v>
      </c>
      <c r="H6753" t="str">
        <f>HYPERLINK("http://catalog.hathitrust.org/Record/008991929")</f>
        <v>http://catalog.hathitrust.org/Record/008991929</v>
      </c>
      <c r="J6753" s="1">
        <v>1870</v>
      </c>
      <c r="K6753" t="s">
        <v>4323</v>
      </c>
      <c r="L6753" t="s">
        <v>6139</v>
      </c>
    </row>
    <row r="6754" spans="1:12">
      <c r="A6754" t="s">
        <v>4324</v>
      </c>
      <c r="B6754" s="1" t="s">
        <v>4325</v>
      </c>
      <c r="F6754">
        <v>1</v>
      </c>
      <c r="G6754" t="str">
        <f>HYPERLINK("http://babel.hathitrust.org/cgi/pt?id=wu.89099893992")</f>
        <v>http://babel.hathitrust.org/cgi/pt?id=wu.89099893992</v>
      </c>
      <c r="H6754" t="str">
        <f>HYPERLINK("http://catalog.hathitrust.org/Record/008991931")</f>
        <v>http://catalog.hathitrust.org/Record/008991931</v>
      </c>
      <c r="J6754" s="1">
        <v>1845</v>
      </c>
      <c r="K6754" t="s">
        <v>4326</v>
      </c>
      <c r="L6754" t="s">
        <v>6845</v>
      </c>
    </row>
    <row r="6755" spans="1:12">
      <c r="A6755" t="s">
        <v>4327</v>
      </c>
      <c r="B6755" s="1" t="s">
        <v>4328</v>
      </c>
      <c r="F6755">
        <v>1</v>
      </c>
      <c r="G6755" t="str">
        <f>HYPERLINK("http://babel.hathitrust.org/cgi/pt?id=wu.89099894024")</f>
        <v>http://babel.hathitrust.org/cgi/pt?id=wu.89099894024</v>
      </c>
      <c r="H6755" t="str">
        <f>HYPERLINK("http://catalog.hathitrust.org/Record/008991932")</f>
        <v>http://catalog.hathitrust.org/Record/008991932</v>
      </c>
      <c r="J6755" s="1">
        <v>1834</v>
      </c>
      <c r="K6755" t="s">
        <v>4329</v>
      </c>
      <c r="L6755" t="s">
        <v>4330</v>
      </c>
    </row>
    <row r="6756" spans="1:12">
      <c r="A6756" t="s">
        <v>4331</v>
      </c>
      <c r="B6756" s="1" t="s">
        <v>4332</v>
      </c>
      <c r="F6756">
        <v>1</v>
      </c>
      <c r="G6756" t="str">
        <f>HYPERLINK("http://babel.hathitrust.org/cgi/pt?id=wu.89099894032")</f>
        <v>http://babel.hathitrust.org/cgi/pt?id=wu.89099894032</v>
      </c>
      <c r="H6756" t="str">
        <f>HYPERLINK("http://catalog.hathitrust.org/Record/008991933")</f>
        <v>http://catalog.hathitrust.org/Record/008991933</v>
      </c>
      <c r="J6756" s="1">
        <v>1886</v>
      </c>
      <c r="K6756" t="s">
        <v>4333</v>
      </c>
      <c r="L6756" t="s">
        <v>4334</v>
      </c>
    </row>
    <row r="6757" spans="1:12">
      <c r="A6757" t="s">
        <v>4335</v>
      </c>
      <c r="B6757" s="1" t="s">
        <v>4336</v>
      </c>
      <c r="F6757">
        <v>1</v>
      </c>
      <c r="G6757" t="str">
        <f>HYPERLINK("http://babel.hathitrust.org/cgi/pt?id=wu.89099894016")</f>
        <v>http://babel.hathitrust.org/cgi/pt?id=wu.89099894016</v>
      </c>
      <c r="H6757" t="str">
        <f>HYPERLINK("http://catalog.hathitrust.org/Record/008991934")</f>
        <v>http://catalog.hathitrust.org/Record/008991934</v>
      </c>
      <c r="J6757" s="1">
        <v>1835</v>
      </c>
      <c r="K6757" t="s">
        <v>4337</v>
      </c>
      <c r="L6757" t="s">
        <v>4338</v>
      </c>
    </row>
    <row r="6758" spans="1:12">
      <c r="A6758" t="s">
        <v>4339</v>
      </c>
      <c r="B6758" s="1" t="s">
        <v>4340</v>
      </c>
      <c r="F6758">
        <v>1</v>
      </c>
      <c r="G6758" t="str">
        <f>HYPERLINK("http://babel.hathitrust.org/cgi/pt?id=wu.89099903072")</f>
        <v>http://babel.hathitrust.org/cgi/pt?id=wu.89099903072</v>
      </c>
      <c r="H6758" t="str">
        <f>HYPERLINK("http://catalog.hathitrust.org/Record/008991935")</f>
        <v>http://catalog.hathitrust.org/Record/008991935</v>
      </c>
      <c r="J6758" s="1">
        <v>1850</v>
      </c>
      <c r="K6758" t="s">
        <v>4341</v>
      </c>
      <c r="L6758" t="s">
        <v>6119</v>
      </c>
    </row>
    <row r="6759" spans="1:12">
      <c r="A6759" t="s">
        <v>4342</v>
      </c>
      <c r="B6759" s="1" t="s">
        <v>4343</v>
      </c>
      <c r="F6759">
        <v>1</v>
      </c>
      <c r="G6759" t="str">
        <f>HYPERLINK("http://babel.hathitrust.org/cgi/pt?id=wu.89099903148")</f>
        <v>http://babel.hathitrust.org/cgi/pt?id=wu.89099903148</v>
      </c>
      <c r="H6759" t="str">
        <f>HYPERLINK("http://catalog.hathitrust.org/Record/008991937")</f>
        <v>http://catalog.hathitrust.org/Record/008991937</v>
      </c>
      <c r="J6759" s="1">
        <v>1846</v>
      </c>
      <c r="K6759" t="s">
        <v>5963</v>
      </c>
      <c r="L6759" t="s">
        <v>14907</v>
      </c>
    </row>
    <row r="6760" spans="1:12">
      <c r="A6760" t="s">
        <v>4344</v>
      </c>
      <c r="B6760" s="1" t="s">
        <v>4345</v>
      </c>
      <c r="F6760">
        <v>1</v>
      </c>
      <c r="G6760" t="str">
        <f>HYPERLINK("http://babel.hathitrust.org/cgi/pt?id=wu.89099903163")</f>
        <v>http://babel.hathitrust.org/cgi/pt?id=wu.89099903163</v>
      </c>
      <c r="H6760" t="str">
        <f>HYPERLINK("http://catalog.hathitrust.org/Record/008991938")</f>
        <v>http://catalog.hathitrust.org/Record/008991938</v>
      </c>
      <c r="J6760" s="1">
        <v>1847</v>
      </c>
      <c r="K6760" t="s">
        <v>5963</v>
      </c>
      <c r="L6760" t="s">
        <v>14907</v>
      </c>
    </row>
    <row r="6761" spans="1:12">
      <c r="A6761" t="s">
        <v>4346</v>
      </c>
      <c r="B6761" s="1" t="s">
        <v>4347</v>
      </c>
      <c r="E6761">
        <v>1</v>
      </c>
      <c r="F6761">
        <v>1</v>
      </c>
      <c r="G6761" t="str">
        <f>HYPERLINK("http://babel.hathitrust.org/cgi/pt?id=wu.89099893646")</f>
        <v>http://babel.hathitrust.org/cgi/pt?id=wu.89099893646</v>
      </c>
      <c r="H6761" t="str">
        <f>HYPERLINK("http://catalog.hathitrust.org/Record/008991941")</f>
        <v>http://catalog.hathitrust.org/Record/008991941</v>
      </c>
      <c r="J6761" s="1">
        <v>1800</v>
      </c>
      <c r="K6761" t="s">
        <v>4348</v>
      </c>
      <c r="L6761" t="s">
        <v>13351</v>
      </c>
    </row>
    <row r="6762" spans="1:12">
      <c r="A6762" t="s">
        <v>4349</v>
      </c>
      <c r="B6762" s="1" t="s">
        <v>4350</v>
      </c>
      <c r="F6762">
        <v>1</v>
      </c>
      <c r="G6762" t="str">
        <f>HYPERLINK("http://babel.hathitrust.org/cgi/pt?id=wu.89099893703")</f>
        <v>http://babel.hathitrust.org/cgi/pt?id=wu.89099893703</v>
      </c>
      <c r="H6762" t="str">
        <f>HYPERLINK("http://catalog.hathitrust.org/Record/008991942")</f>
        <v>http://catalog.hathitrust.org/Record/008991942</v>
      </c>
      <c r="J6762" s="1">
        <v>1877</v>
      </c>
      <c r="K6762" t="s">
        <v>4351</v>
      </c>
      <c r="L6762" t="s">
        <v>4352</v>
      </c>
    </row>
    <row r="6763" spans="1:12">
      <c r="A6763" t="s">
        <v>4353</v>
      </c>
      <c r="B6763" s="1" t="s">
        <v>4354</v>
      </c>
      <c r="E6763">
        <v>1</v>
      </c>
      <c r="G6763" t="str">
        <f>HYPERLINK("http://babel.hathitrust.org/cgi/pt?id=wu.89099893760")</f>
        <v>http://babel.hathitrust.org/cgi/pt?id=wu.89099893760</v>
      </c>
      <c r="H6763" t="str">
        <f>HYPERLINK("http://catalog.hathitrust.org/Record/008991945")</f>
        <v>http://catalog.hathitrust.org/Record/008991945</v>
      </c>
      <c r="J6763" s="1">
        <v>1886</v>
      </c>
      <c r="K6763" t="s">
        <v>4355</v>
      </c>
      <c r="L6763" t="s">
        <v>4356</v>
      </c>
    </row>
    <row r="6764" spans="1:12">
      <c r="A6764" t="s">
        <v>4357</v>
      </c>
      <c r="B6764" s="1" t="s">
        <v>4358</v>
      </c>
      <c r="F6764">
        <v>1</v>
      </c>
      <c r="G6764" t="str">
        <f>HYPERLINK("http://babel.hathitrust.org/cgi/pt?id=wu.89099893786")</f>
        <v>http://babel.hathitrust.org/cgi/pt?id=wu.89099893786</v>
      </c>
      <c r="H6764" t="str">
        <f>HYPERLINK("http://catalog.hathitrust.org/Record/008991947")</f>
        <v>http://catalog.hathitrust.org/Record/008991947</v>
      </c>
      <c r="J6764" s="1">
        <v>1883</v>
      </c>
      <c r="K6764" t="s">
        <v>4278</v>
      </c>
      <c r="L6764" t="s">
        <v>4279</v>
      </c>
    </row>
    <row r="6765" spans="1:12">
      <c r="A6765" t="s">
        <v>4280</v>
      </c>
      <c r="B6765" s="1" t="s">
        <v>4281</v>
      </c>
      <c r="E6765">
        <v>1</v>
      </c>
      <c r="G6765" t="str">
        <f>HYPERLINK("http://babel.hathitrust.org/cgi/pt?id=wu.89099893828")</f>
        <v>http://babel.hathitrust.org/cgi/pt?id=wu.89099893828</v>
      </c>
      <c r="H6765" t="str">
        <f>HYPERLINK("http://catalog.hathitrust.org/Record/008991950")</f>
        <v>http://catalog.hathitrust.org/Record/008991950</v>
      </c>
      <c r="J6765" s="1">
        <v>1899</v>
      </c>
      <c r="K6765" t="s">
        <v>4282</v>
      </c>
      <c r="L6765" t="s">
        <v>4283</v>
      </c>
    </row>
    <row r="6766" spans="1:12">
      <c r="A6766" t="s">
        <v>4284</v>
      </c>
      <c r="B6766" s="1" t="s">
        <v>4285</v>
      </c>
      <c r="F6766">
        <v>1</v>
      </c>
      <c r="G6766" t="str">
        <f>HYPERLINK("http://babel.hathitrust.org/cgi/pt?id=wu.89099893836")</f>
        <v>http://babel.hathitrust.org/cgi/pt?id=wu.89099893836</v>
      </c>
      <c r="H6766" t="str">
        <f>HYPERLINK("http://catalog.hathitrust.org/Record/008991951")</f>
        <v>http://catalog.hathitrust.org/Record/008991951</v>
      </c>
      <c r="J6766" s="1">
        <v>1835</v>
      </c>
      <c r="K6766" t="s">
        <v>4286</v>
      </c>
      <c r="L6766" t="s">
        <v>4287</v>
      </c>
    </row>
    <row r="6767" spans="1:12">
      <c r="A6767" t="s">
        <v>4288</v>
      </c>
      <c r="B6767" s="1" t="s">
        <v>4289</v>
      </c>
      <c r="E6767">
        <v>1</v>
      </c>
      <c r="G6767" t="str">
        <f>HYPERLINK("http://babel.hathitrust.org/cgi/pt?id=wu.89099893869")</f>
        <v>http://babel.hathitrust.org/cgi/pt?id=wu.89099893869</v>
      </c>
      <c r="H6767" t="str">
        <f>HYPERLINK("http://catalog.hathitrust.org/Record/008991953")</f>
        <v>http://catalog.hathitrust.org/Record/008991953</v>
      </c>
      <c r="J6767" s="1">
        <v>1843</v>
      </c>
      <c r="K6767" t="s">
        <v>4290</v>
      </c>
      <c r="L6767" t="s">
        <v>4291</v>
      </c>
    </row>
    <row r="6768" spans="1:12">
      <c r="A6768" t="s">
        <v>4292</v>
      </c>
      <c r="B6768" s="1" t="s">
        <v>4293</v>
      </c>
      <c r="F6768">
        <v>1</v>
      </c>
      <c r="G6768" t="str">
        <f>HYPERLINK("http://babel.hathitrust.org/cgi/pt?id=wu.89099896888")</f>
        <v>http://babel.hathitrust.org/cgi/pt?id=wu.89099896888</v>
      </c>
      <c r="H6768" t="str">
        <f>HYPERLINK("http://catalog.hathitrust.org/Record/008991955")</f>
        <v>http://catalog.hathitrust.org/Record/008991955</v>
      </c>
      <c r="J6768" s="1">
        <v>1880</v>
      </c>
      <c r="K6768" t="s">
        <v>4294</v>
      </c>
      <c r="L6768" t="s">
        <v>11635</v>
      </c>
    </row>
    <row r="6769" spans="1:12">
      <c r="A6769" t="s">
        <v>4295</v>
      </c>
      <c r="B6769" s="1" t="s">
        <v>4296</v>
      </c>
      <c r="F6769">
        <v>1</v>
      </c>
      <c r="G6769" t="str">
        <f>HYPERLINK("http://babel.hathitrust.org/cgi/pt?id=wu.89099896904")</f>
        <v>http://babel.hathitrust.org/cgi/pt?id=wu.89099896904</v>
      </c>
      <c r="H6769" t="str">
        <f>HYPERLINK("http://catalog.hathitrust.org/Record/008991956")</f>
        <v>http://catalog.hathitrust.org/Record/008991956</v>
      </c>
      <c r="J6769" s="1">
        <v>1885</v>
      </c>
      <c r="K6769" t="s">
        <v>4297</v>
      </c>
      <c r="L6769" t="s">
        <v>11635</v>
      </c>
    </row>
    <row r="6770" spans="1:12">
      <c r="A6770" t="s">
        <v>4298</v>
      </c>
      <c r="B6770" s="1" t="s">
        <v>4299</v>
      </c>
      <c r="F6770">
        <v>1</v>
      </c>
      <c r="G6770" t="str">
        <f>HYPERLINK("http://babel.hathitrust.org/cgi/pt?id=wu.89099896912")</f>
        <v>http://babel.hathitrust.org/cgi/pt?id=wu.89099896912</v>
      </c>
      <c r="H6770" t="str">
        <f>HYPERLINK("http://catalog.hathitrust.org/Record/008991957")</f>
        <v>http://catalog.hathitrust.org/Record/008991957</v>
      </c>
      <c r="J6770" s="1">
        <v>1887</v>
      </c>
      <c r="K6770" t="s">
        <v>4300</v>
      </c>
      <c r="L6770" t="s">
        <v>13364</v>
      </c>
    </row>
    <row r="6771" spans="1:12">
      <c r="A6771" t="s">
        <v>4301</v>
      </c>
      <c r="B6771" s="1" t="s">
        <v>4302</v>
      </c>
      <c r="F6771">
        <v>1</v>
      </c>
      <c r="G6771" t="str">
        <f>HYPERLINK("http://babel.hathitrust.org/cgi/pt?id=wu.89090394958")</f>
        <v>http://babel.hathitrust.org/cgi/pt?id=wu.89090394958</v>
      </c>
      <c r="H6771" t="str">
        <f>HYPERLINK("http://catalog.hathitrust.org/Record/008991958")</f>
        <v>http://catalog.hathitrust.org/Record/008991958</v>
      </c>
      <c r="J6771" s="1">
        <v>1891</v>
      </c>
      <c r="K6771" t="s">
        <v>4303</v>
      </c>
      <c r="L6771" t="s">
        <v>13364</v>
      </c>
    </row>
    <row r="6772" spans="1:12">
      <c r="A6772" t="s">
        <v>4304</v>
      </c>
      <c r="B6772" s="1" t="s">
        <v>4305</v>
      </c>
      <c r="F6772">
        <v>1</v>
      </c>
      <c r="G6772" t="str">
        <f>HYPERLINK("http://babel.hathitrust.org/cgi/pt?id=wu.89090394925")</f>
        <v>http://babel.hathitrust.org/cgi/pt?id=wu.89090394925</v>
      </c>
      <c r="H6772" t="str">
        <f>HYPERLINK("http://catalog.hathitrust.org/Record/008991959")</f>
        <v>http://catalog.hathitrust.org/Record/008991959</v>
      </c>
      <c r="J6772" s="1">
        <v>1911</v>
      </c>
      <c r="K6772" t="s">
        <v>4306</v>
      </c>
      <c r="L6772" t="s">
        <v>13364</v>
      </c>
    </row>
    <row r="6773" spans="1:12">
      <c r="A6773" t="s">
        <v>4307</v>
      </c>
      <c r="B6773" s="1" t="s">
        <v>4308</v>
      </c>
      <c r="E6773">
        <v>1</v>
      </c>
      <c r="F6773">
        <v>1</v>
      </c>
      <c r="G6773" t="str">
        <f>HYPERLINK("http://babel.hathitrust.org/cgi/pt?id=wu.89099897001")</f>
        <v>http://babel.hathitrust.org/cgi/pt?id=wu.89099897001</v>
      </c>
      <c r="H6773" t="str">
        <f>HYPERLINK("http://catalog.hathitrust.org/Record/008991963")</f>
        <v>http://catalog.hathitrust.org/Record/008991963</v>
      </c>
      <c r="J6773" s="1">
        <v>1880</v>
      </c>
      <c r="K6773" t="s">
        <v>4309</v>
      </c>
      <c r="L6773" t="s">
        <v>4310</v>
      </c>
    </row>
    <row r="6774" spans="1:12">
      <c r="A6774" t="s">
        <v>4311</v>
      </c>
      <c r="B6774" s="1" t="s">
        <v>4312</v>
      </c>
      <c r="F6774">
        <v>1</v>
      </c>
      <c r="G6774" t="str">
        <f>HYPERLINK("http://babel.hathitrust.org/cgi/pt?id=wu.89099897027")</f>
        <v>http://babel.hathitrust.org/cgi/pt?id=wu.89099897027</v>
      </c>
      <c r="H6774" t="str">
        <f>HYPERLINK("http://catalog.hathitrust.org/Record/008991965")</f>
        <v>http://catalog.hathitrust.org/Record/008991965</v>
      </c>
      <c r="J6774" s="1">
        <v>1906</v>
      </c>
      <c r="K6774" t="s">
        <v>4313</v>
      </c>
      <c r="L6774" t="s">
        <v>4314</v>
      </c>
    </row>
    <row r="6775" spans="1:12">
      <c r="A6775" t="s">
        <v>4315</v>
      </c>
      <c r="B6775" s="1" t="s">
        <v>4316</v>
      </c>
      <c r="F6775">
        <v>1</v>
      </c>
      <c r="G6775" t="str">
        <f>HYPERLINK("http://babel.hathitrust.org/cgi/pt?id=wu.89099897050")</f>
        <v>http://babel.hathitrust.org/cgi/pt?id=wu.89099897050</v>
      </c>
      <c r="H6775" t="str">
        <f>HYPERLINK("http://catalog.hathitrust.org/Record/008991966")</f>
        <v>http://catalog.hathitrust.org/Record/008991966</v>
      </c>
      <c r="J6775" s="1">
        <v>1826</v>
      </c>
      <c r="K6775" t="s">
        <v>4317</v>
      </c>
      <c r="L6775" t="s">
        <v>4318</v>
      </c>
    </row>
    <row r="6776" spans="1:12">
      <c r="A6776" t="s">
        <v>4319</v>
      </c>
      <c r="B6776" s="1" t="s">
        <v>4320</v>
      </c>
      <c r="F6776">
        <v>1</v>
      </c>
      <c r="G6776" t="str">
        <f>HYPERLINK("http://babel.hathitrust.org/cgi/pt?id=wu.89099897118")</f>
        <v>http://babel.hathitrust.org/cgi/pt?id=wu.89099897118</v>
      </c>
      <c r="H6776" t="str">
        <f>HYPERLINK("http://catalog.hathitrust.org/Record/008991967")</f>
        <v>http://catalog.hathitrust.org/Record/008991967</v>
      </c>
      <c r="J6776" s="1">
        <v>1883</v>
      </c>
      <c r="K6776" t="s">
        <v>4233</v>
      </c>
    </row>
    <row r="6777" spans="1:12">
      <c r="A6777" t="s">
        <v>4234</v>
      </c>
      <c r="B6777" s="1" t="s">
        <v>4235</v>
      </c>
      <c r="F6777">
        <v>1</v>
      </c>
      <c r="G6777" t="str">
        <f>HYPERLINK("http://babel.hathitrust.org/cgi/pt?id=wu.89099897126")</f>
        <v>http://babel.hathitrust.org/cgi/pt?id=wu.89099897126</v>
      </c>
      <c r="H6777" t="str">
        <f>HYPERLINK("http://catalog.hathitrust.org/Record/008991968")</f>
        <v>http://catalog.hathitrust.org/Record/008991968</v>
      </c>
      <c r="J6777" s="1">
        <v>1889</v>
      </c>
      <c r="K6777" t="s">
        <v>4236</v>
      </c>
      <c r="L6777" t="s">
        <v>5721</v>
      </c>
    </row>
    <row r="6778" spans="1:12">
      <c r="A6778" t="s">
        <v>4237</v>
      </c>
      <c r="B6778" s="1" t="s">
        <v>4238</v>
      </c>
      <c r="F6778">
        <v>1</v>
      </c>
      <c r="G6778" t="str">
        <f>HYPERLINK("http://babel.hathitrust.org/cgi/pt?id=wu.89090395088")</f>
        <v>http://babel.hathitrust.org/cgi/pt?id=wu.89090395088</v>
      </c>
      <c r="H6778" t="str">
        <f>HYPERLINK("http://catalog.hathitrust.org/Record/008991969")</f>
        <v>http://catalog.hathitrust.org/Record/008991969</v>
      </c>
      <c r="J6778" s="1">
        <v>1901</v>
      </c>
      <c r="K6778" t="s">
        <v>4239</v>
      </c>
    </row>
    <row r="6779" spans="1:12">
      <c r="A6779" t="s">
        <v>4240</v>
      </c>
      <c r="B6779" s="1" t="s">
        <v>4241</v>
      </c>
      <c r="F6779">
        <v>1</v>
      </c>
      <c r="G6779" t="str">
        <f>HYPERLINK("http://babel.hathitrust.org/cgi/pt?id=wu.89099897142")</f>
        <v>http://babel.hathitrust.org/cgi/pt?id=wu.89099897142</v>
      </c>
      <c r="H6779" t="str">
        <f>HYPERLINK("http://catalog.hathitrust.org/Record/008991972")</f>
        <v>http://catalog.hathitrust.org/Record/008991972</v>
      </c>
      <c r="J6779" s="1">
        <v>1847</v>
      </c>
      <c r="K6779" t="s">
        <v>4242</v>
      </c>
      <c r="L6779" t="s">
        <v>11488</v>
      </c>
    </row>
    <row r="6780" spans="1:12">
      <c r="A6780" t="s">
        <v>4243</v>
      </c>
      <c r="B6780" s="1" t="s">
        <v>4244</v>
      </c>
      <c r="F6780">
        <v>1</v>
      </c>
      <c r="G6780" t="str">
        <f>HYPERLINK("http://babel.hathitrust.org/cgi/pt?id=wu.89099897191")</f>
        <v>http://babel.hathitrust.org/cgi/pt?id=wu.89099897191</v>
      </c>
      <c r="H6780" t="str">
        <f>HYPERLINK("http://catalog.hathitrust.org/Record/008991974")</f>
        <v>http://catalog.hathitrust.org/Record/008991974</v>
      </c>
      <c r="J6780" s="1">
        <v>1830</v>
      </c>
      <c r="K6780" t="s">
        <v>4245</v>
      </c>
    </row>
    <row r="6781" spans="1:12">
      <c r="A6781" t="s">
        <v>4246</v>
      </c>
      <c r="B6781" s="1" t="s">
        <v>4247</v>
      </c>
      <c r="F6781">
        <v>1</v>
      </c>
      <c r="G6781" t="str">
        <f>HYPERLINK("http://babel.hathitrust.org/cgi/pt?id=wu.89090395146")</f>
        <v>http://babel.hathitrust.org/cgi/pt?id=wu.89090395146</v>
      </c>
      <c r="H6781" t="str">
        <f>HYPERLINK("http://catalog.hathitrust.org/Record/008991976")</f>
        <v>http://catalog.hathitrust.org/Record/008991976</v>
      </c>
      <c r="J6781" s="1">
        <v>1866</v>
      </c>
      <c r="K6781" t="s">
        <v>14076</v>
      </c>
      <c r="L6781" t="s">
        <v>4248</v>
      </c>
    </row>
    <row r="6782" spans="1:12">
      <c r="A6782" t="s">
        <v>4249</v>
      </c>
      <c r="B6782" s="1" t="s">
        <v>4250</v>
      </c>
      <c r="E6782">
        <v>1</v>
      </c>
      <c r="F6782">
        <v>1</v>
      </c>
      <c r="G6782" t="str">
        <f>HYPERLINK("http://babel.hathitrust.org/cgi/pt?id=wu.89099897308")</f>
        <v>http://babel.hathitrust.org/cgi/pt?id=wu.89099897308</v>
      </c>
      <c r="H6782" t="str">
        <f>HYPERLINK("http://catalog.hathitrust.org/Record/008991982")</f>
        <v>http://catalog.hathitrust.org/Record/008991982</v>
      </c>
      <c r="J6782" s="1">
        <v>1872</v>
      </c>
      <c r="K6782" t="s">
        <v>6002</v>
      </c>
      <c r="L6782" t="s">
        <v>11681</v>
      </c>
    </row>
    <row r="6783" spans="1:12">
      <c r="A6783" t="s">
        <v>4251</v>
      </c>
      <c r="B6783" s="1" t="s">
        <v>4252</v>
      </c>
      <c r="E6783">
        <v>1</v>
      </c>
      <c r="F6783">
        <v>1</v>
      </c>
      <c r="G6783" t="str">
        <f>HYPERLINK("http://babel.hathitrust.org/cgi/pt?id=wu.89099897316")</f>
        <v>http://babel.hathitrust.org/cgi/pt?id=wu.89099897316</v>
      </c>
      <c r="H6783" t="str">
        <f>HYPERLINK("http://catalog.hathitrust.org/Record/008991983")</f>
        <v>http://catalog.hathitrust.org/Record/008991983</v>
      </c>
      <c r="J6783" s="1">
        <v>1878</v>
      </c>
      <c r="K6783" t="s">
        <v>4253</v>
      </c>
      <c r="L6783" t="s">
        <v>11681</v>
      </c>
    </row>
    <row r="6784" spans="1:12">
      <c r="A6784" t="s">
        <v>4254</v>
      </c>
      <c r="B6784" s="1" t="s">
        <v>4255</v>
      </c>
      <c r="F6784">
        <v>1</v>
      </c>
      <c r="G6784" t="str">
        <f>HYPERLINK("http://babel.hathitrust.org/cgi/pt?id=wu.89099897340")</f>
        <v>http://babel.hathitrust.org/cgi/pt?id=wu.89099897340</v>
      </c>
      <c r="H6784" t="str">
        <f>HYPERLINK("http://catalog.hathitrust.org/Record/008991984")</f>
        <v>http://catalog.hathitrust.org/Record/008991984</v>
      </c>
      <c r="J6784" s="1">
        <v>1894</v>
      </c>
      <c r="K6784" t="s">
        <v>4256</v>
      </c>
      <c r="L6784" t="s">
        <v>4257</v>
      </c>
    </row>
    <row r="6785" spans="1:12">
      <c r="A6785" t="s">
        <v>4258</v>
      </c>
      <c r="B6785" s="1" t="s">
        <v>4259</v>
      </c>
      <c r="F6785">
        <v>1</v>
      </c>
      <c r="G6785" t="str">
        <f>HYPERLINK("http://babel.hathitrust.org/cgi/pt?id=wu.89099897357")</f>
        <v>http://babel.hathitrust.org/cgi/pt?id=wu.89099897357</v>
      </c>
      <c r="H6785" t="str">
        <f>HYPERLINK("http://catalog.hathitrust.org/Record/008991985")</f>
        <v>http://catalog.hathitrust.org/Record/008991985</v>
      </c>
      <c r="J6785" s="1">
        <v>1884</v>
      </c>
      <c r="K6785" t="s">
        <v>4260</v>
      </c>
      <c r="L6785" t="s">
        <v>4261</v>
      </c>
    </row>
    <row r="6786" spans="1:12">
      <c r="A6786" t="s">
        <v>4262</v>
      </c>
      <c r="B6786" s="1" t="s">
        <v>4263</v>
      </c>
      <c r="F6786">
        <v>1</v>
      </c>
      <c r="G6786" t="str">
        <f>HYPERLINK("http://babel.hathitrust.org/cgi/pt?id=wu.89099897415")</f>
        <v>http://babel.hathitrust.org/cgi/pt?id=wu.89099897415</v>
      </c>
      <c r="H6786" t="str">
        <f>HYPERLINK("http://catalog.hathitrust.org/Record/008991987")</f>
        <v>http://catalog.hathitrust.org/Record/008991987</v>
      </c>
      <c r="J6786" s="1">
        <v>1825</v>
      </c>
      <c r="K6786" t="s">
        <v>4264</v>
      </c>
      <c r="L6786" t="s">
        <v>4265</v>
      </c>
    </row>
    <row r="6787" spans="1:12">
      <c r="A6787" t="s">
        <v>4266</v>
      </c>
      <c r="B6787" s="1" t="s">
        <v>4267</v>
      </c>
      <c r="E6787">
        <v>1</v>
      </c>
      <c r="F6787">
        <v>1</v>
      </c>
      <c r="G6787" t="str">
        <f>HYPERLINK("http://babel.hathitrust.org/cgi/pt?id=wu.89099896375")</f>
        <v>http://babel.hathitrust.org/cgi/pt?id=wu.89099896375</v>
      </c>
      <c r="H6787" t="str">
        <f>HYPERLINK("http://catalog.hathitrust.org/Record/008991989")</f>
        <v>http://catalog.hathitrust.org/Record/008991989</v>
      </c>
      <c r="J6787" s="1">
        <v>1886</v>
      </c>
      <c r="K6787" t="s">
        <v>4268</v>
      </c>
      <c r="L6787" t="s">
        <v>4269</v>
      </c>
    </row>
    <row r="6788" spans="1:12">
      <c r="A6788" t="s">
        <v>4270</v>
      </c>
      <c r="B6788" s="1" t="s">
        <v>4271</v>
      </c>
      <c r="D6788">
        <v>1</v>
      </c>
      <c r="G6788" t="str">
        <f>HYPERLINK("http://babel.hathitrust.org/cgi/pt?id=wu.89090394594")</f>
        <v>http://babel.hathitrust.org/cgi/pt?id=wu.89090394594</v>
      </c>
      <c r="H6788" t="str">
        <f>HYPERLINK("http://catalog.hathitrust.org/Record/008991992")</f>
        <v>http://catalog.hathitrust.org/Record/008991992</v>
      </c>
      <c r="J6788" s="1">
        <v>1836</v>
      </c>
      <c r="K6788" t="s">
        <v>8494</v>
      </c>
      <c r="L6788" t="s">
        <v>20043</v>
      </c>
    </row>
    <row r="6789" spans="1:12">
      <c r="A6789" t="s">
        <v>4272</v>
      </c>
      <c r="B6789" s="1" t="s">
        <v>4273</v>
      </c>
      <c r="D6789">
        <v>1</v>
      </c>
      <c r="G6789" t="str">
        <f>HYPERLINK("http://babel.hathitrust.org/cgi/pt?id=wu.89090394685")</f>
        <v>http://babel.hathitrust.org/cgi/pt?id=wu.89090394685</v>
      </c>
      <c r="H6789" t="str">
        <f>HYPERLINK("http://catalog.hathitrust.org/Record/008991994")</f>
        <v>http://catalog.hathitrust.org/Record/008991994</v>
      </c>
      <c r="J6789" s="1">
        <v>1848</v>
      </c>
      <c r="K6789" t="s">
        <v>8494</v>
      </c>
      <c r="L6789" t="s">
        <v>20043</v>
      </c>
    </row>
    <row r="6790" spans="1:12">
      <c r="A6790" t="s">
        <v>4274</v>
      </c>
      <c r="B6790" s="1" t="s">
        <v>4275</v>
      </c>
      <c r="D6790">
        <v>1</v>
      </c>
      <c r="G6790" t="str">
        <f>HYPERLINK("http://babel.hathitrust.org/cgi/pt?id=wu.89090394784")</f>
        <v>http://babel.hathitrust.org/cgi/pt?id=wu.89090394784</v>
      </c>
      <c r="H6790" t="str">
        <f>HYPERLINK("http://catalog.hathitrust.org/Record/008991995")</f>
        <v>http://catalog.hathitrust.org/Record/008991995</v>
      </c>
      <c r="J6790" s="1">
        <v>1858</v>
      </c>
      <c r="K6790" t="s">
        <v>5794</v>
      </c>
      <c r="L6790" t="s">
        <v>20043</v>
      </c>
    </row>
    <row r="6791" spans="1:12">
      <c r="A6791" t="s">
        <v>4276</v>
      </c>
      <c r="B6791" s="1" t="s">
        <v>4277</v>
      </c>
      <c r="D6791">
        <v>1</v>
      </c>
      <c r="G6791" t="str">
        <f>HYPERLINK("http://babel.hathitrust.org/cgi/pt?id=wu.89099896433")</f>
        <v>http://babel.hathitrust.org/cgi/pt?id=wu.89099896433</v>
      </c>
      <c r="H6791" t="str">
        <f>HYPERLINK("http://catalog.hathitrust.org/Record/008991997")</f>
        <v>http://catalog.hathitrust.org/Record/008991997</v>
      </c>
      <c r="J6791" s="1">
        <v>1836</v>
      </c>
      <c r="K6791" t="s">
        <v>4199</v>
      </c>
      <c r="L6791" t="s">
        <v>20043</v>
      </c>
    </row>
    <row r="6792" spans="1:12">
      <c r="A6792" t="s">
        <v>4200</v>
      </c>
      <c r="B6792" s="1" t="s">
        <v>4201</v>
      </c>
      <c r="D6792">
        <v>1</v>
      </c>
      <c r="G6792" t="str">
        <f>HYPERLINK("http://babel.hathitrust.org/cgi/pt?id=wu.89090394743")</f>
        <v>http://babel.hathitrust.org/cgi/pt?id=wu.89090394743</v>
      </c>
      <c r="H6792" t="str">
        <f>HYPERLINK("http://catalog.hathitrust.org/Record/008992000")</f>
        <v>http://catalog.hathitrust.org/Record/008992000</v>
      </c>
      <c r="J6792" s="1">
        <v>1836</v>
      </c>
      <c r="K6792" t="s">
        <v>4202</v>
      </c>
      <c r="L6792" t="s">
        <v>20043</v>
      </c>
    </row>
    <row r="6793" spans="1:12">
      <c r="A6793" t="s">
        <v>4203</v>
      </c>
      <c r="B6793" s="1" t="s">
        <v>4204</v>
      </c>
      <c r="D6793">
        <v>1</v>
      </c>
      <c r="G6793" t="str">
        <f>HYPERLINK("http://babel.hathitrust.org/cgi/pt?id=wu.89104409784")</f>
        <v>http://babel.hathitrust.org/cgi/pt?id=wu.89104409784</v>
      </c>
      <c r="H6793" t="str">
        <f>HYPERLINK("http://catalog.hathitrust.org/Record/008992002")</f>
        <v>http://catalog.hathitrust.org/Record/008992002</v>
      </c>
      <c r="J6793" s="1">
        <v>1838</v>
      </c>
      <c r="K6793" t="s">
        <v>4205</v>
      </c>
      <c r="L6793" t="s">
        <v>20043</v>
      </c>
    </row>
    <row r="6794" spans="1:12">
      <c r="A6794" t="s">
        <v>4206</v>
      </c>
      <c r="B6794" s="1" t="s">
        <v>4207</v>
      </c>
      <c r="E6794">
        <v>1</v>
      </c>
      <c r="F6794">
        <v>1</v>
      </c>
      <c r="G6794" t="str">
        <f>HYPERLINK("http://babel.hathitrust.org/cgi/pt?id=wu.89099894354")</f>
        <v>http://babel.hathitrust.org/cgi/pt?id=wu.89099894354</v>
      </c>
      <c r="H6794" t="str">
        <f>HYPERLINK("http://catalog.hathitrust.org/Record/008992005")</f>
        <v>http://catalog.hathitrust.org/Record/008992005</v>
      </c>
      <c r="J6794" s="1">
        <v>1854</v>
      </c>
      <c r="K6794" t="s">
        <v>4208</v>
      </c>
      <c r="L6794" t="s">
        <v>4209</v>
      </c>
    </row>
    <row r="6795" spans="1:12">
      <c r="A6795" t="s">
        <v>4210</v>
      </c>
      <c r="B6795" s="1" t="s">
        <v>4211</v>
      </c>
      <c r="F6795">
        <v>1</v>
      </c>
      <c r="G6795" t="str">
        <f>HYPERLINK("http://babel.hathitrust.org/cgi/pt?id=wu.89099894370")</f>
        <v>http://babel.hathitrust.org/cgi/pt?id=wu.89099894370</v>
      </c>
      <c r="H6795" t="str">
        <f>HYPERLINK("http://catalog.hathitrust.org/Record/008992006")</f>
        <v>http://catalog.hathitrust.org/Record/008992006</v>
      </c>
      <c r="I6795" s="1" t="s">
        <v>20916</v>
      </c>
      <c r="J6795" s="1">
        <v>1912</v>
      </c>
      <c r="K6795" t="s">
        <v>4212</v>
      </c>
      <c r="L6795" t="s">
        <v>11563</v>
      </c>
    </row>
    <row r="6796" spans="1:12">
      <c r="A6796" t="s">
        <v>4213</v>
      </c>
      <c r="B6796" s="1" t="s">
        <v>4214</v>
      </c>
      <c r="F6796">
        <v>1</v>
      </c>
      <c r="G6796" t="str">
        <f>HYPERLINK("http://babel.hathitrust.org/cgi/pt?id=wu.89099894396")</f>
        <v>http://babel.hathitrust.org/cgi/pt?id=wu.89099894396</v>
      </c>
      <c r="H6796" t="str">
        <f>HYPERLINK("http://catalog.hathitrust.org/Record/008992007")</f>
        <v>http://catalog.hathitrust.org/Record/008992007</v>
      </c>
      <c r="J6796" s="1">
        <v>1898</v>
      </c>
      <c r="K6796" t="s">
        <v>4215</v>
      </c>
      <c r="L6796" t="s">
        <v>4216</v>
      </c>
    </row>
    <row r="6797" spans="1:12">
      <c r="A6797" t="s">
        <v>4217</v>
      </c>
      <c r="B6797" s="1" t="s">
        <v>4218</v>
      </c>
      <c r="F6797">
        <v>1</v>
      </c>
      <c r="G6797" t="str">
        <f>HYPERLINK("http://babel.hathitrust.org/cgi/pt?id=wu.89099894420")</f>
        <v>http://babel.hathitrust.org/cgi/pt?id=wu.89099894420</v>
      </c>
      <c r="H6797" t="str">
        <f>HYPERLINK("http://catalog.hathitrust.org/Record/008992009")</f>
        <v>http://catalog.hathitrust.org/Record/008992009</v>
      </c>
      <c r="J6797" s="1">
        <v>1849</v>
      </c>
      <c r="K6797" t="s">
        <v>4219</v>
      </c>
      <c r="L6797" t="s">
        <v>11794</v>
      </c>
    </row>
    <row r="6798" spans="1:12">
      <c r="A6798" t="s">
        <v>4220</v>
      </c>
      <c r="B6798" s="1" t="s">
        <v>4221</v>
      </c>
      <c r="F6798">
        <v>1</v>
      </c>
      <c r="G6798" t="str">
        <f>HYPERLINK("http://babel.hathitrust.org/cgi/pt?id=wu.89099894438")</f>
        <v>http://babel.hathitrust.org/cgi/pt?id=wu.89099894438</v>
      </c>
      <c r="H6798" t="str">
        <f>HYPERLINK("http://catalog.hathitrust.org/Record/008992010")</f>
        <v>http://catalog.hathitrust.org/Record/008992010</v>
      </c>
      <c r="J6798" s="1">
        <v>1855</v>
      </c>
      <c r="K6798" t="s">
        <v>4219</v>
      </c>
      <c r="L6798" t="s">
        <v>11794</v>
      </c>
    </row>
    <row r="6799" spans="1:12">
      <c r="A6799" t="s">
        <v>4222</v>
      </c>
      <c r="B6799" s="1" t="s">
        <v>4223</v>
      </c>
      <c r="F6799">
        <v>1</v>
      </c>
      <c r="G6799" t="str">
        <f>HYPERLINK("http://babel.hathitrust.org/cgi/pt?id=wu.89099894446")</f>
        <v>http://babel.hathitrust.org/cgi/pt?id=wu.89099894446</v>
      </c>
      <c r="H6799" t="str">
        <f>HYPERLINK("http://catalog.hathitrust.org/Record/008992011")</f>
        <v>http://catalog.hathitrust.org/Record/008992011</v>
      </c>
      <c r="J6799" s="1">
        <v>1874</v>
      </c>
      <c r="K6799" t="s">
        <v>4224</v>
      </c>
      <c r="L6799" t="s">
        <v>11794</v>
      </c>
    </row>
    <row r="6800" spans="1:12">
      <c r="A6800" t="s">
        <v>4225</v>
      </c>
      <c r="B6800" s="1" t="s">
        <v>4226</v>
      </c>
      <c r="F6800">
        <v>1</v>
      </c>
      <c r="G6800" t="str">
        <f>HYPERLINK("http://babel.hathitrust.org/cgi/pt?id=wu.89099894453")</f>
        <v>http://babel.hathitrust.org/cgi/pt?id=wu.89099894453</v>
      </c>
      <c r="H6800" t="str">
        <f>HYPERLINK("http://catalog.hathitrust.org/Record/008992012")</f>
        <v>http://catalog.hathitrust.org/Record/008992012</v>
      </c>
      <c r="J6800" s="1">
        <v>1868</v>
      </c>
      <c r="K6800" t="s">
        <v>4227</v>
      </c>
      <c r="L6800" t="s">
        <v>12805</v>
      </c>
    </row>
    <row r="6801" spans="1:12">
      <c r="A6801" t="s">
        <v>4228</v>
      </c>
      <c r="B6801" s="1" t="s">
        <v>4229</v>
      </c>
      <c r="F6801">
        <v>1</v>
      </c>
      <c r="G6801" t="str">
        <f>HYPERLINK("http://babel.hathitrust.org/cgi/pt?id=wu.89099894487")</f>
        <v>http://babel.hathitrust.org/cgi/pt?id=wu.89099894487</v>
      </c>
      <c r="H6801" t="str">
        <f>HYPERLINK("http://catalog.hathitrust.org/Record/008992013")</f>
        <v>http://catalog.hathitrust.org/Record/008992013</v>
      </c>
      <c r="J6801" s="1">
        <v>1885</v>
      </c>
      <c r="K6801" t="s">
        <v>4230</v>
      </c>
      <c r="L6801" t="s">
        <v>12805</v>
      </c>
    </row>
    <row r="6802" spans="1:12">
      <c r="A6802" t="s">
        <v>4231</v>
      </c>
      <c r="B6802" s="1" t="s">
        <v>4232</v>
      </c>
      <c r="E6802">
        <v>1</v>
      </c>
      <c r="F6802">
        <v>1</v>
      </c>
      <c r="G6802" t="str">
        <f>HYPERLINK("http://babel.hathitrust.org/cgi/pt?id=wu.89090394552")</f>
        <v>http://babel.hathitrust.org/cgi/pt?id=wu.89090394552</v>
      </c>
      <c r="H6802" t="str">
        <f>HYPERLINK("http://catalog.hathitrust.org/Record/008992016")</f>
        <v>http://catalog.hathitrust.org/Record/008992016</v>
      </c>
      <c r="J6802" s="1">
        <v>1891</v>
      </c>
      <c r="K6802" t="s">
        <v>4148</v>
      </c>
      <c r="L6802" t="s">
        <v>19601</v>
      </c>
    </row>
    <row r="6803" spans="1:12">
      <c r="A6803" t="s">
        <v>4149</v>
      </c>
      <c r="B6803" s="1" t="s">
        <v>4150</v>
      </c>
      <c r="F6803">
        <v>1</v>
      </c>
      <c r="G6803" t="str">
        <f>HYPERLINK("http://babel.hathitrust.org/cgi/pt?id=wu.89099896169")</f>
        <v>http://babel.hathitrust.org/cgi/pt?id=wu.89099896169</v>
      </c>
      <c r="H6803" t="str">
        <f>HYPERLINK("http://catalog.hathitrust.org/Record/008992017")</f>
        <v>http://catalog.hathitrust.org/Record/008992017</v>
      </c>
      <c r="J6803" s="1">
        <v>1901</v>
      </c>
      <c r="K6803" t="s">
        <v>4151</v>
      </c>
      <c r="L6803" t="s">
        <v>4152</v>
      </c>
    </row>
    <row r="6804" spans="1:12">
      <c r="A6804" t="s">
        <v>4153</v>
      </c>
      <c r="B6804" s="1" t="s">
        <v>4154</v>
      </c>
      <c r="F6804">
        <v>1</v>
      </c>
      <c r="G6804" t="str">
        <f>HYPERLINK("http://babel.hathitrust.org/cgi/pt?id=wu.89099896185")</f>
        <v>http://babel.hathitrust.org/cgi/pt?id=wu.89099896185</v>
      </c>
      <c r="H6804" t="str">
        <f>HYPERLINK("http://catalog.hathitrust.org/Record/008992018")</f>
        <v>http://catalog.hathitrust.org/Record/008992018</v>
      </c>
      <c r="I6804" s="1" t="s">
        <v>20916</v>
      </c>
      <c r="J6804" s="1">
        <v>1894</v>
      </c>
      <c r="K6804" t="s">
        <v>13849</v>
      </c>
      <c r="L6804" t="s">
        <v>4155</v>
      </c>
    </row>
    <row r="6805" spans="1:12">
      <c r="A6805" t="s">
        <v>4156</v>
      </c>
      <c r="B6805" s="1" t="s">
        <v>4154</v>
      </c>
      <c r="F6805">
        <v>1</v>
      </c>
      <c r="G6805" t="str">
        <f>HYPERLINK("http://babel.hathitrust.org/cgi/pt?id=wu.89099896193")</f>
        <v>http://babel.hathitrust.org/cgi/pt?id=wu.89099896193</v>
      </c>
      <c r="H6805" t="str">
        <f>HYPERLINK("http://catalog.hathitrust.org/Record/008992018")</f>
        <v>http://catalog.hathitrust.org/Record/008992018</v>
      </c>
      <c r="I6805" s="1" t="s">
        <v>20755</v>
      </c>
      <c r="J6805" s="1">
        <v>1894</v>
      </c>
      <c r="K6805" t="s">
        <v>13849</v>
      </c>
      <c r="L6805" t="s">
        <v>4155</v>
      </c>
    </row>
    <row r="6806" spans="1:12">
      <c r="A6806" t="s">
        <v>4157</v>
      </c>
      <c r="B6806" s="1" t="s">
        <v>4158</v>
      </c>
      <c r="F6806">
        <v>1</v>
      </c>
      <c r="G6806" t="str">
        <f>HYPERLINK("http://babel.hathitrust.org/cgi/pt?id=umn.319510021171974")</f>
        <v>http://babel.hathitrust.org/cgi/pt?id=umn.319510021171974</v>
      </c>
      <c r="H6806" t="str">
        <f>HYPERLINK("http://catalog.hathitrust.org/Record/008992019")</f>
        <v>http://catalog.hathitrust.org/Record/008992019</v>
      </c>
      <c r="I6806" s="1" t="s">
        <v>20755</v>
      </c>
      <c r="J6806" s="1">
        <v>1914</v>
      </c>
      <c r="K6806" t="s">
        <v>4159</v>
      </c>
      <c r="L6806" t="s">
        <v>4160</v>
      </c>
    </row>
    <row r="6807" spans="1:12">
      <c r="A6807" t="s">
        <v>4161</v>
      </c>
      <c r="B6807" s="1" t="s">
        <v>4158</v>
      </c>
      <c r="F6807">
        <v>1</v>
      </c>
      <c r="G6807" t="str">
        <f>HYPERLINK("http://babel.hathitrust.org/cgi/pt?id=wu.89099896227")</f>
        <v>http://babel.hathitrust.org/cgi/pt?id=wu.89099896227</v>
      </c>
      <c r="H6807" t="str">
        <f>HYPERLINK("http://catalog.hathitrust.org/Record/008992019")</f>
        <v>http://catalog.hathitrust.org/Record/008992019</v>
      </c>
      <c r="I6807" s="1" t="s">
        <v>20916</v>
      </c>
      <c r="J6807" s="1">
        <v>1914</v>
      </c>
      <c r="K6807" t="s">
        <v>4159</v>
      </c>
      <c r="L6807" t="s">
        <v>4160</v>
      </c>
    </row>
    <row r="6808" spans="1:12">
      <c r="A6808" t="s">
        <v>4162</v>
      </c>
      <c r="B6808" s="1" t="s">
        <v>4163</v>
      </c>
      <c r="F6808">
        <v>1</v>
      </c>
      <c r="G6808" t="str">
        <f>HYPERLINK("http://babel.hathitrust.org/cgi/pt?id=wu.89099896243")</f>
        <v>http://babel.hathitrust.org/cgi/pt?id=wu.89099896243</v>
      </c>
      <c r="H6808" t="str">
        <f>HYPERLINK("http://catalog.hathitrust.org/Record/008992020")</f>
        <v>http://catalog.hathitrust.org/Record/008992020</v>
      </c>
      <c r="J6808" s="1">
        <v>1857</v>
      </c>
      <c r="K6808" t="s">
        <v>4164</v>
      </c>
      <c r="L6808" t="s">
        <v>4165</v>
      </c>
    </row>
    <row r="6809" spans="1:12">
      <c r="A6809" t="s">
        <v>4166</v>
      </c>
      <c r="B6809" s="1" t="s">
        <v>4167</v>
      </c>
      <c r="F6809">
        <v>1</v>
      </c>
      <c r="G6809" t="str">
        <f>HYPERLINK("http://babel.hathitrust.org/cgi/pt?id=wu.89099896268")</f>
        <v>http://babel.hathitrust.org/cgi/pt?id=wu.89099896268</v>
      </c>
      <c r="H6809" t="str">
        <f>HYPERLINK("http://catalog.hathitrust.org/Record/008992021")</f>
        <v>http://catalog.hathitrust.org/Record/008992021</v>
      </c>
      <c r="J6809" s="1">
        <v>1884</v>
      </c>
      <c r="K6809" t="s">
        <v>4168</v>
      </c>
      <c r="L6809" t="s">
        <v>4165</v>
      </c>
    </row>
    <row r="6810" spans="1:12">
      <c r="A6810" t="s">
        <v>4169</v>
      </c>
      <c r="B6810" s="1" t="s">
        <v>4170</v>
      </c>
      <c r="F6810">
        <v>1</v>
      </c>
      <c r="G6810" t="str">
        <f>HYPERLINK("http://babel.hathitrust.org/cgi/pt?id=wu.89099896276")</f>
        <v>http://babel.hathitrust.org/cgi/pt?id=wu.89099896276</v>
      </c>
      <c r="H6810" t="str">
        <f>HYPERLINK("http://catalog.hathitrust.org/Record/008992023")</f>
        <v>http://catalog.hathitrust.org/Record/008992023</v>
      </c>
      <c r="J6810" s="1">
        <v>1838</v>
      </c>
      <c r="K6810" t="s">
        <v>4171</v>
      </c>
      <c r="L6810" t="s">
        <v>4172</v>
      </c>
    </row>
    <row r="6811" spans="1:12">
      <c r="A6811" t="s">
        <v>4173</v>
      </c>
      <c r="B6811" s="1" t="s">
        <v>4174</v>
      </c>
      <c r="F6811">
        <v>1</v>
      </c>
      <c r="G6811" t="str">
        <f>HYPERLINK("http://babel.hathitrust.org/cgi/pt?id=wu.89099896292")</f>
        <v>http://babel.hathitrust.org/cgi/pt?id=wu.89099896292</v>
      </c>
      <c r="H6811" t="str">
        <f>HYPERLINK("http://catalog.hathitrust.org/Record/008992024")</f>
        <v>http://catalog.hathitrust.org/Record/008992024</v>
      </c>
      <c r="J6811" s="1">
        <v>1888</v>
      </c>
      <c r="K6811" t="s">
        <v>4175</v>
      </c>
      <c r="L6811" t="s">
        <v>4176</v>
      </c>
    </row>
    <row r="6812" spans="1:12">
      <c r="A6812" t="s">
        <v>4177</v>
      </c>
      <c r="B6812" s="1" t="s">
        <v>4178</v>
      </c>
      <c r="F6812">
        <v>1</v>
      </c>
      <c r="G6812" t="str">
        <f>HYPERLINK("http://babel.hathitrust.org/cgi/pt?id=wu.89099896300")</f>
        <v>http://babel.hathitrust.org/cgi/pt?id=wu.89099896300</v>
      </c>
      <c r="H6812" t="str">
        <f>HYPERLINK("http://catalog.hathitrust.org/Record/008992025")</f>
        <v>http://catalog.hathitrust.org/Record/008992025</v>
      </c>
      <c r="I6812" s="1" t="s">
        <v>20916</v>
      </c>
      <c r="J6812" s="1">
        <v>1903</v>
      </c>
      <c r="K6812" t="s">
        <v>4179</v>
      </c>
      <c r="L6812" t="s">
        <v>4180</v>
      </c>
    </row>
    <row r="6813" spans="1:12">
      <c r="A6813" t="s">
        <v>4181</v>
      </c>
      <c r="B6813" s="1" t="s">
        <v>4178</v>
      </c>
      <c r="F6813">
        <v>1</v>
      </c>
      <c r="G6813" t="str">
        <f>HYPERLINK("http://babel.hathitrust.org/cgi/pt?id=wu.89099896318")</f>
        <v>http://babel.hathitrust.org/cgi/pt?id=wu.89099896318</v>
      </c>
      <c r="H6813" t="str">
        <f>HYPERLINK("http://catalog.hathitrust.org/Record/008992025")</f>
        <v>http://catalog.hathitrust.org/Record/008992025</v>
      </c>
      <c r="I6813" s="1" t="s">
        <v>20755</v>
      </c>
      <c r="J6813" s="1">
        <v>1903</v>
      </c>
      <c r="K6813" t="s">
        <v>4179</v>
      </c>
      <c r="L6813" t="s">
        <v>4180</v>
      </c>
    </row>
    <row r="6814" spans="1:12">
      <c r="A6814" t="s">
        <v>4182</v>
      </c>
      <c r="B6814" s="1" t="s">
        <v>4183</v>
      </c>
      <c r="F6814">
        <v>1</v>
      </c>
      <c r="G6814" t="str">
        <f>HYPERLINK("http://babel.hathitrust.org/cgi/pt?id=wu.89099896326")</f>
        <v>http://babel.hathitrust.org/cgi/pt?id=wu.89099896326</v>
      </c>
      <c r="H6814" t="str">
        <f>HYPERLINK("http://catalog.hathitrust.org/Record/008992026")</f>
        <v>http://catalog.hathitrust.org/Record/008992026</v>
      </c>
      <c r="J6814" s="1">
        <v>1890</v>
      </c>
      <c r="K6814" t="s">
        <v>4184</v>
      </c>
      <c r="L6814" t="s">
        <v>4185</v>
      </c>
    </row>
    <row r="6815" spans="1:12">
      <c r="A6815" t="s">
        <v>4186</v>
      </c>
      <c r="B6815" s="1" t="s">
        <v>4187</v>
      </c>
      <c r="F6815">
        <v>1</v>
      </c>
      <c r="G6815" t="str">
        <f>HYPERLINK("http://babel.hathitrust.org/cgi/pt?id=wu.89099896557")</f>
        <v>http://babel.hathitrust.org/cgi/pt?id=wu.89099896557</v>
      </c>
      <c r="H6815" t="str">
        <f>HYPERLINK("http://catalog.hathitrust.org/Record/008992028")</f>
        <v>http://catalog.hathitrust.org/Record/008992028</v>
      </c>
      <c r="J6815" s="1">
        <v>1876</v>
      </c>
      <c r="K6815" t="s">
        <v>4188</v>
      </c>
      <c r="L6815" t="s">
        <v>4189</v>
      </c>
    </row>
    <row r="6816" spans="1:12">
      <c r="A6816" t="s">
        <v>4190</v>
      </c>
      <c r="B6816" s="1" t="s">
        <v>4191</v>
      </c>
      <c r="F6816">
        <v>1</v>
      </c>
      <c r="G6816" t="str">
        <f>HYPERLINK("http://babel.hathitrust.org/cgi/pt?id=wu.89104409552")</f>
        <v>http://babel.hathitrust.org/cgi/pt?id=wu.89104409552</v>
      </c>
      <c r="H6816" t="str">
        <f>HYPERLINK("http://catalog.hathitrust.org/Record/008992038")</f>
        <v>http://catalog.hathitrust.org/Record/008992038</v>
      </c>
      <c r="J6816" s="1">
        <v>1843</v>
      </c>
      <c r="K6816" t="s">
        <v>4192</v>
      </c>
      <c r="L6816" t="s">
        <v>4193</v>
      </c>
    </row>
    <row r="6817" spans="1:12">
      <c r="A6817" t="s">
        <v>4194</v>
      </c>
      <c r="B6817" s="1" t="s">
        <v>4195</v>
      </c>
      <c r="E6817">
        <v>1</v>
      </c>
      <c r="F6817">
        <v>1</v>
      </c>
      <c r="G6817" t="str">
        <f>HYPERLINK("http://babel.hathitrust.org/cgi/pt?id=wu.89099894099")</f>
        <v>http://babel.hathitrust.org/cgi/pt?id=wu.89099894099</v>
      </c>
      <c r="H6817" t="str">
        <f>HYPERLINK("http://catalog.hathitrust.org/Record/008992040")</f>
        <v>http://catalog.hathitrust.org/Record/008992040</v>
      </c>
      <c r="J6817" s="1">
        <v>1855</v>
      </c>
      <c r="K6817" t="s">
        <v>4196</v>
      </c>
      <c r="L6817" t="s">
        <v>8291</v>
      </c>
    </row>
    <row r="6818" spans="1:12">
      <c r="A6818" t="s">
        <v>4197</v>
      </c>
      <c r="B6818" s="1" t="s">
        <v>4198</v>
      </c>
      <c r="D6818">
        <v>1</v>
      </c>
      <c r="G6818" t="str">
        <f>HYPERLINK("http://babel.hathitrust.org/cgi/pt?id=wu.89099894131")</f>
        <v>http://babel.hathitrust.org/cgi/pt?id=wu.89099894131</v>
      </c>
      <c r="H6818" t="str">
        <f>HYPERLINK("http://catalog.hathitrust.org/Record/008992043")</f>
        <v>http://catalog.hathitrust.org/Record/008992043</v>
      </c>
      <c r="J6818" s="1">
        <v>1835</v>
      </c>
      <c r="K6818" t="s">
        <v>4112</v>
      </c>
      <c r="L6818" t="s">
        <v>4113</v>
      </c>
    </row>
    <row r="6819" spans="1:12">
      <c r="A6819" t="s">
        <v>4114</v>
      </c>
      <c r="B6819" s="1" t="s">
        <v>4115</v>
      </c>
      <c r="F6819">
        <v>1</v>
      </c>
      <c r="G6819" t="str">
        <f>HYPERLINK("http://babel.hathitrust.org/cgi/pt?id=wu.89099894206")</f>
        <v>http://babel.hathitrust.org/cgi/pt?id=wu.89099894206</v>
      </c>
      <c r="H6819" t="str">
        <f>HYPERLINK("http://catalog.hathitrust.org/Record/008992045")</f>
        <v>http://catalog.hathitrust.org/Record/008992045</v>
      </c>
      <c r="J6819" s="1">
        <v>1868</v>
      </c>
      <c r="K6819" t="s">
        <v>12219</v>
      </c>
      <c r="L6819" t="s">
        <v>12718</v>
      </c>
    </row>
    <row r="6820" spans="1:12">
      <c r="A6820" t="s">
        <v>4116</v>
      </c>
      <c r="B6820" s="1" t="s">
        <v>4117</v>
      </c>
      <c r="F6820">
        <v>1</v>
      </c>
      <c r="G6820" t="str">
        <f>HYPERLINK("http://babel.hathitrust.org/cgi/pt?id=wu.89099894230")</f>
        <v>http://babel.hathitrust.org/cgi/pt?id=wu.89099894230</v>
      </c>
      <c r="H6820" t="str">
        <f>HYPERLINK("http://catalog.hathitrust.org/Record/008992046")</f>
        <v>http://catalog.hathitrust.org/Record/008992046</v>
      </c>
      <c r="J6820" s="1">
        <v>1879</v>
      </c>
      <c r="K6820" t="s">
        <v>4118</v>
      </c>
      <c r="L6820" t="s">
        <v>12718</v>
      </c>
    </row>
    <row r="6821" spans="1:12">
      <c r="A6821" t="s">
        <v>4119</v>
      </c>
      <c r="B6821" s="1" t="s">
        <v>4120</v>
      </c>
      <c r="F6821">
        <v>1</v>
      </c>
      <c r="G6821" t="str">
        <f>HYPERLINK("http://babel.hathitrust.org/cgi/pt?id=wu.89099894255")</f>
        <v>http://babel.hathitrust.org/cgi/pt?id=wu.89099894255</v>
      </c>
      <c r="H6821" t="str">
        <f>HYPERLINK("http://catalog.hathitrust.org/Record/008992047")</f>
        <v>http://catalog.hathitrust.org/Record/008992047</v>
      </c>
      <c r="J6821" s="1">
        <v>1846</v>
      </c>
      <c r="K6821" t="s">
        <v>4121</v>
      </c>
      <c r="L6821" t="s">
        <v>12718</v>
      </c>
    </row>
    <row r="6822" spans="1:12">
      <c r="A6822" t="s">
        <v>4122</v>
      </c>
      <c r="B6822" s="1" t="s">
        <v>4123</v>
      </c>
      <c r="F6822">
        <v>1</v>
      </c>
      <c r="G6822" t="str">
        <f>HYPERLINK("http://babel.hathitrust.org/cgi/pt?id=wu.89099894271")</f>
        <v>http://babel.hathitrust.org/cgi/pt?id=wu.89099894271</v>
      </c>
      <c r="H6822" t="str">
        <f>HYPERLINK("http://catalog.hathitrust.org/Record/008992048")</f>
        <v>http://catalog.hathitrust.org/Record/008992048</v>
      </c>
      <c r="J6822" s="1">
        <v>1853</v>
      </c>
      <c r="K6822" t="s">
        <v>4124</v>
      </c>
      <c r="L6822" t="s">
        <v>4125</v>
      </c>
    </row>
    <row r="6823" spans="1:12">
      <c r="A6823" t="s">
        <v>4126</v>
      </c>
      <c r="B6823" s="1" t="s">
        <v>4127</v>
      </c>
      <c r="F6823">
        <v>1</v>
      </c>
      <c r="G6823" t="str">
        <f>HYPERLINK("http://babel.hathitrust.org/cgi/pt?id=wu.89099894297")</f>
        <v>http://babel.hathitrust.org/cgi/pt?id=wu.89099894297</v>
      </c>
      <c r="H6823" t="str">
        <f>HYPERLINK("http://catalog.hathitrust.org/Record/008992049")</f>
        <v>http://catalog.hathitrust.org/Record/008992049</v>
      </c>
      <c r="I6823" s="1" t="s">
        <v>20916</v>
      </c>
      <c r="J6823" s="1">
        <v>1876</v>
      </c>
      <c r="K6823" t="s">
        <v>4128</v>
      </c>
      <c r="L6823" t="s">
        <v>8434</v>
      </c>
    </row>
    <row r="6824" spans="1:12">
      <c r="A6824" t="s">
        <v>4129</v>
      </c>
      <c r="B6824" s="1" t="s">
        <v>4130</v>
      </c>
      <c r="F6824">
        <v>1</v>
      </c>
      <c r="G6824" t="str">
        <f>HYPERLINK("http://babel.hathitrust.org/cgi/pt?id=wu.89099894842")</f>
        <v>http://babel.hathitrust.org/cgi/pt?id=wu.89099894842</v>
      </c>
      <c r="H6824" t="str">
        <f>HYPERLINK("http://catalog.hathitrust.org/Record/008992050")</f>
        <v>http://catalog.hathitrust.org/Record/008992050</v>
      </c>
      <c r="J6824" s="1">
        <v>1867</v>
      </c>
      <c r="K6824" t="s">
        <v>4131</v>
      </c>
      <c r="L6824" t="s">
        <v>4132</v>
      </c>
    </row>
    <row r="6825" spans="1:12">
      <c r="A6825" t="s">
        <v>4133</v>
      </c>
      <c r="B6825" s="1" t="s">
        <v>4134</v>
      </c>
      <c r="F6825">
        <v>1</v>
      </c>
      <c r="G6825" t="str">
        <f>HYPERLINK("http://babel.hathitrust.org/cgi/pt?id=wu.89099894818")</f>
        <v>http://babel.hathitrust.org/cgi/pt?id=wu.89099894818</v>
      </c>
      <c r="H6825" t="str">
        <f>HYPERLINK("http://catalog.hathitrust.org/Record/008992051")</f>
        <v>http://catalog.hathitrust.org/Record/008992051</v>
      </c>
      <c r="J6825" s="1">
        <v>1832</v>
      </c>
      <c r="K6825" t="s">
        <v>8441</v>
      </c>
      <c r="L6825" t="s">
        <v>8442</v>
      </c>
    </row>
    <row r="6826" spans="1:12">
      <c r="A6826" t="s">
        <v>4135</v>
      </c>
      <c r="B6826" s="1" t="s">
        <v>4136</v>
      </c>
      <c r="F6826">
        <v>1</v>
      </c>
      <c r="G6826" t="str">
        <f>HYPERLINK("http://babel.hathitrust.org/cgi/pt?id=wu.89099894834")</f>
        <v>http://babel.hathitrust.org/cgi/pt?id=wu.89099894834</v>
      </c>
      <c r="H6826" t="str">
        <f>HYPERLINK("http://catalog.hathitrust.org/Record/008992052")</f>
        <v>http://catalog.hathitrust.org/Record/008992052</v>
      </c>
      <c r="J6826" s="1">
        <v>1836</v>
      </c>
      <c r="K6826" t="s">
        <v>4137</v>
      </c>
      <c r="L6826" t="s">
        <v>4138</v>
      </c>
    </row>
    <row r="6827" spans="1:12">
      <c r="A6827" t="s">
        <v>4139</v>
      </c>
      <c r="B6827" s="1" t="s">
        <v>4140</v>
      </c>
      <c r="F6827">
        <v>1</v>
      </c>
      <c r="G6827" t="str">
        <f>HYPERLINK("http://babel.hathitrust.org/cgi/pt?id=wu.89099894859")</f>
        <v>http://babel.hathitrust.org/cgi/pt?id=wu.89099894859</v>
      </c>
      <c r="H6827" t="str">
        <f>HYPERLINK("http://catalog.hathitrust.org/Record/008992053")</f>
        <v>http://catalog.hathitrust.org/Record/008992053</v>
      </c>
      <c r="J6827" s="1">
        <v>1833</v>
      </c>
      <c r="K6827" t="s">
        <v>4141</v>
      </c>
      <c r="L6827" t="s">
        <v>4142</v>
      </c>
    </row>
    <row r="6828" spans="1:12">
      <c r="A6828" t="s">
        <v>4143</v>
      </c>
      <c r="B6828" s="1" t="s">
        <v>4144</v>
      </c>
      <c r="E6828">
        <v>1</v>
      </c>
      <c r="F6828">
        <v>1</v>
      </c>
      <c r="G6828" t="str">
        <f>HYPERLINK("http://babel.hathitrust.org/cgi/pt?id=wu.89099894867")</f>
        <v>http://babel.hathitrust.org/cgi/pt?id=wu.89099894867</v>
      </c>
      <c r="H6828" t="str">
        <f>HYPERLINK("http://catalog.hathitrust.org/Record/008992054")</f>
        <v>http://catalog.hathitrust.org/Record/008992054</v>
      </c>
      <c r="J6828" s="1">
        <v>1866</v>
      </c>
      <c r="K6828" t="s">
        <v>12863</v>
      </c>
      <c r="L6828" t="s">
        <v>19442</v>
      </c>
    </row>
    <row r="6829" spans="1:12">
      <c r="A6829" t="s">
        <v>4145</v>
      </c>
      <c r="B6829" s="1" t="s">
        <v>4146</v>
      </c>
      <c r="F6829">
        <v>1</v>
      </c>
      <c r="G6829" t="str">
        <f>HYPERLINK("http://babel.hathitrust.org/cgi/pt?id=wu.89099894941")</f>
        <v>http://babel.hathitrust.org/cgi/pt?id=wu.89099894941</v>
      </c>
      <c r="H6829" t="str">
        <f>HYPERLINK("http://catalog.hathitrust.org/Record/008992058")</f>
        <v>http://catalog.hathitrust.org/Record/008992058</v>
      </c>
      <c r="J6829" s="1">
        <v>1833</v>
      </c>
      <c r="K6829" t="s">
        <v>4147</v>
      </c>
      <c r="L6829" t="s">
        <v>16785</v>
      </c>
    </row>
    <row r="6830" spans="1:12">
      <c r="A6830" t="s">
        <v>4070</v>
      </c>
      <c r="B6830" s="1" t="s">
        <v>4071</v>
      </c>
      <c r="F6830">
        <v>1</v>
      </c>
      <c r="G6830" t="str">
        <f>HYPERLINK("http://babel.hathitrust.org/cgi/pt?id=wu.89099894545")</f>
        <v>http://babel.hathitrust.org/cgi/pt?id=wu.89099894545</v>
      </c>
      <c r="H6830" t="str">
        <f>HYPERLINK("http://catalog.hathitrust.org/Record/008992060")</f>
        <v>http://catalog.hathitrust.org/Record/008992060</v>
      </c>
      <c r="J6830" s="1">
        <v>1899</v>
      </c>
      <c r="K6830" t="s">
        <v>4072</v>
      </c>
      <c r="L6830" t="s">
        <v>6422</v>
      </c>
    </row>
    <row r="6831" spans="1:12">
      <c r="A6831" t="s">
        <v>4073</v>
      </c>
      <c r="B6831" s="1" t="s">
        <v>4074</v>
      </c>
      <c r="F6831">
        <v>1</v>
      </c>
      <c r="G6831" t="str">
        <f>HYPERLINK("http://babel.hathitrust.org/cgi/pt?id=wu.89099894529")</f>
        <v>http://babel.hathitrust.org/cgi/pt?id=wu.89099894529</v>
      </c>
      <c r="H6831" t="str">
        <f>HYPERLINK("http://catalog.hathitrust.org/Record/008992061")</f>
        <v>http://catalog.hathitrust.org/Record/008992061</v>
      </c>
      <c r="J6831" s="1">
        <v>1842</v>
      </c>
      <c r="K6831" t="s">
        <v>4075</v>
      </c>
      <c r="L6831" t="s">
        <v>4076</v>
      </c>
    </row>
    <row r="6832" spans="1:12">
      <c r="A6832" t="s">
        <v>4077</v>
      </c>
      <c r="B6832" s="1" t="s">
        <v>4078</v>
      </c>
      <c r="F6832">
        <v>1</v>
      </c>
      <c r="G6832" t="str">
        <f>HYPERLINK("http://babel.hathitrust.org/cgi/pt?id=wu.89099894578")</f>
        <v>http://babel.hathitrust.org/cgi/pt?id=wu.89099894578</v>
      </c>
      <c r="H6832" t="str">
        <f>HYPERLINK("http://catalog.hathitrust.org/Record/008992063")</f>
        <v>http://catalog.hathitrust.org/Record/008992063</v>
      </c>
      <c r="J6832" s="1">
        <v>1828</v>
      </c>
      <c r="K6832" t="s">
        <v>4079</v>
      </c>
      <c r="L6832" t="s">
        <v>4080</v>
      </c>
    </row>
    <row r="6833" spans="1:12">
      <c r="A6833" t="s">
        <v>4081</v>
      </c>
      <c r="B6833" s="1" t="s">
        <v>4082</v>
      </c>
      <c r="F6833">
        <v>1</v>
      </c>
      <c r="G6833" t="str">
        <f>HYPERLINK("http://babel.hathitrust.org/cgi/pt?id=wu.89099894594")</f>
        <v>http://babel.hathitrust.org/cgi/pt?id=wu.89099894594</v>
      </c>
      <c r="H6833" t="str">
        <f>HYPERLINK("http://catalog.hathitrust.org/Record/008992064")</f>
        <v>http://catalog.hathitrust.org/Record/008992064</v>
      </c>
      <c r="J6833" s="1">
        <v>1891</v>
      </c>
      <c r="K6833" t="s">
        <v>4083</v>
      </c>
      <c r="L6833" t="s">
        <v>11635</v>
      </c>
    </row>
    <row r="6834" spans="1:12">
      <c r="A6834" t="s">
        <v>4084</v>
      </c>
      <c r="B6834" s="1" t="s">
        <v>4085</v>
      </c>
      <c r="F6834">
        <v>1</v>
      </c>
      <c r="G6834" t="str">
        <f>HYPERLINK("http://babel.hathitrust.org/cgi/pt?id=wu.89099894628")</f>
        <v>http://babel.hathitrust.org/cgi/pt?id=wu.89099894628</v>
      </c>
      <c r="H6834" t="str">
        <f>HYPERLINK("http://catalog.hathitrust.org/Record/008992065")</f>
        <v>http://catalog.hathitrust.org/Record/008992065</v>
      </c>
      <c r="J6834" s="1">
        <v>1873</v>
      </c>
      <c r="K6834" t="s">
        <v>4086</v>
      </c>
      <c r="L6834" t="s">
        <v>4087</v>
      </c>
    </row>
    <row r="6835" spans="1:12">
      <c r="A6835" t="s">
        <v>4088</v>
      </c>
      <c r="B6835" s="1" t="s">
        <v>4089</v>
      </c>
      <c r="F6835">
        <v>1</v>
      </c>
      <c r="G6835" t="str">
        <f>HYPERLINK("http://babel.hathitrust.org/cgi/pt?id=wu.89099894719")</f>
        <v>http://babel.hathitrust.org/cgi/pt?id=wu.89099894719</v>
      </c>
      <c r="H6835" t="str">
        <f>HYPERLINK("http://catalog.hathitrust.org/Record/008992069")</f>
        <v>http://catalog.hathitrust.org/Record/008992069</v>
      </c>
      <c r="J6835" s="1">
        <v>1833</v>
      </c>
      <c r="K6835" t="s">
        <v>4090</v>
      </c>
      <c r="L6835" t="s">
        <v>4091</v>
      </c>
    </row>
    <row r="6836" spans="1:12">
      <c r="A6836" t="s">
        <v>4092</v>
      </c>
      <c r="B6836" s="1" t="s">
        <v>4093</v>
      </c>
      <c r="E6836">
        <v>1</v>
      </c>
      <c r="F6836">
        <v>1</v>
      </c>
      <c r="G6836" t="str">
        <f>HYPERLINK("http://babel.hathitrust.org/cgi/pt?id=hvd.32044102787066")</f>
        <v>http://babel.hathitrust.org/cgi/pt?id=hvd.32044102787066</v>
      </c>
      <c r="H6836" t="str">
        <f>HYPERLINK("http://catalog.hathitrust.org/Record/008992071")</f>
        <v>http://catalog.hathitrust.org/Record/008992071</v>
      </c>
      <c r="J6836" s="1">
        <v>1848</v>
      </c>
      <c r="K6836" t="s">
        <v>4094</v>
      </c>
      <c r="L6836" t="s">
        <v>4095</v>
      </c>
    </row>
    <row r="6837" spans="1:12">
      <c r="A6837" t="s">
        <v>4096</v>
      </c>
      <c r="B6837" s="1" t="s">
        <v>4093</v>
      </c>
      <c r="F6837">
        <v>1</v>
      </c>
      <c r="G6837" t="str">
        <f>HYPERLINK("http://babel.hathitrust.org/cgi/pt?id=wu.89099894735")</f>
        <v>http://babel.hathitrust.org/cgi/pt?id=wu.89099894735</v>
      </c>
      <c r="H6837" t="str">
        <f>HYPERLINK("http://catalog.hathitrust.org/Record/008992071")</f>
        <v>http://catalog.hathitrust.org/Record/008992071</v>
      </c>
      <c r="J6837" s="1">
        <v>1848</v>
      </c>
      <c r="K6837" t="s">
        <v>4094</v>
      </c>
      <c r="L6837" t="s">
        <v>4095</v>
      </c>
    </row>
    <row r="6838" spans="1:12">
      <c r="A6838" t="s">
        <v>4097</v>
      </c>
      <c r="B6838" s="1" t="s">
        <v>4098</v>
      </c>
      <c r="E6838">
        <v>1</v>
      </c>
      <c r="F6838">
        <v>1</v>
      </c>
      <c r="G6838" t="str">
        <f>HYPERLINK("http://babel.hathitrust.org/cgi/pt?id=wu.89090394693")</f>
        <v>http://babel.hathitrust.org/cgi/pt?id=wu.89090394693</v>
      </c>
      <c r="H6838" t="str">
        <f>HYPERLINK("http://catalog.hathitrust.org/Record/008992072")</f>
        <v>http://catalog.hathitrust.org/Record/008992072</v>
      </c>
      <c r="J6838" s="1">
        <v>1887</v>
      </c>
      <c r="K6838" t="s">
        <v>4099</v>
      </c>
      <c r="L6838" t="s">
        <v>13839</v>
      </c>
    </row>
    <row r="6839" spans="1:12">
      <c r="A6839" t="s">
        <v>4100</v>
      </c>
      <c r="B6839" s="1" t="s">
        <v>4101</v>
      </c>
      <c r="F6839">
        <v>1</v>
      </c>
      <c r="G6839" t="str">
        <f>HYPERLINK("http://babel.hathitrust.org/cgi/pt?id=wu.89090394636")</f>
        <v>http://babel.hathitrust.org/cgi/pt?id=wu.89090394636</v>
      </c>
      <c r="H6839" t="str">
        <f>HYPERLINK("http://catalog.hathitrust.org/Record/008992073")</f>
        <v>http://catalog.hathitrust.org/Record/008992073</v>
      </c>
      <c r="J6839" s="1">
        <v>1896</v>
      </c>
      <c r="K6839" t="s">
        <v>4102</v>
      </c>
      <c r="L6839" t="s">
        <v>13839</v>
      </c>
    </row>
    <row r="6840" spans="1:12">
      <c r="A6840" t="s">
        <v>4103</v>
      </c>
      <c r="B6840" s="1" t="s">
        <v>4104</v>
      </c>
      <c r="F6840">
        <v>1</v>
      </c>
      <c r="G6840" t="str">
        <f>HYPERLINK("http://babel.hathitrust.org/cgi/pt?id=wu.89099894750")</f>
        <v>http://babel.hathitrust.org/cgi/pt?id=wu.89099894750</v>
      </c>
      <c r="H6840" t="str">
        <f>HYPERLINK("http://catalog.hathitrust.org/Record/008992074")</f>
        <v>http://catalog.hathitrust.org/Record/008992074</v>
      </c>
      <c r="J6840" s="1">
        <v>1897</v>
      </c>
      <c r="K6840" t="s">
        <v>13838</v>
      </c>
      <c r="L6840" t="s">
        <v>13839</v>
      </c>
    </row>
    <row r="6841" spans="1:12">
      <c r="A6841" t="s">
        <v>4105</v>
      </c>
      <c r="B6841" s="1" t="s">
        <v>4106</v>
      </c>
      <c r="E6841">
        <v>1</v>
      </c>
      <c r="F6841">
        <v>1</v>
      </c>
      <c r="G6841" t="str">
        <f>HYPERLINK("http://babel.hathitrust.org/cgi/pt?id=wu.89099894776")</f>
        <v>http://babel.hathitrust.org/cgi/pt?id=wu.89099894776</v>
      </c>
      <c r="H6841" t="str">
        <f>HYPERLINK("http://catalog.hathitrust.org/Record/008992075")</f>
        <v>http://catalog.hathitrust.org/Record/008992075</v>
      </c>
      <c r="I6841" s="1" t="s">
        <v>20755</v>
      </c>
      <c r="J6841" s="1">
        <v>1901</v>
      </c>
      <c r="K6841" t="s">
        <v>7176</v>
      </c>
      <c r="L6841" t="s">
        <v>13839</v>
      </c>
    </row>
    <row r="6842" spans="1:12">
      <c r="A6842" t="s">
        <v>4107</v>
      </c>
      <c r="B6842" s="1" t="s">
        <v>4108</v>
      </c>
      <c r="E6842">
        <v>1</v>
      </c>
      <c r="F6842">
        <v>1</v>
      </c>
      <c r="G6842" t="str">
        <f>HYPERLINK("http://babel.hathitrust.org/cgi/pt?id=wu.89090394602")</f>
        <v>http://babel.hathitrust.org/cgi/pt?id=wu.89090394602</v>
      </c>
      <c r="H6842" t="str">
        <f>HYPERLINK("http://catalog.hathitrust.org/Record/008992076")</f>
        <v>http://catalog.hathitrust.org/Record/008992076</v>
      </c>
      <c r="J6842" s="1">
        <v>1889</v>
      </c>
      <c r="K6842" t="s">
        <v>4109</v>
      </c>
      <c r="L6842" t="s">
        <v>13839</v>
      </c>
    </row>
    <row r="6843" spans="1:12">
      <c r="A6843" t="s">
        <v>4110</v>
      </c>
      <c r="B6843" s="1" t="s">
        <v>4111</v>
      </c>
      <c r="F6843">
        <v>1</v>
      </c>
      <c r="G6843" t="str">
        <f>HYPERLINK("http://babel.hathitrust.org/cgi/pt?id=wu.89104409495")</f>
        <v>http://babel.hathitrust.org/cgi/pt?id=wu.89104409495</v>
      </c>
      <c r="H6843" t="str">
        <f>HYPERLINK("http://catalog.hathitrust.org/Record/008992078")</f>
        <v>http://catalog.hathitrust.org/Record/008992078</v>
      </c>
      <c r="I6843" s="1">
        <v>2</v>
      </c>
      <c r="J6843" s="1">
        <v>1896</v>
      </c>
      <c r="K6843" t="s">
        <v>4002</v>
      </c>
    </row>
    <row r="6844" spans="1:12">
      <c r="A6844" t="s">
        <v>4003</v>
      </c>
      <c r="B6844" s="1" t="s">
        <v>4004</v>
      </c>
      <c r="E6844">
        <v>1</v>
      </c>
      <c r="F6844">
        <v>1</v>
      </c>
      <c r="G6844" t="str">
        <f>HYPERLINK("http://babel.hathitrust.org/cgi/pt?id=wu.89099895039")</f>
        <v>http://babel.hathitrust.org/cgi/pt?id=wu.89099895039</v>
      </c>
      <c r="H6844" t="str">
        <f>HYPERLINK("http://catalog.hathitrust.org/Record/008992081")</f>
        <v>http://catalog.hathitrust.org/Record/008992081</v>
      </c>
      <c r="J6844" s="1">
        <v>1856</v>
      </c>
      <c r="K6844" t="s">
        <v>4005</v>
      </c>
      <c r="L6844" t="s">
        <v>19446</v>
      </c>
    </row>
    <row r="6845" spans="1:12">
      <c r="A6845" t="s">
        <v>4006</v>
      </c>
      <c r="B6845" s="1" t="s">
        <v>4007</v>
      </c>
      <c r="F6845">
        <v>1</v>
      </c>
      <c r="G6845" t="str">
        <f>HYPERLINK("http://babel.hathitrust.org/cgi/pt?id=umn.31951p00991912m")</f>
        <v>http://babel.hathitrust.org/cgi/pt?id=umn.31951p00991912m</v>
      </c>
      <c r="H6845" t="str">
        <f>HYPERLINK("http://catalog.hathitrust.org/Record/008993184")</f>
        <v>http://catalog.hathitrust.org/Record/008993184</v>
      </c>
      <c r="I6845" s="1" t="s">
        <v>4009</v>
      </c>
      <c r="J6845" s="1">
        <v>1890</v>
      </c>
      <c r="K6845" t="s">
        <v>4008</v>
      </c>
    </row>
    <row r="6846" spans="1:12">
      <c r="A6846" t="s">
        <v>4010</v>
      </c>
      <c r="B6846" s="1" t="s">
        <v>4007</v>
      </c>
      <c r="F6846">
        <v>1</v>
      </c>
      <c r="G6846" t="str">
        <f>HYPERLINK("http://babel.hathitrust.org/cgi/pt?id=wu.89099902439")</f>
        <v>http://babel.hathitrust.org/cgi/pt?id=wu.89099902439</v>
      </c>
      <c r="H6846" t="str">
        <f>HYPERLINK("http://catalog.hathitrust.org/Record/008993184")</f>
        <v>http://catalog.hathitrust.org/Record/008993184</v>
      </c>
      <c r="I6846" s="1" t="s">
        <v>19163</v>
      </c>
      <c r="J6846" s="1">
        <v>1890</v>
      </c>
      <c r="K6846" t="s">
        <v>4008</v>
      </c>
    </row>
    <row r="6847" spans="1:12">
      <c r="A6847" t="s">
        <v>4011</v>
      </c>
      <c r="B6847" s="1" t="s">
        <v>4007</v>
      </c>
      <c r="F6847">
        <v>1</v>
      </c>
      <c r="G6847" t="str">
        <f>HYPERLINK("http://babel.hathitrust.org/cgi/pt?id=wu.89099902595")</f>
        <v>http://babel.hathitrust.org/cgi/pt?id=wu.89099902595</v>
      </c>
      <c r="H6847" t="str">
        <f>HYPERLINK("http://catalog.hathitrust.org/Record/008993184")</f>
        <v>http://catalog.hathitrust.org/Record/008993184</v>
      </c>
      <c r="I6847" s="1" t="s">
        <v>4012</v>
      </c>
      <c r="J6847" s="1">
        <v>1890</v>
      </c>
      <c r="K6847" t="s">
        <v>4008</v>
      </c>
    </row>
    <row r="6848" spans="1:12">
      <c r="A6848" t="s">
        <v>4013</v>
      </c>
      <c r="B6848" s="1" t="s">
        <v>4014</v>
      </c>
      <c r="F6848">
        <v>1</v>
      </c>
      <c r="G6848" t="str">
        <f>HYPERLINK("http://babel.hathitrust.org/cgi/pt?id=wu.89099901365")</f>
        <v>http://babel.hathitrust.org/cgi/pt?id=wu.89099901365</v>
      </c>
      <c r="H6848" t="str">
        <f>HYPERLINK("http://catalog.hathitrust.org/Record/008993188")</f>
        <v>http://catalog.hathitrust.org/Record/008993188</v>
      </c>
      <c r="J6848" s="1">
        <v>1915</v>
      </c>
      <c r="K6848" t="s">
        <v>4015</v>
      </c>
      <c r="L6848" t="s">
        <v>15101</v>
      </c>
    </row>
    <row r="6849" spans="1:12">
      <c r="A6849" t="s">
        <v>4016</v>
      </c>
      <c r="B6849" s="1" t="s">
        <v>4017</v>
      </c>
      <c r="F6849">
        <v>1</v>
      </c>
      <c r="G6849" t="str">
        <f>HYPERLINK("http://babel.hathitrust.org/cgi/pt?id=wu.89099901217")</f>
        <v>http://babel.hathitrust.org/cgi/pt?id=wu.89099901217</v>
      </c>
      <c r="H6849" t="str">
        <f>HYPERLINK("http://catalog.hathitrust.org/Record/008993189")</f>
        <v>http://catalog.hathitrust.org/Record/008993189</v>
      </c>
      <c r="J6849" s="1">
        <v>1944</v>
      </c>
      <c r="K6849" t="s">
        <v>4018</v>
      </c>
      <c r="L6849" t="s">
        <v>4019</v>
      </c>
    </row>
    <row r="6850" spans="1:12">
      <c r="A6850" t="s">
        <v>4020</v>
      </c>
      <c r="B6850" s="1" t="s">
        <v>4021</v>
      </c>
      <c r="E6850">
        <v>1</v>
      </c>
      <c r="G6850" t="str">
        <f>HYPERLINK("http://babel.hathitrust.org/cgi/pt?id=wu.89089187553")</f>
        <v>http://babel.hathitrust.org/cgi/pt?id=wu.89089187553</v>
      </c>
      <c r="H6850" t="str">
        <f>HYPERLINK("http://catalog.hathitrust.org/Record/008993218")</f>
        <v>http://catalog.hathitrust.org/Record/008993218</v>
      </c>
      <c r="J6850" s="1">
        <v>1884</v>
      </c>
      <c r="K6850" t="s">
        <v>4022</v>
      </c>
      <c r="L6850" t="s">
        <v>20629</v>
      </c>
    </row>
    <row r="6851" spans="1:12">
      <c r="A6851" t="s">
        <v>4023</v>
      </c>
      <c r="B6851" s="1" t="s">
        <v>4024</v>
      </c>
      <c r="F6851">
        <v>1</v>
      </c>
      <c r="G6851" t="str">
        <f>HYPERLINK("http://babel.hathitrust.org/cgi/pt?id=wu.89089195432")</f>
        <v>http://babel.hathitrust.org/cgi/pt?id=wu.89089195432</v>
      </c>
      <c r="H6851" t="str">
        <f>HYPERLINK("http://catalog.hathitrust.org/Record/008993222")</f>
        <v>http://catalog.hathitrust.org/Record/008993222</v>
      </c>
      <c r="J6851" s="1">
        <v>1912</v>
      </c>
      <c r="K6851" t="s">
        <v>4025</v>
      </c>
      <c r="L6851" t="s">
        <v>4026</v>
      </c>
    </row>
    <row r="6852" spans="1:12">
      <c r="A6852" t="s">
        <v>4027</v>
      </c>
      <c r="B6852" s="1" t="s">
        <v>4028</v>
      </c>
      <c r="F6852">
        <v>1</v>
      </c>
      <c r="G6852" t="str">
        <f>HYPERLINK("http://babel.hathitrust.org/cgi/pt?id=wu.89099900706")</f>
        <v>http://babel.hathitrust.org/cgi/pt?id=wu.89099900706</v>
      </c>
      <c r="H6852" t="str">
        <f>HYPERLINK("http://catalog.hathitrust.org/Record/008993233")</f>
        <v>http://catalog.hathitrust.org/Record/008993233</v>
      </c>
      <c r="I6852" s="1" t="s">
        <v>20920</v>
      </c>
      <c r="J6852" s="1">
        <v>1919</v>
      </c>
      <c r="K6852" t="s">
        <v>4029</v>
      </c>
      <c r="L6852" t="s">
        <v>5029</v>
      </c>
    </row>
    <row r="6853" spans="1:12">
      <c r="A6853" t="s">
        <v>4030</v>
      </c>
      <c r="B6853" s="1" t="s">
        <v>4028</v>
      </c>
      <c r="F6853">
        <v>1</v>
      </c>
      <c r="G6853" t="str">
        <f>HYPERLINK("http://babel.hathitrust.org/cgi/pt?id=wu.89099900722")</f>
        <v>http://babel.hathitrust.org/cgi/pt?id=wu.89099900722</v>
      </c>
      <c r="H6853" t="str">
        <f>HYPERLINK("http://catalog.hathitrust.org/Record/008993233")</f>
        <v>http://catalog.hathitrust.org/Record/008993233</v>
      </c>
      <c r="I6853" s="1" t="s">
        <v>20679</v>
      </c>
      <c r="J6853" s="1">
        <v>1919</v>
      </c>
      <c r="K6853" t="s">
        <v>4029</v>
      </c>
      <c r="L6853" t="s">
        <v>5029</v>
      </c>
    </row>
    <row r="6854" spans="1:12">
      <c r="A6854" t="s">
        <v>4031</v>
      </c>
      <c r="B6854" s="1" t="s">
        <v>4032</v>
      </c>
      <c r="F6854">
        <v>1</v>
      </c>
      <c r="G6854" t="str">
        <f>HYPERLINK("http://babel.hathitrust.org/cgi/pt?id=wu.89104409669")</f>
        <v>http://babel.hathitrust.org/cgi/pt?id=wu.89104409669</v>
      </c>
      <c r="H6854" t="str">
        <f>HYPERLINK("http://catalog.hathitrust.org/Record/008993253")</f>
        <v>http://catalog.hathitrust.org/Record/008993253</v>
      </c>
      <c r="I6854" s="1" t="s">
        <v>4034</v>
      </c>
      <c r="J6854" s="1">
        <v>1893</v>
      </c>
      <c r="K6854" t="s">
        <v>4033</v>
      </c>
    </row>
    <row r="6855" spans="1:12">
      <c r="A6855" t="s">
        <v>4035</v>
      </c>
      <c r="B6855" s="1" t="s">
        <v>4036</v>
      </c>
      <c r="F6855">
        <v>1</v>
      </c>
      <c r="G6855" t="str">
        <f>HYPERLINK("http://babel.hathitrust.org/cgi/pt?id=wu.89089203806")</f>
        <v>http://babel.hathitrust.org/cgi/pt?id=wu.89089203806</v>
      </c>
      <c r="H6855" t="str">
        <f>HYPERLINK("http://catalog.hathitrust.org/Record/008993254")</f>
        <v>http://catalog.hathitrust.org/Record/008993254</v>
      </c>
      <c r="I6855" s="1" t="s">
        <v>4038</v>
      </c>
      <c r="J6855" s="1">
        <v>1898</v>
      </c>
      <c r="K6855" t="s">
        <v>4037</v>
      </c>
    </row>
    <row r="6856" spans="1:12">
      <c r="A6856" t="s">
        <v>4039</v>
      </c>
      <c r="B6856" s="1" t="s">
        <v>4036</v>
      </c>
      <c r="F6856">
        <v>1</v>
      </c>
      <c r="G6856" t="str">
        <f>HYPERLINK("http://babel.hathitrust.org/cgi/pt?id=wu.89104409685")</f>
        <v>http://babel.hathitrust.org/cgi/pt?id=wu.89104409685</v>
      </c>
      <c r="H6856" t="str">
        <f>HYPERLINK("http://catalog.hathitrust.org/Record/008993254")</f>
        <v>http://catalog.hathitrust.org/Record/008993254</v>
      </c>
      <c r="I6856" s="1" t="s">
        <v>4040</v>
      </c>
      <c r="J6856" s="1">
        <v>1898</v>
      </c>
      <c r="K6856" t="s">
        <v>4037</v>
      </c>
    </row>
    <row r="6857" spans="1:12">
      <c r="A6857" t="s">
        <v>4041</v>
      </c>
      <c r="B6857" s="1" t="s">
        <v>4036</v>
      </c>
      <c r="F6857">
        <v>1</v>
      </c>
      <c r="G6857" t="str">
        <f>HYPERLINK("http://babel.hathitrust.org/cgi/pt?id=wu.89104409743")</f>
        <v>http://babel.hathitrust.org/cgi/pt?id=wu.89104409743</v>
      </c>
      <c r="H6857" t="str">
        <f>HYPERLINK("http://catalog.hathitrust.org/Record/008993254")</f>
        <v>http://catalog.hathitrust.org/Record/008993254</v>
      </c>
      <c r="I6857" s="1" t="s">
        <v>4042</v>
      </c>
      <c r="J6857" s="1">
        <v>1898</v>
      </c>
      <c r="K6857" t="s">
        <v>4037</v>
      </c>
    </row>
    <row r="6858" spans="1:12">
      <c r="A6858" t="s">
        <v>4043</v>
      </c>
      <c r="B6858" s="1" t="s">
        <v>4044</v>
      </c>
      <c r="F6858">
        <v>1</v>
      </c>
      <c r="G6858" t="str">
        <f>HYPERLINK("http://babel.hathitrust.org/cgi/pt?id=wu.89099905168")</f>
        <v>http://babel.hathitrust.org/cgi/pt?id=wu.89099905168</v>
      </c>
      <c r="H6858" t="str">
        <f>HYPERLINK("http://catalog.hathitrust.org/Record/008993264")</f>
        <v>http://catalog.hathitrust.org/Record/008993264</v>
      </c>
      <c r="J6858" s="1">
        <v>1921</v>
      </c>
      <c r="K6858" t="s">
        <v>4045</v>
      </c>
      <c r="L6858" t="s">
        <v>4046</v>
      </c>
    </row>
    <row r="6859" spans="1:12">
      <c r="A6859" t="s">
        <v>4047</v>
      </c>
      <c r="B6859" s="1" t="s">
        <v>4048</v>
      </c>
      <c r="F6859">
        <v>1</v>
      </c>
      <c r="G6859" t="str">
        <f>HYPERLINK("http://babel.hathitrust.org/cgi/pt?id=wu.89099905283")</f>
        <v>http://babel.hathitrust.org/cgi/pt?id=wu.89099905283</v>
      </c>
      <c r="H6859" t="str">
        <f>HYPERLINK("http://catalog.hathitrust.org/Record/008993265")</f>
        <v>http://catalog.hathitrust.org/Record/008993265</v>
      </c>
      <c r="J6859" s="1">
        <v>1930</v>
      </c>
      <c r="K6859" t="s">
        <v>4049</v>
      </c>
      <c r="L6859" t="s">
        <v>4050</v>
      </c>
    </row>
    <row r="6860" spans="1:12">
      <c r="A6860" t="s">
        <v>4051</v>
      </c>
      <c r="B6860" s="1" t="s">
        <v>4052</v>
      </c>
      <c r="F6860">
        <v>1</v>
      </c>
      <c r="G6860" t="str">
        <f>HYPERLINK("http://babel.hathitrust.org/cgi/pt?id=wu.89099408114")</f>
        <v>http://babel.hathitrust.org/cgi/pt?id=wu.89099408114</v>
      </c>
      <c r="H6860" t="str">
        <f>HYPERLINK("http://catalog.hathitrust.org/Record/008993277")</f>
        <v>http://catalog.hathitrust.org/Record/008993277</v>
      </c>
      <c r="J6860" s="1">
        <v>1948</v>
      </c>
      <c r="K6860" t="s">
        <v>4053</v>
      </c>
    </row>
    <row r="6861" spans="1:12">
      <c r="A6861" t="s">
        <v>4054</v>
      </c>
      <c r="B6861" s="1" t="s">
        <v>4055</v>
      </c>
      <c r="D6861">
        <v>1</v>
      </c>
      <c r="G6861" t="str">
        <f>HYPERLINK("http://babel.hathitrust.org/cgi/pt?id=wu.89035542521")</f>
        <v>http://babel.hathitrust.org/cgi/pt?id=wu.89035542521</v>
      </c>
      <c r="H6861" t="str">
        <f>HYPERLINK("http://catalog.hathitrust.org/Record/008993284")</f>
        <v>http://catalog.hathitrust.org/Record/008993284</v>
      </c>
      <c r="J6861" s="1">
        <v>1925</v>
      </c>
      <c r="K6861" t="s">
        <v>4056</v>
      </c>
      <c r="L6861" t="s">
        <v>12020</v>
      </c>
    </row>
    <row r="6862" spans="1:12">
      <c r="A6862" t="s">
        <v>4057</v>
      </c>
      <c r="B6862" s="1" t="s">
        <v>4058</v>
      </c>
      <c r="D6862">
        <v>1</v>
      </c>
      <c r="G6862" t="str">
        <f>HYPERLINK("http://babel.hathitrust.org/cgi/pt?id=wu.89099904617")</f>
        <v>http://babel.hathitrust.org/cgi/pt?id=wu.89099904617</v>
      </c>
      <c r="H6862" t="str">
        <f>HYPERLINK("http://catalog.hathitrust.org/Record/008993285")</f>
        <v>http://catalog.hathitrust.org/Record/008993285</v>
      </c>
      <c r="J6862" s="1">
        <v>1906</v>
      </c>
      <c r="K6862" t="s">
        <v>4059</v>
      </c>
      <c r="L6862" t="s">
        <v>4060</v>
      </c>
    </row>
    <row r="6863" spans="1:12">
      <c r="A6863" t="s">
        <v>4061</v>
      </c>
      <c r="B6863" s="1" t="s">
        <v>4062</v>
      </c>
      <c r="F6863">
        <v>1</v>
      </c>
      <c r="G6863" t="str">
        <f>HYPERLINK("http://babel.hathitrust.org/cgi/pt?id=wu.89099408247")</f>
        <v>http://babel.hathitrust.org/cgi/pt?id=wu.89099408247</v>
      </c>
      <c r="H6863" t="str">
        <f>HYPERLINK("http://catalog.hathitrust.org/Record/008993294")</f>
        <v>http://catalog.hathitrust.org/Record/008993294</v>
      </c>
      <c r="J6863" s="1">
        <v>1924</v>
      </c>
      <c r="K6863" t="s">
        <v>4063</v>
      </c>
      <c r="L6863" t="s">
        <v>19118</v>
      </c>
    </row>
    <row r="6864" spans="1:12">
      <c r="A6864" t="s">
        <v>4064</v>
      </c>
      <c r="B6864" s="1" t="s">
        <v>4065</v>
      </c>
      <c r="F6864">
        <v>1</v>
      </c>
      <c r="G6864" t="str">
        <f>HYPERLINK("http://babel.hathitrust.org/cgi/pt?id=wu.89099408288")</f>
        <v>http://babel.hathitrust.org/cgi/pt?id=wu.89099408288</v>
      </c>
      <c r="H6864" t="str">
        <f>HYPERLINK("http://catalog.hathitrust.org/Record/008993296")</f>
        <v>http://catalog.hathitrust.org/Record/008993296</v>
      </c>
      <c r="J6864" s="1">
        <v>1897</v>
      </c>
      <c r="K6864" t="s">
        <v>4066</v>
      </c>
      <c r="L6864" t="s">
        <v>16151</v>
      </c>
    </row>
    <row r="6865" spans="1:12">
      <c r="A6865" t="s">
        <v>4067</v>
      </c>
      <c r="B6865" s="1" t="s">
        <v>4068</v>
      </c>
      <c r="F6865">
        <v>1</v>
      </c>
      <c r="G6865" t="str">
        <f>HYPERLINK("http://babel.hathitrust.org/cgi/pt?id=wu.89099408387")</f>
        <v>http://babel.hathitrust.org/cgi/pt?id=wu.89099408387</v>
      </c>
      <c r="H6865" t="str">
        <f>HYPERLINK("http://catalog.hathitrust.org/Record/008993298")</f>
        <v>http://catalog.hathitrust.org/Record/008993298</v>
      </c>
      <c r="J6865" s="1">
        <v>1921</v>
      </c>
      <c r="K6865" t="s">
        <v>4069</v>
      </c>
    </row>
    <row r="6866" spans="1:12">
      <c r="A6866" t="s">
        <v>3949</v>
      </c>
      <c r="B6866" s="1" t="s">
        <v>3950</v>
      </c>
      <c r="F6866">
        <v>1</v>
      </c>
      <c r="G6866" t="str">
        <f>HYPERLINK("http://babel.hathitrust.org/cgi/pt?id=wu.89099408395")</f>
        <v>http://babel.hathitrust.org/cgi/pt?id=wu.89099408395</v>
      </c>
      <c r="H6866" t="str">
        <f>HYPERLINK("http://catalog.hathitrust.org/Record/008993299")</f>
        <v>http://catalog.hathitrust.org/Record/008993299</v>
      </c>
      <c r="J6866" s="1">
        <v>1919</v>
      </c>
      <c r="K6866" t="s">
        <v>3951</v>
      </c>
      <c r="L6866" t="s">
        <v>3952</v>
      </c>
    </row>
    <row r="6867" spans="1:12">
      <c r="A6867" t="s">
        <v>3953</v>
      </c>
      <c r="B6867" s="1" t="s">
        <v>3954</v>
      </c>
      <c r="F6867">
        <v>1</v>
      </c>
      <c r="G6867" t="str">
        <f>HYPERLINK("http://babel.hathitrust.org/cgi/pt?id=wu.89099408429")</f>
        <v>http://babel.hathitrust.org/cgi/pt?id=wu.89099408429</v>
      </c>
      <c r="H6867" t="str">
        <f>HYPERLINK("http://catalog.hathitrust.org/Record/008993301")</f>
        <v>http://catalog.hathitrust.org/Record/008993301</v>
      </c>
      <c r="J6867" s="1">
        <v>1939</v>
      </c>
      <c r="K6867" t="s">
        <v>3955</v>
      </c>
      <c r="L6867" t="s">
        <v>3956</v>
      </c>
    </row>
    <row r="6868" spans="1:12">
      <c r="A6868" t="s">
        <v>3957</v>
      </c>
      <c r="B6868" s="1" t="s">
        <v>3958</v>
      </c>
      <c r="F6868">
        <v>1</v>
      </c>
      <c r="G6868" t="str">
        <f>HYPERLINK("http://babel.hathitrust.org/cgi/pt?id=wu.89099902017")</f>
        <v>http://babel.hathitrust.org/cgi/pt?id=wu.89099902017</v>
      </c>
      <c r="H6868" t="str">
        <f>HYPERLINK("http://catalog.hathitrust.org/Record/008993313")</f>
        <v>http://catalog.hathitrust.org/Record/008993313</v>
      </c>
      <c r="J6868" s="1">
        <v>1895</v>
      </c>
      <c r="K6868" t="s">
        <v>3959</v>
      </c>
      <c r="L6868" t="s">
        <v>16755</v>
      </c>
    </row>
    <row r="6869" spans="1:12">
      <c r="A6869" t="s">
        <v>3960</v>
      </c>
      <c r="B6869" s="1" t="s">
        <v>3961</v>
      </c>
      <c r="F6869">
        <v>1</v>
      </c>
      <c r="G6869" t="str">
        <f>HYPERLINK("http://babel.hathitrust.org/cgi/pt?id=wu.89089195317")</f>
        <v>http://babel.hathitrust.org/cgi/pt?id=wu.89089195317</v>
      </c>
      <c r="H6869" t="str">
        <f>HYPERLINK("http://catalog.hathitrust.org/Record/008993338")</f>
        <v>http://catalog.hathitrust.org/Record/008993338</v>
      </c>
      <c r="J6869" s="1">
        <v>1927</v>
      </c>
      <c r="K6869" t="s">
        <v>3962</v>
      </c>
      <c r="L6869" t="s">
        <v>9297</v>
      </c>
    </row>
    <row r="6870" spans="1:12">
      <c r="A6870" t="s">
        <v>3963</v>
      </c>
      <c r="B6870" s="1" t="s">
        <v>3964</v>
      </c>
      <c r="F6870">
        <v>1</v>
      </c>
      <c r="G6870" t="str">
        <f>HYPERLINK("http://babel.hathitrust.org/cgi/pt?id=wu.89099408577")</f>
        <v>http://babel.hathitrust.org/cgi/pt?id=wu.89099408577</v>
      </c>
      <c r="H6870" t="str">
        <f>HYPERLINK("http://catalog.hathitrust.org/Record/008993354")</f>
        <v>http://catalog.hathitrust.org/Record/008993354</v>
      </c>
      <c r="J6870" s="1">
        <v>1926</v>
      </c>
      <c r="K6870" t="s">
        <v>3965</v>
      </c>
      <c r="L6870" t="s">
        <v>17055</v>
      </c>
    </row>
    <row r="6871" spans="1:12">
      <c r="A6871" t="s">
        <v>3966</v>
      </c>
      <c r="B6871" s="1" t="s">
        <v>3967</v>
      </c>
      <c r="F6871">
        <v>1</v>
      </c>
      <c r="G6871" t="str">
        <f>HYPERLINK("http://babel.hathitrust.org/cgi/pt?id=wu.89099408791")</f>
        <v>http://babel.hathitrust.org/cgi/pt?id=wu.89099408791</v>
      </c>
      <c r="H6871" t="str">
        <f>HYPERLINK("http://catalog.hathitrust.org/Record/008993361")</f>
        <v>http://catalog.hathitrust.org/Record/008993361</v>
      </c>
      <c r="J6871" s="1">
        <v>1931</v>
      </c>
      <c r="K6871" t="s">
        <v>3968</v>
      </c>
      <c r="L6871" t="s">
        <v>3969</v>
      </c>
    </row>
    <row r="6872" spans="1:12">
      <c r="A6872" t="s">
        <v>3970</v>
      </c>
      <c r="B6872" s="1" t="s">
        <v>3971</v>
      </c>
      <c r="F6872">
        <v>1</v>
      </c>
      <c r="G6872" t="str">
        <f>HYPERLINK("http://babel.hathitrust.org/cgi/pt?id=wu.89099906190")</f>
        <v>http://babel.hathitrust.org/cgi/pt?id=wu.89099906190</v>
      </c>
      <c r="H6872" t="str">
        <f>HYPERLINK("http://catalog.hathitrust.org/Record/008993363")</f>
        <v>http://catalog.hathitrust.org/Record/008993363</v>
      </c>
      <c r="J6872" s="1">
        <v>1869</v>
      </c>
      <c r="K6872" t="s">
        <v>3972</v>
      </c>
      <c r="L6872" t="s">
        <v>19442</v>
      </c>
    </row>
    <row r="6873" spans="1:12">
      <c r="A6873" t="s">
        <v>3973</v>
      </c>
      <c r="B6873" s="1" t="s">
        <v>3974</v>
      </c>
      <c r="F6873">
        <v>1</v>
      </c>
      <c r="G6873" t="str">
        <f>HYPERLINK("http://babel.hathitrust.org/cgi/pt?id=wu.89099906224")</f>
        <v>http://babel.hathitrust.org/cgi/pt?id=wu.89099906224</v>
      </c>
      <c r="H6873" t="str">
        <f>HYPERLINK("http://catalog.hathitrust.org/Record/008993365")</f>
        <v>http://catalog.hathitrust.org/Record/008993365</v>
      </c>
      <c r="J6873" s="1">
        <v>1920</v>
      </c>
      <c r="K6873" t="s">
        <v>3975</v>
      </c>
      <c r="L6873" t="s">
        <v>3976</v>
      </c>
    </row>
    <row r="6874" spans="1:12">
      <c r="A6874" t="s">
        <v>3977</v>
      </c>
      <c r="B6874" s="1" t="s">
        <v>3978</v>
      </c>
      <c r="F6874">
        <v>1</v>
      </c>
      <c r="G6874" t="str">
        <f>HYPERLINK("http://babel.hathitrust.org/cgi/pt?id=wu.89099906265")</f>
        <v>http://babel.hathitrust.org/cgi/pt?id=wu.89099906265</v>
      </c>
      <c r="H6874" t="str">
        <f>HYPERLINK("http://catalog.hathitrust.org/Record/008993366")</f>
        <v>http://catalog.hathitrust.org/Record/008993366</v>
      </c>
      <c r="J6874" s="1">
        <v>1876</v>
      </c>
      <c r="K6874" t="s">
        <v>3979</v>
      </c>
      <c r="L6874" t="s">
        <v>12462</v>
      </c>
    </row>
    <row r="6875" spans="1:12">
      <c r="A6875" t="s">
        <v>3980</v>
      </c>
      <c r="B6875" s="1" t="s">
        <v>3981</v>
      </c>
      <c r="F6875">
        <v>1</v>
      </c>
      <c r="G6875" t="str">
        <f>HYPERLINK("http://babel.hathitrust.org/cgi/pt?id=wu.89099906729")</f>
        <v>http://babel.hathitrust.org/cgi/pt?id=wu.89099906729</v>
      </c>
      <c r="H6875" t="str">
        <f>HYPERLINK("http://catalog.hathitrust.org/Record/008993369")</f>
        <v>http://catalog.hathitrust.org/Record/008993369</v>
      </c>
      <c r="J6875" s="1">
        <v>1918</v>
      </c>
      <c r="K6875" t="s">
        <v>3982</v>
      </c>
      <c r="L6875" t="s">
        <v>3983</v>
      </c>
    </row>
    <row r="6876" spans="1:12">
      <c r="A6876" t="s">
        <v>3984</v>
      </c>
      <c r="B6876" s="1" t="s">
        <v>3985</v>
      </c>
      <c r="F6876">
        <v>1</v>
      </c>
      <c r="G6876" t="str">
        <f>HYPERLINK("http://babel.hathitrust.org/cgi/pt?id=wu.89099906752")</f>
        <v>http://babel.hathitrust.org/cgi/pt?id=wu.89099906752</v>
      </c>
      <c r="H6876" t="str">
        <f>HYPERLINK("http://catalog.hathitrust.org/Record/008993370")</f>
        <v>http://catalog.hathitrust.org/Record/008993370</v>
      </c>
      <c r="J6876" s="1">
        <v>1912</v>
      </c>
      <c r="K6876" t="s">
        <v>3986</v>
      </c>
      <c r="L6876" t="s">
        <v>3987</v>
      </c>
    </row>
    <row r="6877" spans="1:12">
      <c r="A6877" t="s">
        <v>3988</v>
      </c>
      <c r="B6877" s="1" t="s">
        <v>3989</v>
      </c>
      <c r="F6877">
        <v>1</v>
      </c>
      <c r="G6877" t="str">
        <f>HYPERLINK("http://babel.hathitrust.org/cgi/pt?id=wu.89099906794")</f>
        <v>http://babel.hathitrust.org/cgi/pt?id=wu.89099906794</v>
      </c>
      <c r="H6877" t="str">
        <f>HYPERLINK("http://catalog.hathitrust.org/Record/008993371")</f>
        <v>http://catalog.hathitrust.org/Record/008993371</v>
      </c>
      <c r="J6877" s="1">
        <v>1907</v>
      </c>
      <c r="K6877" t="s">
        <v>12492</v>
      </c>
      <c r="L6877" t="s">
        <v>12493</v>
      </c>
    </row>
    <row r="6878" spans="1:12">
      <c r="A6878" t="s">
        <v>3990</v>
      </c>
      <c r="B6878" s="1" t="s">
        <v>3991</v>
      </c>
      <c r="F6878">
        <v>1</v>
      </c>
      <c r="G6878" t="str">
        <f>HYPERLINK("http://babel.hathitrust.org/cgi/pt?id=wu.89099906885")</f>
        <v>http://babel.hathitrust.org/cgi/pt?id=wu.89099906885</v>
      </c>
      <c r="H6878" t="str">
        <f>HYPERLINK("http://catalog.hathitrust.org/Record/008993373")</f>
        <v>http://catalog.hathitrust.org/Record/008993373</v>
      </c>
      <c r="J6878" s="1">
        <v>1949</v>
      </c>
      <c r="K6878" t="s">
        <v>3992</v>
      </c>
      <c r="L6878" t="s">
        <v>3993</v>
      </c>
    </row>
    <row r="6879" spans="1:12">
      <c r="A6879" t="s">
        <v>3994</v>
      </c>
      <c r="B6879" s="1" t="s">
        <v>3995</v>
      </c>
      <c r="F6879">
        <v>1</v>
      </c>
      <c r="G6879" t="str">
        <f>HYPERLINK("http://babel.hathitrust.org/cgi/pt?id=wu.89099906893")</f>
        <v>http://babel.hathitrust.org/cgi/pt?id=wu.89099906893</v>
      </c>
      <c r="H6879" t="str">
        <f>HYPERLINK("http://catalog.hathitrust.org/Record/008993374")</f>
        <v>http://catalog.hathitrust.org/Record/008993374</v>
      </c>
      <c r="J6879" s="1">
        <v>1920</v>
      </c>
      <c r="K6879" t="s">
        <v>3996</v>
      </c>
      <c r="L6879" t="s">
        <v>3997</v>
      </c>
    </row>
    <row r="6880" spans="1:12">
      <c r="A6880" t="s">
        <v>3998</v>
      </c>
      <c r="B6880" s="1" t="s">
        <v>3999</v>
      </c>
      <c r="F6880">
        <v>1</v>
      </c>
      <c r="G6880" t="str">
        <f>HYPERLINK("http://babel.hathitrust.org/cgi/pt?id=wu.89085145050")</f>
        <v>http://babel.hathitrust.org/cgi/pt?id=wu.89085145050</v>
      </c>
      <c r="H6880" t="str">
        <f>HYPERLINK("http://catalog.hathitrust.org/Record/008993377")</f>
        <v>http://catalog.hathitrust.org/Record/008993377</v>
      </c>
      <c r="J6880" s="1">
        <v>1937</v>
      </c>
      <c r="K6880" t="s">
        <v>4000</v>
      </c>
      <c r="L6880" t="s">
        <v>4001</v>
      </c>
    </row>
    <row r="6881" spans="1:12">
      <c r="A6881" t="s">
        <v>3894</v>
      </c>
      <c r="B6881" s="1" t="s">
        <v>3895</v>
      </c>
      <c r="F6881">
        <v>1</v>
      </c>
      <c r="G6881" t="str">
        <f>HYPERLINK("http://babel.hathitrust.org/cgi/pt?id=wu.89099906703")</f>
        <v>http://babel.hathitrust.org/cgi/pt?id=wu.89099906703</v>
      </c>
      <c r="H6881" t="str">
        <f>HYPERLINK("http://catalog.hathitrust.org/Record/008993404")</f>
        <v>http://catalog.hathitrust.org/Record/008993404</v>
      </c>
      <c r="J6881" s="1">
        <v>1920</v>
      </c>
      <c r="K6881" t="s">
        <v>3896</v>
      </c>
      <c r="L6881" t="s">
        <v>3897</v>
      </c>
    </row>
    <row r="6882" spans="1:12">
      <c r="A6882" t="s">
        <v>3898</v>
      </c>
      <c r="B6882" s="1" t="s">
        <v>3899</v>
      </c>
      <c r="F6882">
        <v>1</v>
      </c>
      <c r="G6882" t="str">
        <f>HYPERLINK("http://babel.hathitrust.org/cgi/pt?id=wu.89099906711")</f>
        <v>http://babel.hathitrust.org/cgi/pt?id=wu.89099906711</v>
      </c>
      <c r="H6882" t="str">
        <f>HYPERLINK("http://catalog.hathitrust.org/Record/008993405")</f>
        <v>http://catalog.hathitrust.org/Record/008993405</v>
      </c>
      <c r="J6882" s="1">
        <v>1929</v>
      </c>
      <c r="K6882" t="s">
        <v>3900</v>
      </c>
      <c r="L6882" t="s">
        <v>3901</v>
      </c>
    </row>
    <row r="6883" spans="1:12">
      <c r="A6883" t="s">
        <v>3902</v>
      </c>
      <c r="B6883" s="1" t="s">
        <v>3903</v>
      </c>
      <c r="F6883">
        <v>1</v>
      </c>
      <c r="G6883" t="str">
        <f>HYPERLINK("http://babel.hathitrust.org/cgi/pt?id=wu.89099900581")</f>
        <v>http://babel.hathitrust.org/cgi/pt?id=wu.89099900581</v>
      </c>
      <c r="H6883" t="str">
        <f>HYPERLINK("http://catalog.hathitrust.org/Record/008993880")</f>
        <v>http://catalog.hathitrust.org/Record/008993880</v>
      </c>
      <c r="J6883" s="1">
        <v>1919</v>
      </c>
      <c r="K6883" t="s">
        <v>3904</v>
      </c>
      <c r="L6883" t="s">
        <v>3905</v>
      </c>
    </row>
    <row r="6884" spans="1:12">
      <c r="A6884" t="s">
        <v>3906</v>
      </c>
      <c r="B6884" s="1" t="s">
        <v>3907</v>
      </c>
      <c r="F6884">
        <v>1</v>
      </c>
      <c r="G6884" t="str">
        <f>HYPERLINK("http://babel.hathitrust.org/cgi/pt?id=wu.89099900573")</f>
        <v>http://babel.hathitrust.org/cgi/pt?id=wu.89099900573</v>
      </c>
      <c r="H6884" t="str">
        <f>HYPERLINK("http://catalog.hathitrust.org/Record/008993889")</f>
        <v>http://catalog.hathitrust.org/Record/008993889</v>
      </c>
      <c r="J6884" s="1">
        <v>1856</v>
      </c>
      <c r="K6884" t="s">
        <v>3908</v>
      </c>
      <c r="L6884" t="s">
        <v>11488</v>
      </c>
    </row>
    <row r="6885" spans="1:12">
      <c r="A6885" t="s">
        <v>3909</v>
      </c>
      <c r="B6885" s="1" t="s">
        <v>3910</v>
      </c>
      <c r="F6885">
        <v>1</v>
      </c>
      <c r="G6885" t="str">
        <f>HYPERLINK("http://babel.hathitrust.org/cgi/pt?id=wu.89099900151")</f>
        <v>http://babel.hathitrust.org/cgi/pt?id=wu.89099900151</v>
      </c>
      <c r="H6885" t="str">
        <f>HYPERLINK("http://catalog.hathitrust.org/Record/008993913")</f>
        <v>http://catalog.hathitrust.org/Record/008993913</v>
      </c>
      <c r="J6885" s="1">
        <v>1906</v>
      </c>
      <c r="K6885" t="s">
        <v>3911</v>
      </c>
      <c r="L6885" t="s">
        <v>20193</v>
      </c>
    </row>
    <row r="6886" spans="1:12">
      <c r="A6886" t="s">
        <v>3912</v>
      </c>
      <c r="B6886" s="1" t="s">
        <v>3913</v>
      </c>
      <c r="F6886">
        <v>1</v>
      </c>
      <c r="G6886" t="str">
        <f>HYPERLINK("http://babel.hathitrust.org/cgi/pt?id=wu.89099796419")</f>
        <v>http://babel.hathitrust.org/cgi/pt?id=wu.89099796419</v>
      </c>
      <c r="H6886" t="str">
        <f>HYPERLINK("http://catalog.hathitrust.org/Record/008993954")</f>
        <v>http://catalog.hathitrust.org/Record/008993954</v>
      </c>
      <c r="J6886" s="1">
        <v>1902</v>
      </c>
      <c r="K6886" t="s">
        <v>3914</v>
      </c>
      <c r="L6886" t="s">
        <v>3915</v>
      </c>
    </row>
    <row r="6887" spans="1:12">
      <c r="A6887" t="s">
        <v>3916</v>
      </c>
      <c r="B6887" s="1" t="s">
        <v>3917</v>
      </c>
      <c r="F6887">
        <v>1</v>
      </c>
      <c r="G6887" t="str">
        <f>HYPERLINK("http://babel.hathitrust.org/cgi/pt?id=wu.89099799157")</f>
        <v>http://babel.hathitrust.org/cgi/pt?id=wu.89099799157</v>
      </c>
      <c r="H6887" t="str">
        <f>HYPERLINK("http://catalog.hathitrust.org/Record/008993963")</f>
        <v>http://catalog.hathitrust.org/Record/008993963</v>
      </c>
      <c r="J6887" s="1">
        <v>1848</v>
      </c>
      <c r="K6887" t="s">
        <v>3918</v>
      </c>
      <c r="L6887" t="s">
        <v>20748</v>
      </c>
    </row>
    <row r="6888" spans="1:12">
      <c r="A6888" t="s">
        <v>3919</v>
      </c>
      <c r="B6888" s="1" t="s">
        <v>3920</v>
      </c>
      <c r="F6888">
        <v>1</v>
      </c>
      <c r="G6888" t="str">
        <f>HYPERLINK("http://babel.hathitrust.org/cgi/pt?id=wu.89099796104")</f>
        <v>http://babel.hathitrust.org/cgi/pt?id=wu.89099796104</v>
      </c>
      <c r="H6888" t="str">
        <f>HYPERLINK("http://catalog.hathitrust.org/Record/008993966")</f>
        <v>http://catalog.hathitrust.org/Record/008993966</v>
      </c>
      <c r="J6888" s="1">
        <v>1887</v>
      </c>
      <c r="K6888" t="s">
        <v>10683</v>
      </c>
      <c r="L6888" t="s">
        <v>6672</v>
      </c>
    </row>
    <row r="6889" spans="1:12">
      <c r="A6889" t="s">
        <v>3921</v>
      </c>
      <c r="B6889" s="1" t="s">
        <v>3922</v>
      </c>
      <c r="F6889">
        <v>1</v>
      </c>
      <c r="G6889" t="str">
        <f>HYPERLINK("http://babel.hathitrust.org/cgi/pt?id=wu.89099798530")</f>
        <v>http://babel.hathitrust.org/cgi/pt?id=wu.89099798530</v>
      </c>
      <c r="H6889" t="str">
        <f>HYPERLINK("http://catalog.hathitrust.org/Record/008994003")</f>
        <v>http://catalog.hathitrust.org/Record/008994003</v>
      </c>
      <c r="J6889" s="1">
        <v>1878</v>
      </c>
      <c r="K6889" t="s">
        <v>3923</v>
      </c>
      <c r="L6889" t="s">
        <v>19667</v>
      </c>
    </row>
    <row r="6890" spans="1:12">
      <c r="A6890" t="s">
        <v>3924</v>
      </c>
      <c r="B6890" s="1" t="s">
        <v>3925</v>
      </c>
      <c r="F6890">
        <v>1</v>
      </c>
      <c r="G6890" t="str">
        <f>HYPERLINK("http://babel.hathitrust.org/cgi/pt?id=wu.89099797383")</f>
        <v>http://babel.hathitrust.org/cgi/pt?id=wu.89099797383</v>
      </c>
      <c r="H6890" t="str">
        <f>HYPERLINK("http://catalog.hathitrust.org/Record/008994019")</f>
        <v>http://catalog.hathitrust.org/Record/008994019</v>
      </c>
      <c r="J6890" s="1">
        <v>1922</v>
      </c>
      <c r="K6890" t="s">
        <v>3926</v>
      </c>
      <c r="L6890" t="s">
        <v>3927</v>
      </c>
    </row>
    <row r="6891" spans="1:12">
      <c r="A6891" t="s">
        <v>3928</v>
      </c>
      <c r="B6891" s="1" t="s">
        <v>3929</v>
      </c>
      <c r="F6891">
        <v>1</v>
      </c>
      <c r="G6891" t="str">
        <f>HYPERLINK("http://babel.hathitrust.org/cgi/pt?id=wu.89099750093")</f>
        <v>http://babel.hathitrust.org/cgi/pt?id=wu.89099750093</v>
      </c>
      <c r="H6891" t="str">
        <f>HYPERLINK("http://catalog.hathitrust.org/Record/008994022")</f>
        <v>http://catalog.hathitrust.org/Record/008994022</v>
      </c>
      <c r="J6891" s="1">
        <v>1921</v>
      </c>
      <c r="K6891" t="s">
        <v>13082</v>
      </c>
      <c r="L6891" t="s">
        <v>20382</v>
      </c>
    </row>
    <row r="6892" spans="1:12">
      <c r="A6892" t="s">
        <v>3930</v>
      </c>
      <c r="B6892" s="1" t="s">
        <v>3931</v>
      </c>
      <c r="D6892">
        <v>1</v>
      </c>
      <c r="G6892" t="str">
        <f>HYPERLINK("http://babel.hathitrust.org/cgi/pt?id=wu.89099897837")</f>
        <v>http://babel.hathitrust.org/cgi/pt?id=wu.89099897837</v>
      </c>
      <c r="H6892" t="str">
        <f>HYPERLINK("http://catalog.hathitrust.org/Record/008994043")</f>
        <v>http://catalog.hathitrust.org/Record/008994043</v>
      </c>
      <c r="J6892" s="1">
        <v>1922</v>
      </c>
      <c r="K6892" t="s">
        <v>3932</v>
      </c>
      <c r="L6892" t="s">
        <v>19253</v>
      </c>
    </row>
    <row r="6893" spans="1:12">
      <c r="A6893" t="s">
        <v>3933</v>
      </c>
      <c r="B6893" s="1" t="s">
        <v>3934</v>
      </c>
      <c r="F6893">
        <v>1</v>
      </c>
      <c r="G6893" t="str">
        <f>HYPERLINK("http://babel.hathitrust.org/cgi/pt?id=wu.89099897688")</f>
        <v>http://babel.hathitrust.org/cgi/pt?id=wu.89099897688</v>
      </c>
      <c r="H6893" t="str">
        <f>HYPERLINK("http://catalog.hathitrust.org/Record/008994051")</f>
        <v>http://catalog.hathitrust.org/Record/008994051</v>
      </c>
      <c r="J6893" s="1">
        <v>1918</v>
      </c>
      <c r="K6893" t="s">
        <v>3935</v>
      </c>
      <c r="L6893" t="s">
        <v>3936</v>
      </c>
    </row>
    <row r="6894" spans="1:12">
      <c r="A6894" t="s">
        <v>3937</v>
      </c>
      <c r="B6894" s="1" t="s">
        <v>3938</v>
      </c>
      <c r="E6894">
        <v>1</v>
      </c>
      <c r="G6894" t="str">
        <f>HYPERLINK("http://babel.hathitrust.org/cgi/pt?id=wu.89098526627")</f>
        <v>http://babel.hathitrust.org/cgi/pt?id=wu.89098526627</v>
      </c>
      <c r="H6894" t="str">
        <f>HYPERLINK("http://catalog.hathitrust.org/Record/008994269")</f>
        <v>http://catalog.hathitrust.org/Record/008994269</v>
      </c>
      <c r="I6894" s="1" t="s">
        <v>21018</v>
      </c>
      <c r="J6894" s="1">
        <v>1891</v>
      </c>
      <c r="K6894" t="s">
        <v>3939</v>
      </c>
    </row>
    <row r="6895" spans="1:12">
      <c r="A6895" t="s">
        <v>3940</v>
      </c>
      <c r="B6895" s="1" t="s">
        <v>3941</v>
      </c>
      <c r="E6895">
        <v>1</v>
      </c>
      <c r="G6895" t="str">
        <f>HYPERLINK("http://babel.hathitrust.org/cgi/pt?id=wu.89069583706")</f>
        <v>http://babel.hathitrust.org/cgi/pt?id=wu.89069583706</v>
      </c>
      <c r="H6895" t="str">
        <f>HYPERLINK("http://catalog.hathitrust.org/Record/008996068")</f>
        <v>http://catalog.hathitrust.org/Record/008996068</v>
      </c>
      <c r="J6895" s="1">
        <v>1903</v>
      </c>
      <c r="K6895" t="s">
        <v>3942</v>
      </c>
      <c r="L6895" t="s">
        <v>20904</v>
      </c>
    </row>
    <row r="6896" spans="1:12">
      <c r="A6896" t="s">
        <v>3943</v>
      </c>
      <c r="B6896" s="1" t="s">
        <v>3944</v>
      </c>
      <c r="F6896">
        <v>1</v>
      </c>
      <c r="G6896" t="str">
        <f>HYPERLINK("http://babel.hathitrust.org/cgi/pt?id=wu.89090394735")</f>
        <v>http://babel.hathitrust.org/cgi/pt?id=wu.89090394735</v>
      </c>
      <c r="H6896" t="str">
        <f>HYPERLINK("http://catalog.hathitrust.org/Record/008998625")</f>
        <v>http://catalog.hathitrust.org/Record/008998625</v>
      </c>
      <c r="I6896" s="1" t="s">
        <v>20755</v>
      </c>
      <c r="J6896" s="1">
        <v>1819</v>
      </c>
      <c r="K6896" t="s">
        <v>3945</v>
      </c>
      <c r="L6896" t="s">
        <v>20043</v>
      </c>
    </row>
    <row r="6897" spans="1:12">
      <c r="A6897" t="s">
        <v>3946</v>
      </c>
      <c r="B6897" s="1" t="s">
        <v>3944</v>
      </c>
      <c r="F6897">
        <v>1</v>
      </c>
      <c r="G6897" t="str">
        <f>HYPERLINK("http://babel.hathitrust.org/cgi/pt?id=wu.89090394768")</f>
        <v>http://babel.hathitrust.org/cgi/pt?id=wu.89090394768</v>
      </c>
      <c r="H6897" t="str">
        <f>HYPERLINK("http://catalog.hathitrust.org/Record/008998625")</f>
        <v>http://catalog.hathitrust.org/Record/008998625</v>
      </c>
      <c r="I6897" s="1" t="s">
        <v>20916</v>
      </c>
      <c r="J6897" s="1">
        <v>1819</v>
      </c>
      <c r="K6897" t="s">
        <v>3945</v>
      </c>
      <c r="L6897" t="s">
        <v>20043</v>
      </c>
    </row>
    <row r="6898" spans="1:12">
      <c r="A6898" t="s">
        <v>3947</v>
      </c>
      <c r="B6898" s="1" t="s">
        <v>3948</v>
      </c>
      <c r="F6898">
        <v>1</v>
      </c>
      <c r="G6898" t="str">
        <f>HYPERLINK("http://babel.hathitrust.org/cgi/pt?id=njp.32101072857608")</f>
        <v>http://babel.hathitrust.org/cgi/pt?id=njp.32101072857608</v>
      </c>
      <c r="H6898" t="str">
        <f>HYPERLINK("http://catalog.hathitrust.org/Record/009009470")</f>
        <v>http://catalog.hathitrust.org/Record/009009470</v>
      </c>
      <c r="J6898" s="1">
        <v>1918</v>
      </c>
      <c r="K6898" t="s">
        <v>3838</v>
      </c>
      <c r="L6898" t="s">
        <v>3839</v>
      </c>
    </row>
    <row r="6899" spans="1:12">
      <c r="A6899" t="s">
        <v>3840</v>
      </c>
      <c r="B6899" s="1" t="s">
        <v>3841</v>
      </c>
      <c r="F6899">
        <v>1</v>
      </c>
      <c r="G6899" t="str">
        <f>HYPERLINK("http://babel.hathitrust.org/cgi/pt?id=njp.32101072897612")</f>
        <v>http://babel.hathitrust.org/cgi/pt?id=njp.32101072897612</v>
      </c>
      <c r="H6899" t="str">
        <f>HYPERLINK("http://catalog.hathitrust.org/Record/009010141")</f>
        <v>http://catalog.hathitrust.org/Record/009010141</v>
      </c>
      <c r="J6899" s="1">
        <v>1870</v>
      </c>
      <c r="K6899" t="s">
        <v>3842</v>
      </c>
      <c r="L6899" t="s">
        <v>4371</v>
      </c>
    </row>
    <row r="6900" spans="1:12">
      <c r="A6900" t="s">
        <v>3843</v>
      </c>
      <c r="B6900" s="1" t="s">
        <v>3844</v>
      </c>
      <c r="F6900">
        <v>1</v>
      </c>
      <c r="G6900" t="str">
        <f>HYPERLINK("http://babel.hathitrust.org/cgi/pt?id=njp.32101072897786")</f>
        <v>http://babel.hathitrust.org/cgi/pt?id=njp.32101072897786</v>
      </c>
      <c r="H6900" t="str">
        <f>HYPERLINK("http://catalog.hathitrust.org/Record/009010150")</f>
        <v>http://catalog.hathitrust.org/Record/009010150</v>
      </c>
      <c r="I6900" s="1" t="s">
        <v>20916</v>
      </c>
      <c r="J6900" s="1">
        <v>1887</v>
      </c>
      <c r="K6900" t="s">
        <v>3845</v>
      </c>
      <c r="L6900" t="s">
        <v>19827</v>
      </c>
    </row>
    <row r="6901" spans="1:12">
      <c r="A6901" t="s">
        <v>3846</v>
      </c>
      <c r="B6901" s="1" t="s">
        <v>3847</v>
      </c>
      <c r="F6901">
        <v>1</v>
      </c>
      <c r="G6901" t="str">
        <f>HYPERLINK("http://babel.hathitrust.org/cgi/pt?id=njp.32101072898107")</f>
        <v>http://babel.hathitrust.org/cgi/pt?id=njp.32101072898107</v>
      </c>
      <c r="H6901" t="str">
        <f>HYPERLINK("http://catalog.hathitrust.org/Record/009010168")</f>
        <v>http://catalog.hathitrust.org/Record/009010168</v>
      </c>
      <c r="J6901" s="1">
        <v>1875</v>
      </c>
      <c r="K6901" t="s">
        <v>3848</v>
      </c>
      <c r="L6901" t="s">
        <v>3849</v>
      </c>
    </row>
    <row r="6902" spans="1:12">
      <c r="A6902" t="s">
        <v>3850</v>
      </c>
      <c r="B6902" s="1" t="s">
        <v>3851</v>
      </c>
      <c r="F6902">
        <v>1</v>
      </c>
      <c r="G6902" t="str">
        <f>HYPERLINK("http://babel.hathitrust.org/cgi/pt?id=njp.32101072898115")</f>
        <v>http://babel.hathitrust.org/cgi/pt?id=njp.32101072898115</v>
      </c>
      <c r="H6902" t="str">
        <f>HYPERLINK("http://catalog.hathitrust.org/Record/009010169")</f>
        <v>http://catalog.hathitrust.org/Record/009010169</v>
      </c>
      <c r="J6902" s="1">
        <v>1871</v>
      </c>
      <c r="K6902" t="s">
        <v>7236</v>
      </c>
      <c r="L6902" t="s">
        <v>11794</v>
      </c>
    </row>
    <row r="6903" spans="1:12">
      <c r="A6903" t="s">
        <v>3852</v>
      </c>
      <c r="B6903" s="1" t="s">
        <v>3853</v>
      </c>
      <c r="F6903">
        <v>1</v>
      </c>
      <c r="G6903" t="str">
        <f>HYPERLINK("http://babel.hathitrust.org/cgi/pt?id=njp.32101072898123")</f>
        <v>http://babel.hathitrust.org/cgi/pt?id=njp.32101072898123</v>
      </c>
      <c r="H6903" t="str">
        <f>HYPERLINK("http://catalog.hathitrust.org/Record/009010170")</f>
        <v>http://catalog.hathitrust.org/Record/009010170</v>
      </c>
      <c r="J6903" s="1">
        <v>1880</v>
      </c>
      <c r="K6903" t="s">
        <v>3854</v>
      </c>
      <c r="L6903" t="s">
        <v>3855</v>
      </c>
    </row>
    <row r="6904" spans="1:12">
      <c r="A6904" t="s">
        <v>3856</v>
      </c>
      <c r="B6904" s="1" t="s">
        <v>3857</v>
      </c>
      <c r="F6904">
        <v>1</v>
      </c>
      <c r="G6904" t="str">
        <f>HYPERLINK("http://babel.hathitrust.org/cgi/pt?id=njp.32101072898131")</f>
        <v>http://babel.hathitrust.org/cgi/pt?id=njp.32101072898131</v>
      </c>
      <c r="H6904" t="str">
        <f>HYPERLINK("http://catalog.hathitrust.org/Record/009010171")</f>
        <v>http://catalog.hathitrust.org/Record/009010171</v>
      </c>
      <c r="J6904" s="1">
        <v>1877</v>
      </c>
      <c r="K6904" t="s">
        <v>3858</v>
      </c>
      <c r="L6904" t="s">
        <v>8434</v>
      </c>
    </row>
    <row r="6905" spans="1:12">
      <c r="A6905" t="s">
        <v>3859</v>
      </c>
      <c r="B6905" s="1" t="s">
        <v>3860</v>
      </c>
      <c r="F6905">
        <v>1</v>
      </c>
      <c r="G6905" t="str">
        <f>HYPERLINK("http://babel.hathitrust.org/cgi/pt?id=njp.32101072898149")</f>
        <v>http://babel.hathitrust.org/cgi/pt?id=njp.32101072898149</v>
      </c>
      <c r="H6905" t="str">
        <f>HYPERLINK("http://catalog.hathitrust.org/Record/009010172")</f>
        <v>http://catalog.hathitrust.org/Record/009010172</v>
      </c>
      <c r="J6905" s="1">
        <v>1899</v>
      </c>
      <c r="K6905" t="s">
        <v>3861</v>
      </c>
      <c r="L6905" t="s">
        <v>20448</v>
      </c>
    </row>
    <row r="6906" spans="1:12">
      <c r="A6906" t="s">
        <v>3862</v>
      </c>
      <c r="B6906" s="1" t="s">
        <v>3863</v>
      </c>
      <c r="F6906">
        <v>1</v>
      </c>
      <c r="G6906" t="str">
        <f>HYPERLINK("http://babel.hathitrust.org/cgi/pt?id=hvd.hn3ifk")</f>
        <v>http://babel.hathitrust.org/cgi/pt?id=hvd.hn3ifk</v>
      </c>
      <c r="H6906" t="str">
        <f>HYPERLINK("http://catalog.hathitrust.org/Record/009010174")</f>
        <v>http://catalog.hathitrust.org/Record/009010174</v>
      </c>
      <c r="J6906" s="1">
        <v>1868</v>
      </c>
      <c r="K6906" t="s">
        <v>3864</v>
      </c>
      <c r="L6906" t="s">
        <v>17034</v>
      </c>
    </row>
    <row r="6907" spans="1:12">
      <c r="A6907" t="s">
        <v>3865</v>
      </c>
      <c r="B6907" s="1" t="s">
        <v>3863</v>
      </c>
      <c r="F6907">
        <v>1</v>
      </c>
      <c r="G6907" t="str">
        <f>HYPERLINK("http://babel.hathitrust.org/cgi/pt?id=njp.32101072898172")</f>
        <v>http://babel.hathitrust.org/cgi/pt?id=njp.32101072898172</v>
      </c>
      <c r="H6907" t="str">
        <f>HYPERLINK("http://catalog.hathitrust.org/Record/009010174")</f>
        <v>http://catalog.hathitrust.org/Record/009010174</v>
      </c>
      <c r="J6907" s="1">
        <v>1868</v>
      </c>
      <c r="K6907" t="s">
        <v>3864</v>
      </c>
      <c r="L6907" t="s">
        <v>17034</v>
      </c>
    </row>
    <row r="6908" spans="1:12">
      <c r="A6908" t="s">
        <v>3866</v>
      </c>
      <c r="B6908" s="1" t="s">
        <v>3867</v>
      </c>
      <c r="F6908">
        <v>1</v>
      </c>
      <c r="G6908" t="str">
        <f>HYPERLINK("http://babel.hathitrust.org/cgi/pt?id=njp.32101072898180")</f>
        <v>http://babel.hathitrust.org/cgi/pt?id=njp.32101072898180</v>
      </c>
      <c r="H6908" t="str">
        <f>HYPERLINK("http://catalog.hathitrust.org/Record/009010175")</f>
        <v>http://catalog.hathitrust.org/Record/009010175</v>
      </c>
      <c r="J6908" s="1">
        <v>1853</v>
      </c>
      <c r="K6908" t="s">
        <v>3868</v>
      </c>
      <c r="L6908" t="s">
        <v>17034</v>
      </c>
    </row>
    <row r="6909" spans="1:12">
      <c r="A6909" t="s">
        <v>3869</v>
      </c>
      <c r="B6909" s="1" t="s">
        <v>3870</v>
      </c>
      <c r="F6909">
        <v>1</v>
      </c>
      <c r="G6909" t="str">
        <f>HYPERLINK("http://babel.hathitrust.org/cgi/pt?id=njp.32101072898198")</f>
        <v>http://babel.hathitrust.org/cgi/pt?id=njp.32101072898198</v>
      </c>
      <c r="H6909" t="str">
        <f>HYPERLINK("http://catalog.hathitrust.org/Record/009010176")</f>
        <v>http://catalog.hathitrust.org/Record/009010176</v>
      </c>
      <c r="J6909" s="1">
        <v>1874</v>
      </c>
      <c r="K6909" t="s">
        <v>7218</v>
      </c>
      <c r="L6909" t="s">
        <v>7219</v>
      </c>
    </row>
    <row r="6910" spans="1:12">
      <c r="A6910" t="s">
        <v>3871</v>
      </c>
      <c r="B6910" s="1" t="s">
        <v>3872</v>
      </c>
      <c r="F6910">
        <v>1</v>
      </c>
      <c r="G6910" t="str">
        <f>HYPERLINK("http://babel.hathitrust.org/cgi/pt?id=njp.32101072898206")</f>
        <v>http://babel.hathitrust.org/cgi/pt?id=njp.32101072898206</v>
      </c>
      <c r="H6910" t="str">
        <f>HYPERLINK("http://catalog.hathitrust.org/Record/009010177")</f>
        <v>http://catalog.hathitrust.org/Record/009010177</v>
      </c>
      <c r="J6910" s="1">
        <v>1813</v>
      </c>
      <c r="K6910" t="s">
        <v>3873</v>
      </c>
      <c r="L6910" t="s">
        <v>19694</v>
      </c>
    </row>
    <row r="6911" spans="1:12">
      <c r="A6911" t="s">
        <v>3874</v>
      </c>
      <c r="B6911" s="1" t="s">
        <v>3875</v>
      </c>
      <c r="F6911">
        <v>1</v>
      </c>
      <c r="G6911" t="str">
        <f>HYPERLINK("http://babel.hathitrust.org/cgi/pt?id=njp.32101072898214")</f>
        <v>http://babel.hathitrust.org/cgi/pt?id=njp.32101072898214</v>
      </c>
      <c r="H6911" t="str">
        <f>HYPERLINK("http://catalog.hathitrust.org/Record/009010178")</f>
        <v>http://catalog.hathitrust.org/Record/009010178</v>
      </c>
      <c r="J6911" s="1">
        <v>1875</v>
      </c>
      <c r="K6911" t="s">
        <v>3845</v>
      </c>
      <c r="L6911" t="s">
        <v>19827</v>
      </c>
    </row>
    <row r="6912" spans="1:12">
      <c r="A6912" t="s">
        <v>3876</v>
      </c>
      <c r="B6912" s="1" t="s">
        <v>3877</v>
      </c>
      <c r="E6912">
        <v>1</v>
      </c>
      <c r="F6912">
        <v>1</v>
      </c>
      <c r="G6912" t="str">
        <f>HYPERLINK("http://babel.hathitrust.org/cgi/pt?id=njp.32101072898222")</f>
        <v>http://babel.hathitrust.org/cgi/pt?id=njp.32101072898222</v>
      </c>
      <c r="H6912" t="str">
        <f>HYPERLINK("http://catalog.hathitrust.org/Record/009010179")</f>
        <v>http://catalog.hathitrust.org/Record/009010179</v>
      </c>
      <c r="J6912" s="1">
        <v>1869</v>
      </c>
      <c r="K6912" t="s">
        <v>3878</v>
      </c>
      <c r="L6912" t="s">
        <v>14864</v>
      </c>
    </row>
    <row r="6913" spans="1:12">
      <c r="A6913" t="s">
        <v>3879</v>
      </c>
      <c r="B6913" s="1" t="s">
        <v>3880</v>
      </c>
      <c r="D6913">
        <v>1</v>
      </c>
      <c r="G6913" t="str">
        <f>HYPERLINK("http://babel.hathitrust.org/cgi/pt?id=njp.32101072898289")</f>
        <v>http://babel.hathitrust.org/cgi/pt?id=njp.32101072898289</v>
      </c>
      <c r="H6913" t="str">
        <f>HYPERLINK("http://catalog.hathitrust.org/Record/009010182")</f>
        <v>http://catalog.hathitrust.org/Record/009010182</v>
      </c>
      <c r="J6913" s="1">
        <v>1827</v>
      </c>
      <c r="K6913" t="s">
        <v>3881</v>
      </c>
      <c r="L6913" t="s">
        <v>3882</v>
      </c>
    </row>
    <row r="6914" spans="1:12">
      <c r="A6914" t="s">
        <v>3883</v>
      </c>
      <c r="B6914" s="1" t="s">
        <v>3884</v>
      </c>
      <c r="D6914">
        <v>1</v>
      </c>
      <c r="G6914" t="str">
        <f>HYPERLINK("http://babel.hathitrust.org/cgi/pt?id=njp.32101072898305")</f>
        <v>http://babel.hathitrust.org/cgi/pt?id=njp.32101072898305</v>
      </c>
      <c r="H6914" t="str">
        <f>HYPERLINK("http://catalog.hathitrust.org/Record/009010183")</f>
        <v>http://catalog.hathitrust.org/Record/009010183</v>
      </c>
      <c r="J6914" s="1">
        <v>1920</v>
      </c>
      <c r="K6914" t="s">
        <v>3885</v>
      </c>
      <c r="L6914" t="s">
        <v>3886</v>
      </c>
    </row>
    <row r="6915" spans="1:12">
      <c r="A6915" t="s">
        <v>3887</v>
      </c>
      <c r="B6915" s="1" t="s">
        <v>3888</v>
      </c>
      <c r="D6915">
        <v>1</v>
      </c>
      <c r="G6915" t="str">
        <f>HYPERLINK("http://babel.hathitrust.org/cgi/pt?id=njp.32101072898313")</f>
        <v>http://babel.hathitrust.org/cgi/pt?id=njp.32101072898313</v>
      </c>
      <c r="H6915" t="str">
        <f>HYPERLINK("http://catalog.hathitrust.org/Record/009010184")</f>
        <v>http://catalog.hathitrust.org/Record/009010184</v>
      </c>
      <c r="J6915" s="1">
        <v>1917</v>
      </c>
      <c r="K6915" t="s">
        <v>3889</v>
      </c>
      <c r="L6915" t="s">
        <v>3890</v>
      </c>
    </row>
    <row r="6916" spans="1:12">
      <c r="A6916" t="s">
        <v>3891</v>
      </c>
      <c r="B6916" s="1" t="s">
        <v>3892</v>
      </c>
      <c r="D6916">
        <v>1</v>
      </c>
      <c r="G6916" t="str">
        <f>HYPERLINK("http://babel.hathitrust.org/cgi/pt?id=njp.32101072898321")</f>
        <v>http://babel.hathitrust.org/cgi/pt?id=njp.32101072898321</v>
      </c>
      <c r="H6916" t="str">
        <f>HYPERLINK("http://catalog.hathitrust.org/Record/009010185")</f>
        <v>http://catalog.hathitrust.org/Record/009010185</v>
      </c>
      <c r="J6916" s="1">
        <v>1922</v>
      </c>
      <c r="K6916" t="s">
        <v>15697</v>
      </c>
      <c r="L6916" t="s">
        <v>19690</v>
      </c>
    </row>
    <row r="6917" spans="1:12">
      <c r="A6917" t="s">
        <v>3893</v>
      </c>
      <c r="B6917" s="1" t="s">
        <v>3782</v>
      </c>
      <c r="F6917">
        <v>1</v>
      </c>
      <c r="G6917" t="str">
        <f>HYPERLINK("http://babel.hathitrust.org/cgi/pt?id=njp.32101072898362")</f>
        <v>http://babel.hathitrust.org/cgi/pt?id=njp.32101072898362</v>
      </c>
      <c r="H6917" t="str">
        <f>HYPERLINK("http://catalog.hathitrust.org/Record/009010188")</f>
        <v>http://catalog.hathitrust.org/Record/009010188</v>
      </c>
      <c r="J6917" s="1">
        <v>1852</v>
      </c>
      <c r="K6917" t="s">
        <v>7037</v>
      </c>
      <c r="L6917" t="s">
        <v>17959</v>
      </c>
    </row>
    <row r="6918" spans="1:12">
      <c r="A6918" t="s">
        <v>3783</v>
      </c>
      <c r="B6918" s="1" t="s">
        <v>3784</v>
      </c>
      <c r="E6918">
        <v>1</v>
      </c>
      <c r="F6918">
        <v>1</v>
      </c>
      <c r="G6918" t="str">
        <f>HYPERLINK("http://babel.hathitrust.org/cgi/pt?id=njp.32101072898388")</f>
        <v>http://babel.hathitrust.org/cgi/pt?id=njp.32101072898388</v>
      </c>
      <c r="H6918" t="str">
        <f>HYPERLINK("http://catalog.hathitrust.org/Record/009010189")</f>
        <v>http://catalog.hathitrust.org/Record/009010189</v>
      </c>
      <c r="J6918" s="1">
        <v>1834</v>
      </c>
      <c r="K6918" t="s">
        <v>3785</v>
      </c>
      <c r="L6918" t="s">
        <v>15008</v>
      </c>
    </row>
    <row r="6919" spans="1:12">
      <c r="A6919" t="s">
        <v>3786</v>
      </c>
      <c r="B6919" s="1" t="s">
        <v>3787</v>
      </c>
      <c r="F6919">
        <v>1</v>
      </c>
      <c r="G6919" t="str">
        <f>HYPERLINK("http://babel.hathitrust.org/cgi/pt?id=njp.32101072898404")</f>
        <v>http://babel.hathitrust.org/cgi/pt?id=njp.32101072898404</v>
      </c>
      <c r="H6919" t="str">
        <f>HYPERLINK("http://catalog.hathitrust.org/Record/009010191")</f>
        <v>http://catalog.hathitrust.org/Record/009010191</v>
      </c>
      <c r="J6919" s="1">
        <v>1888</v>
      </c>
      <c r="K6919" t="s">
        <v>3788</v>
      </c>
      <c r="L6919" t="s">
        <v>3789</v>
      </c>
    </row>
    <row r="6920" spans="1:12">
      <c r="A6920" t="s">
        <v>3790</v>
      </c>
      <c r="B6920" s="1" t="s">
        <v>3791</v>
      </c>
      <c r="F6920">
        <v>1</v>
      </c>
      <c r="G6920" t="str">
        <f>HYPERLINK("http://babel.hathitrust.org/cgi/pt?id=njp.32101072898438")</f>
        <v>http://babel.hathitrust.org/cgi/pt?id=njp.32101072898438</v>
      </c>
      <c r="H6920" t="str">
        <f>HYPERLINK("http://catalog.hathitrust.org/Record/009010193")</f>
        <v>http://catalog.hathitrust.org/Record/009010193</v>
      </c>
      <c r="J6920" s="1">
        <v>1910</v>
      </c>
      <c r="K6920" t="s">
        <v>3792</v>
      </c>
      <c r="L6920" t="s">
        <v>16960</v>
      </c>
    </row>
    <row r="6921" spans="1:12">
      <c r="A6921" t="s">
        <v>3793</v>
      </c>
      <c r="B6921" s="1" t="s">
        <v>3794</v>
      </c>
      <c r="F6921">
        <v>1</v>
      </c>
      <c r="G6921" t="str">
        <f>HYPERLINK("http://babel.hathitrust.org/cgi/pt?id=njp.32101072898453")</f>
        <v>http://babel.hathitrust.org/cgi/pt?id=njp.32101072898453</v>
      </c>
      <c r="H6921" t="str">
        <f>HYPERLINK("http://catalog.hathitrust.org/Record/009010194")</f>
        <v>http://catalog.hathitrust.org/Record/009010194</v>
      </c>
      <c r="J6921" s="1">
        <v>1913</v>
      </c>
      <c r="K6921" t="s">
        <v>12578</v>
      </c>
      <c r="L6921" t="s">
        <v>15267</v>
      </c>
    </row>
    <row r="6922" spans="1:12">
      <c r="A6922" t="s">
        <v>3795</v>
      </c>
      <c r="B6922" s="1" t="s">
        <v>3796</v>
      </c>
      <c r="F6922">
        <v>1</v>
      </c>
      <c r="G6922" t="str">
        <f>HYPERLINK("http://babel.hathitrust.org/cgi/pt?id=njp.32101072898461")</f>
        <v>http://babel.hathitrust.org/cgi/pt?id=njp.32101072898461</v>
      </c>
      <c r="H6922" t="str">
        <f>HYPERLINK("http://catalog.hathitrust.org/Record/009010195")</f>
        <v>http://catalog.hathitrust.org/Record/009010195</v>
      </c>
      <c r="J6922" s="1">
        <v>1912</v>
      </c>
      <c r="K6922" t="s">
        <v>12747</v>
      </c>
      <c r="L6922" t="s">
        <v>12748</v>
      </c>
    </row>
    <row r="6923" spans="1:12">
      <c r="A6923" t="s">
        <v>3797</v>
      </c>
      <c r="B6923" s="1" t="s">
        <v>3798</v>
      </c>
      <c r="F6923">
        <v>1</v>
      </c>
      <c r="G6923" t="str">
        <f>HYPERLINK("http://babel.hathitrust.org/cgi/pt?id=njp.32101072898479")</f>
        <v>http://babel.hathitrust.org/cgi/pt?id=njp.32101072898479</v>
      </c>
      <c r="H6923" t="str">
        <f>HYPERLINK("http://catalog.hathitrust.org/Record/009010196")</f>
        <v>http://catalog.hathitrust.org/Record/009010196</v>
      </c>
      <c r="J6923" s="1">
        <v>1901</v>
      </c>
      <c r="K6923" t="s">
        <v>3799</v>
      </c>
      <c r="L6923" t="s">
        <v>3800</v>
      </c>
    </row>
    <row r="6924" spans="1:12">
      <c r="A6924" t="s">
        <v>3801</v>
      </c>
      <c r="B6924" s="1" t="s">
        <v>3802</v>
      </c>
      <c r="D6924">
        <v>1</v>
      </c>
      <c r="G6924" t="str">
        <f>HYPERLINK("http://babel.hathitrust.org/cgi/pt?id=njp.32101072898495")</f>
        <v>http://babel.hathitrust.org/cgi/pt?id=njp.32101072898495</v>
      </c>
      <c r="H6924" t="str">
        <f>HYPERLINK("http://catalog.hathitrust.org/Record/009010198")</f>
        <v>http://catalog.hathitrust.org/Record/009010198</v>
      </c>
      <c r="J6924" s="1">
        <v>1824</v>
      </c>
      <c r="K6924" t="s">
        <v>6699</v>
      </c>
      <c r="L6924" t="s">
        <v>15473</v>
      </c>
    </row>
    <row r="6925" spans="1:12">
      <c r="A6925" t="s">
        <v>3803</v>
      </c>
      <c r="B6925" s="1" t="s">
        <v>3804</v>
      </c>
      <c r="F6925">
        <v>1</v>
      </c>
      <c r="G6925" t="str">
        <f>HYPERLINK("http://babel.hathitrust.org/cgi/pt?id=njp.32101072898560")</f>
        <v>http://babel.hathitrust.org/cgi/pt?id=njp.32101072898560</v>
      </c>
      <c r="H6925" t="str">
        <f>HYPERLINK("http://catalog.hathitrust.org/Record/009010199")</f>
        <v>http://catalog.hathitrust.org/Record/009010199</v>
      </c>
      <c r="J6925" s="1">
        <v>1914</v>
      </c>
      <c r="K6925" t="s">
        <v>3805</v>
      </c>
    </row>
    <row r="6926" spans="1:12">
      <c r="A6926" t="s">
        <v>3806</v>
      </c>
      <c r="B6926" s="1" t="s">
        <v>3807</v>
      </c>
      <c r="F6926">
        <v>1</v>
      </c>
      <c r="G6926" t="str">
        <f>HYPERLINK("http://babel.hathitrust.org/cgi/pt?id=njp.32101072898651")</f>
        <v>http://babel.hathitrust.org/cgi/pt?id=njp.32101072898651</v>
      </c>
      <c r="H6926" t="str">
        <f>HYPERLINK("http://catalog.hathitrust.org/Record/009010202")</f>
        <v>http://catalog.hathitrust.org/Record/009010202</v>
      </c>
      <c r="J6926" s="1">
        <v>1894</v>
      </c>
      <c r="K6926" t="s">
        <v>3808</v>
      </c>
      <c r="L6926" t="s">
        <v>15226</v>
      </c>
    </row>
    <row r="6927" spans="1:12">
      <c r="A6927" t="s">
        <v>3809</v>
      </c>
      <c r="B6927" s="1" t="s">
        <v>3810</v>
      </c>
      <c r="F6927">
        <v>1</v>
      </c>
      <c r="G6927" t="str">
        <f>HYPERLINK("http://babel.hathitrust.org/cgi/pt?id=njp.32101072898677")</f>
        <v>http://babel.hathitrust.org/cgi/pt?id=njp.32101072898677</v>
      </c>
      <c r="H6927" t="str">
        <f>HYPERLINK("http://catalog.hathitrust.org/Record/009010203")</f>
        <v>http://catalog.hathitrust.org/Record/009010203</v>
      </c>
      <c r="J6927" s="1">
        <v>1920</v>
      </c>
      <c r="K6927" t="s">
        <v>10573</v>
      </c>
      <c r="L6927" t="s">
        <v>11008</v>
      </c>
    </row>
    <row r="6928" spans="1:12">
      <c r="A6928" t="s">
        <v>3811</v>
      </c>
      <c r="B6928" s="1" t="s">
        <v>3812</v>
      </c>
      <c r="E6928">
        <v>1</v>
      </c>
      <c r="G6928" t="str">
        <f>HYPERLINK("http://babel.hathitrust.org/cgi/pt?id=njp.32101073025932")</f>
        <v>http://babel.hathitrust.org/cgi/pt?id=njp.32101073025932</v>
      </c>
      <c r="H6928" t="str">
        <f>HYPERLINK("http://catalog.hathitrust.org/Record/009011439")</f>
        <v>http://catalog.hathitrust.org/Record/009011439</v>
      </c>
      <c r="J6928" s="1">
        <v>1849</v>
      </c>
      <c r="K6928" t="s">
        <v>3813</v>
      </c>
      <c r="L6928" t="s">
        <v>3814</v>
      </c>
    </row>
    <row r="6929" spans="1:12">
      <c r="A6929" t="s">
        <v>3815</v>
      </c>
      <c r="B6929" s="1" t="s">
        <v>3816</v>
      </c>
      <c r="F6929">
        <v>1</v>
      </c>
      <c r="G6929" t="str">
        <f>HYPERLINK("http://babel.hathitrust.org/cgi/pt?id=njp.32101073245571")</f>
        <v>http://babel.hathitrust.org/cgi/pt?id=njp.32101073245571</v>
      </c>
      <c r="H6929" t="str">
        <f>HYPERLINK("http://catalog.hathitrust.org/Record/009012262")</f>
        <v>http://catalog.hathitrust.org/Record/009012262</v>
      </c>
      <c r="J6929" s="1">
        <v>1790</v>
      </c>
      <c r="K6929" t="s">
        <v>3817</v>
      </c>
    </row>
    <row r="6930" spans="1:12">
      <c r="A6930" t="s">
        <v>3818</v>
      </c>
      <c r="B6930" s="1" t="s">
        <v>3819</v>
      </c>
      <c r="F6930">
        <v>1</v>
      </c>
      <c r="G6930" t="str">
        <f>HYPERLINK("http://babel.hathitrust.org/cgi/pt?id=njp.32101073250001")</f>
        <v>http://babel.hathitrust.org/cgi/pt?id=njp.32101073250001</v>
      </c>
      <c r="H6930" t="str">
        <f>HYPERLINK("http://catalog.hathitrust.org/Record/009012413")</f>
        <v>http://catalog.hathitrust.org/Record/009012413</v>
      </c>
      <c r="J6930" s="1">
        <v>1695</v>
      </c>
      <c r="K6930" t="s">
        <v>3820</v>
      </c>
      <c r="L6930" t="s">
        <v>3821</v>
      </c>
    </row>
    <row r="6931" spans="1:12">
      <c r="A6931" t="s">
        <v>3822</v>
      </c>
      <c r="B6931" s="1" t="s">
        <v>3823</v>
      </c>
      <c r="F6931">
        <v>1</v>
      </c>
      <c r="G6931" t="str">
        <f>HYPERLINK("http://babel.hathitrust.org/cgi/pt?id=njp.32101073360057")</f>
        <v>http://babel.hathitrust.org/cgi/pt?id=njp.32101073360057</v>
      </c>
      <c r="H6931" t="str">
        <f>HYPERLINK("http://catalog.hathitrust.org/Record/009014223")</f>
        <v>http://catalog.hathitrust.org/Record/009014223</v>
      </c>
      <c r="J6931" s="1">
        <v>1867</v>
      </c>
      <c r="K6931" t="s">
        <v>3824</v>
      </c>
      <c r="L6931" t="s">
        <v>11103</v>
      </c>
    </row>
    <row r="6932" spans="1:12">
      <c r="A6932" t="s">
        <v>3825</v>
      </c>
      <c r="B6932" s="1" t="s">
        <v>3826</v>
      </c>
      <c r="E6932">
        <v>1</v>
      </c>
      <c r="G6932" t="str">
        <f>HYPERLINK("http://babel.hathitrust.org/cgi/pt?id=njp.32101073360073")</f>
        <v>http://babel.hathitrust.org/cgi/pt?id=njp.32101073360073</v>
      </c>
      <c r="H6932" t="str">
        <f>HYPERLINK("http://catalog.hathitrust.org/Record/009014225")</f>
        <v>http://catalog.hathitrust.org/Record/009014225</v>
      </c>
      <c r="I6932" s="1" t="s">
        <v>20916</v>
      </c>
      <c r="J6932" s="1">
        <v>1899</v>
      </c>
      <c r="K6932" t="s">
        <v>3827</v>
      </c>
      <c r="L6932" t="s">
        <v>20783</v>
      </c>
    </row>
    <row r="6933" spans="1:12">
      <c r="A6933" t="s">
        <v>3828</v>
      </c>
      <c r="B6933" s="1" t="s">
        <v>3826</v>
      </c>
      <c r="E6933">
        <v>1</v>
      </c>
      <c r="G6933" t="str">
        <f>HYPERLINK("http://babel.hathitrust.org/cgi/pt?id=njp.32101073360081")</f>
        <v>http://babel.hathitrust.org/cgi/pt?id=njp.32101073360081</v>
      </c>
      <c r="H6933" t="str">
        <f>HYPERLINK("http://catalog.hathitrust.org/Record/009014225")</f>
        <v>http://catalog.hathitrust.org/Record/009014225</v>
      </c>
      <c r="I6933" s="1" t="s">
        <v>20920</v>
      </c>
      <c r="J6933" s="1">
        <v>1899</v>
      </c>
      <c r="K6933" t="s">
        <v>3827</v>
      </c>
      <c r="L6933" t="s">
        <v>20783</v>
      </c>
    </row>
    <row r="6934" spans="1:12">
      <c r="A6934" t="s">
        <v>3829</v>
      </c>
      <c r="B6934" s="1" t="s">
        <v>3830</v>
      </c>
      <c r="E6934">
        <v>1</v>
      </c>
      <c r="F6934">
        <v>1</v>
      </c>
      <c r="G6934" t="str">
        <f>HYPERLINK("http://babel.hathitrust.org/cgi/pt?id=njp.32101073393819")</f>
        <v>http://babel.hathitrust.org/cgi/pt?id=njp.32101073393819</v>
      </c>
      <c r="H6934" t="str">
        <f>HYPERLINK("http://catalog.hathitrust.org/Record/009014874")</f>
        <v>http://catalog.hathitrust.org/Record/009014874</v>
      </c>
      <c r="I6934" s="1" t="s">
        <v>20916</v>
      </c>
      <c r="J6934" s="1">
        <v>1801</v>
      </c>
      <c r="K6934" t="s">
        <v>3831</v>
      </c>
      <c r="L6934" t="s">
        <v>20753</v>
      </c>
    </row>
    <row r="6935" spans="1:12">
      <c r="A6935" t="s">
        <v>3832</v>
      </c>
      <c r="B6935" s="1" t="s">
        <v>3830</v>
      </c>
      <c r="E6935">
        <v>1</v>
      </c>
      <c r="F6935">
        <v>1</v>
      </c>
      <c r="G6935" t="str">
        <f>HYPERLINK("http://babel.hathitrust.org/cgi/pt?id=njp.32101073393827")</f>
        <v>http://babel.hathitrust.org/cgi/pt?id=njp.32101073393827</v>
      </c>
      <c r="H6935" t="str">
        <f>HYPERLINK("http://catalog.hathitrust.org/Record/009014874")</f>
        <v>http://catalog.hathitrust.org/Record/009014874</v>
      </c>
      <c r="I6935" s="1" t="s">
        <v>20755</v>
      </c>
      <c r="J6935" s="1">
        <v>1801</v>
      </c>
      <c r="K6935" t="s">
        <v>3831</v>
      </c>
      <c r="L6935" t="s">
        <v>20753</v>
      </c>
    </row>
    <row r="6936" spans="1:12">
      <c r="A6936" t="s">
        <v>3833</v>
      </c>
      <c r="B6936" s="1" t="s">
        <v>3830</v>
      </c>
      <c r="E6936">
        <v>1</v>
      </c>
      <c r="F6936">
        <v>1</v>
      </c>
      <c r="G6936" t="str">
        <f>HYPERLINK("http://babel.hathitrust.org/cgi/pt?id=njp.32101073393835")</f>
        <v>http://babel.hathitrust.org/cgi/pt?id=njp.32101073393835</v>
      </c>
      <c r="H6936" t="str">
        <f>HYPERLINK("http://catalog.hathitrust.org/Record/009014874")</f>
        <v>http://catalog.hathitrust.org/Record/009014874</v>
      </c>
      <c r="I6936" s="1" t="s">
        <v>20920</v>
      </c>
      <c r="J6936" s="1">
        <v>1801</v>
      </c>
      <c r="K6936" t="s">
        <v>3831</v>
      </c>
      <c r="L6936" t="s">
        <v>20753</v>
      </c>
    </row>
    <row r="6937" spans="1:12">
      <c r="A6937" t="s">
        <v>3834</v>
      </c>
      <c r="B6937" s="1" t="s">
        <v>3835</v>
      </c>
      <c r="D6937">
        <v>1</v>
      </c>
      <c r="G6937" t="str">
        <f>HYPERLINK("http://babel.hathitrust.org/cgi/pt?id=njp.32101073393850")</f>
        <v>http://babel.hathitrust.org/cgi/pt?id=njp.32101073393850</v>
      </c>
      <c r="H6937" t="str">
        <f>HYPERLINK("http://catalog.hathitrust.org/Record/009014875")</f>
        <v>http://catalog.hathitrust.org/Record/009014875</v>
      </c>
      <c r="J6937" s="1">
        <v>1903</v>
      </c>
      <c r="K6937" t="s">
        <v>3836</v>
      </c>
      <c r="L6937" t="s">
        <v>3837</v>
      </c>
    </row>
    <row r="6938" spans="1:12">
      <c r="A6938" t="s">
        <v>3741</v>
      </c>
      <c r="B6938" s="1" t="s">
        <v>3742</v>
      </c>
      <c r="F6938">
        <v>1</v>
      </c>
      <c r="G6938" t="str">
        <f>HYPERLINK("http://babel.hathitrust.org/cgi/pt?id=hvd.hnl9dx")</f>
        <v>http://babel.hathitrust.org/cgi/pt?id=hvd.hnl9dx</v>
      </c>
      <c r="H6938" t="str">
        <f>HYPERLINK("http://catalog.hathitrust.org/Record/009015654")</f>
        <v>http://catalog.hathitrust.org/Record/009015654</v>
      </c>
      <c r="J6938" s="1">
        <v>1847</v>
      </c>
      <c r="K6938" t="s">
        <v>3743</v>
      </c>
    </row>
    <row r="6939" spans="1:12">
      <c r="A6939" t="s">
        <v>3744</v>
      </c>
      <c r="B6939" s="1" t="s">
        <v>3745</v>
      </c>
      <c r="F6939">
        <v>1</v>
      </c>
      <c r="G6939" t="str">
        <f>HYPERLINK("http://babel.hathitrust.org/cgi/pt?id=njp.32101073430736")</f>
        <v>http://babel.hathitrust.org/cgi/pt?id=njp.32101073430736</v>
      </c>
      <c r="H6939" t="str">
        <f>HYPERLINK("http://catalog.hathitrust.org/Record/009015655")</f>
        <v>http://catalog.hathitrust.org/Record/009015655</v>
      </c>
      <c r="J6939" s="1">
        <v>1902</v>
      </c>
      <c r="K6939" t="s">
        <v>3746</v>
      </c>
    </row>
    <row r="6940" spans="1:12">
      <c r="A6940" t="s">
        <v>3747</v>
      </c>
      <c r="B6940" s="1" t="s">
        <v>3748</v>
      </c>
      <c r="D6940">
        <v>1</v>
      </c>
      <c r="G6940" t="str">
        <f>HYPERLINK("http://babel.hathitrust.org/cgi/pt?id=njp.32101073439182")</f>
        <v>http://babel.hathitrust.org/cgi/pt?id=njp.32101073439182</v>
      </c>
      <c r="H6940" t="str">
        <f>HYPERLINK("http://catalog.hathitrust.org/Record/009015849")</f>
        <v>http://catalog.hathitrust.org/Record/009015849</v>
      </c>
      <c r="J6940" s="1">
        <v>1885</v>
      </c>
      <c r="K6940" t="s">
        <v>3749</v>
      </c>
      <c r="L6940" t="s">
        <v>13169</v>
      </c>
    </row>
    <row r="6941" spans="1:12">
      <c r="A6941" t="s">
        <v>3750</v>
      </c>
      <c r="B6941" s="1" t="s">
        <v>3751</v>
      </c>
      <c r="F6941">
        <v>1</v>
      </c>
      <c r="G6941" t="str">
        <f>HYPERLINK("http://babel.hathitrust.org/cgi/pt?id=njp.32101074712157")</f>
        <v>http://babel.hathitrust.org/cgi/pt?id=njp.32101074712157</v>
      </c>
      <c r="H6941" t="str">
        <f>HYPERLINK("http://catalog.hathitrust.org/Record/009023583")</f>
        <v>http://catalog.hathitrust.org/Record/009023583</v>
      </c>
      <c r="I6941" s="1" t="s">
        <v>19820</v>
      </c>
      <c r="J6941" s="1">
        <v>1922</v>
      </c>
      <c r="K6941" t="s">
        <v>3752</v>
      </c>
    </row>
    <row r="6942" spans="1:12">
      <c r="A6942" t="s">
        <v>3753</v>
      </c>
      <c r="B6942" s="1" t="s">
        <v>3754</v>
      </c>
      <c r="F6942">
        <v>1</v>
      </c>
      <c r="G6942" t="str">
        <f>HYPERLINK("http://babel.hathitrust.org/cgi/pt?id=njp.32101074743244")</f>
        <v>http://babel.hathitrust.org/cgi/pt?id=njp.32101074743244</v>
      </c>
      <c r="H6942" t="str">
        <f>HYPERLINK("http://catalog.hathitrust.org/Record/009023872")</f>
        <v>http://catalog.hathitrust.org/Record/009023872</v>
      </c>
      <c r="J6942" s="1">
        <v>1860</v>
      </c>
      <c r="K6942" t="s">
        <v>3755</v>
      </c>
      <c r="L6942" t="s">
        <v>3756</v>
      </c>
    </row>
    <row r="6943" spans="1:12">
      <c r="A6943" t="s">
        <v>3757</v>
      </c>
      <c r="B6943" s="1" t="s">
        <v>3758</v>
      </c>
      <c r="F6943">
        <v>1</v>
      </c>
      <c r="G6943" t="str">
        <f>HYPERLINK("http://babel.hathitrust.org/cgi/pt?id=njp.32101074743269")</f>
        <v>http://babel.hathitrust.org/cgi/pt?id=njp.32101074743269</v>
      </c>
      <c r="H6943" t="str">
        <f>HYPERLINK("http://catalog.hathitrust.org/Record/009023874")</f>
        <v>http://catalog.hathitrust.org/Record/009023874</v>
      </c>
      <c r="J6943" s="1">
        <v>1881</v>
      </c>
      <c r="K6943" t="s">
        <v>3759</v>
      </c>
      <c r="L6943" t="s">
        <v>20884</v>
      </c>
    </row>
    <row r="6944" spans="1:12">
      <c r="A6944" t="s">
        <v>3760</v>
      </c>
      <c r="B6944" s="1" t="s">
        <v>3761</v>
      </c>
      <c r="F6944">
        <v>1</v>
      </c>
      <c r="G6944" t="str">
        <f>HYPERLINK("http://babel.hathitrust.org/cgi/pt?id=njp.32101074743301")</f>
        <v>http://babel.hathitrust.org/cgi/pt?id=njp.32101074743301</v>
      </c>
      <c r="H6944" t="str">
        <f>HYPERLINK("http://catalog.hathitrust.org/Record/009023876")</f>
        <v>http://catalog.hathitrust.org/Record/009023876</v>
      </c>
      <c r="J6944" s="1">
        <v>1890</v>
      </c>
      <c r="K6944" t="s">
        <v>3762</v>
      </c>
      <c r="L6944" t="s">
        <v>3763</v>
      </c>
    </row>
    <row r="6945" spans="1:12">
      <c r="A6945" t="s">
        <v>3764</v>
      </c>
      <c r="B6945" s="1" t="s">
        <v>3765</v>
      </c>
      <c r="F6945">
        <v>1</v>
      </c>
      <c r="G6945" t="str">
        <f>HYPERLINK("http://babel.hathitrust.org/cgi/pt?id=njp.32101074743319")</f>
        <v>http://babel.hathitrust.org/cgi/pt?id=njp.32101074743319</v>
      </c>
      <c r="H6945" t="str">
        <f>HYPERLINK("http://catalog.hathitrust.org/Record/009023877")</f>
        <v>http://catalog.hathitrust.org/Record/009023877</v>
      </c>
      <c r="J6945" s="1">
        <v>1871</v>
      </c>
      <c r="K6945" t="s">
        <v>3766</v>
      </c>
      <c r="L6945" t="s">
        <v>3763</v>
      </c>
    </row>
    <row r="6946" spans="1:12">
      <c r="A6946" t="s">
        <v>3767</v>
      </c>
      <c r="B6946" s="1" t="s">
        <v>3768</v>
      </c>
      <c r="F6946">
        <v>1</v>
      </c>
      <c r="G6946" t="str">
        <f>HYPERLINK("http://babel.hathitrust.org/cgi/pt?id=njp.32101074743327")</f>
        <v>http://babel.hathitrust.org/cgi/pt?id=njp.32101074743327</v>
      </c>
      <c r="H6946" t="str">
        <f>HYPERLINK("http://catalog.hathitrust.org/Record/009023878")</f>
        <v>http://catalog.hathitrust.org/Record/009023878</v>
      </c>
      <c r="J6946" s="1">
        <v>1850</v>
      </c>
      <c r="K6946" t="s">
        <v>3769</v>
      </c>
      <c r="L6946" t="s">
        <v>3770</v>
      </c>
    </row>
    <row r="6947" spans="1:12">
      <c r="A6947" t="s">
        <v>3771</v>
      </c>
      <c r="B6947" s="1" t="s">
        <v>3772</v>
      </c>
      <c r="E6947">
        <v>1</v>
      </c>
      <c r="F6947">
        <v>1</v>
      </c>
      <c r="G6947" t="str">
        <f>HYPERLINK("http://babel.hathitrust.org/cgi/pt?id=njp.32101074743350")</f>
        <v>http://babel.hathitrust.org/cgi/pt?id=njp.32101074743350</v>
      </c>
      <c r="H6947" t="str">
        <f>HYPERLINK("http://catalog.hathitrust.org/Record/009023880")</f>
        <v>http://catalog.hathitrust.org/Record/009023880</v>
      </c>
      <c r="J6947" s="1">
        <v>1850</v>
      </c>
      <c r="K6947" t="s">
        <v>3773</v>
      </c>
      <c r="L6947" t="s">
        <v>11854</v>
      </c>
    </row>
    <row r="6948" spans="1:12">
      <c r="A6948" t="s">
        <v>3774</v>
      </c>
      <c r="B6948" s="1" t="s">
        <v>3775</v>
      </c>
      <c r="E6948">
        <v>1</v>
      </c>
      <c r="G6948" t="str">
        <f>HYPERLINK("http://babel.hathitrust.org/cgi/pt?id=njp.32101074743368")</f>
        <v>http://babel.hathitrust.org/cgi/pt?id=njp.32101074743368</v>
      </c>
      <c r="H6948" t="str">
        <f>HYPERLINK("http://catalog.hathitrust.org/Record/009023881")</f>
        <v>http://catalog.hathitrust.org/Record/009023881</v>
      </c>
      <c r="J6948" s="1">
        <v>1847</v>
      </c>
      <c r="K6948" t="s">
        <v>3776</v>
      </c>
      <c r="L6948" t="s">
        <v>12780</v>
      </c>
    </row>
    <row r="6949" spans="1:12">
      <c r="A6949" t="s">
        <v>3777</v>
      </c>
      <c r="B6949" s="1" t="s">
        <v>3778</v>
      </c>
      <c r="E6949">
        <v>1</v>
      </c>
      <c r="F6949">
        <v>1</v>
      </c>
      <c r="G6949" t="str">
        <f>HYPERLINK("http://babel.hathitrust.org/cgi/pt?id=njp.32101074743376")</f>
        <v>http://babel.hathitrust.org/cgi/pt?id=njp.32101074743376</v>
      </c>
      <c r="H6949" t="str">
        <f>HYPERLINK("http://catalog.hathitrust.org/Record/009023882")</f>
        <v>http://catalog.hathitrust.org/Record/009023882</v>
      </c>
      <c r="J6949" s="1">
        <v>1843</v>
      </c>
      <c r="K6949" t="s">
        <v>3779</v>
      </c>
      <c r="L6949" t="s">
        <v>12780</v>
      </c>
    </row>
    <row r="6950" spans="1:12">
      <c r="A6950" t="s">
        <v>3780</v>
      </c>
      <c r="B6950" s="1" t="s">
        <v>3781</v>
      </c>
      <c r="F6950">
        <v>1</v>
      </c>
      <c r="G6950" t="str">
        <f>HYPERLINK("http://babel.hathitrust.org/cgi/pt?id=njp.32101074743384")</f>
        <v>http://babel.hathitrust.org/cgi/pt?id=njp.32101074743384</v>
      </c>
      <c r="H6950" t="str">
        <f>HYPERLINK("http://catalog.hathitrust.org/Record/009023883")</f>
        <v>http://catalog.hathitrust.org/Record/009023883</v>
      </c>
      <c r="J6950" s="1">
        <v>1836</v>
      </c>
      <c r="K6950" t="s">
        <v>3689</v>
      </c>
      <c r="L6950" t="s">
        <v>11955</v>
      </c>
    </row>
    <row r="6951" spans="1:12">
      <c r="A6951" t="s">
        <v>3690</v>
      </c>
      <c r="B6951" s="1" t="s">
        <v>3691</v>
      </c>
      <c r="F6951">
        <v>1</v>
      </c>
      <c r="G6951" t="str">
        <f>HYPERLINK("http://babel.hathitrust.org/cgi/pt?id=njp.32101074743392")</f>
        <v>http://babel.hathitrust.org/cgi/pt?id=njp.32101074743392</v>
      </c>
      <c r="H6951" t="str">
        <f>HYPERLINK("http://catalog.hathitrust.org/Record/009023884")</f>
        <v>http://catalog.hathitrust.org/Record/009023884</v>
      </c>
      <c r="J6951" s="1">
        <v>1891</v>
      </c>
      <c r="K6951" t="s">
        <v>3692</v>
      </c>
      <c r="L6951" t="s">
        <v>6371</v>
      </c>
    </row>
    <row r="6952" spans="1:12">
      <c r="A6952" t="s">
        <v>3693</v>
      </c>
      <c r="B6952" s="1" t="s">
        <v>3694</v>
      </c>
      <c r="F6952">
        <v>1</v>
      </c>
      <c r="G6952" t="str">
        <f>HYPERLINK("http://babel.hathitrust.org/cgi/pt?id=njp.32101074743418")</f>
        <v>http://babel.hathitrust.org/cgi/pt?id=njp.32101074743418</v>
      </c>
      <c r="H6952" t="str">
        <f>HYPERLINK("http://catalog.hathitrust.org/Record/009023886")</f>
        <v>http://catalog.hathitrust.org/Record/009023886</v>
      </c>
      <c r="J6952" s="1">
        <v>1841</v>
      </c>
      <c r="K6952" t="s">
        <v>3695</v>
      </c>
      <c r="L6952" t="s">
        <v>3696</v>
      </c>
    </row>
    <row r="6953" spans="1:12">
      <c r="A6953" t="s">
        <v>3697</v>
      </c>
      <c r="B6953" s="1" t="s">
        <v>3698</v>
      </c>
      <c r="F6953">
        <v>1</v>
      </c>
      <c r="G6953" t="str">
        <f>HYPERLINK("http://babel.hathitrust.org/cgi/pt?id=njp.32101074743434")</f>
        <v>http://babel.hathitrust.org/cgi/pt?id=njp.32101074743434</v>
      </c>
      <c r="H6953" t="str">
        <f>HYPERLINK("http://catalog.hathitrust.org/Record/009023888")</f>
        <v>http://catalog.hathitrust.org/Record/009023888</v>
      </c>
      <c r="J6953" s="1">
        <v>1915</v>
      </c>
      <c r="K6953" t="s">
        <v>3699</v>
      </c>
      <c r="L6953" t="s">
        <v>6151</v>
      </c>
    </row>
    <row r="6954" spans="1:12">
      <c r="A6954" t="s">
        <v>3700</v>
      </c>
      <c r="B6954" s="1" t="s">
        <v>3701</v>
      </c>
      <c r="F6954">
        <v>1</v>
      </c>
      <c r="G6954" t="str">
        <f>HYPERLINK("http://babel.hathitrust.org/cgi/pt?id=njp.32101074743491")</f>
        <v>http://babel.hathitrust.org/cgi/pt?id=njp.32101074743491</v>
      </c>
      <c r="H6954" t="str">
        <f>HYPERLINK("http://catalog.hathitrust.org/Record/009023893")</f>
        <v>http://catalog.hathitrust.org/Record/009023893</v>
      </c>
      <c r="J6954" s="1">
        <v>1822</v>
      </c>
      <c r="K6954" t="s">
        <v>3702</v>
      </c>
      <c r="L6954" t="s">
        <v>3703</v>
      </c>
    </row>
    <row r="6955" spans="1:12">
      <c r="A6955" t="s">
        <v>3704</v>
      </c>
      <c r="B6955" s="1" t="s">
        <v>3705</v>
      </c>
      <c r="F6955">
        <v>1</v>
      </c>
      <c r="G6955" t="str">
        <f>HYPERLINK("http://babel.hathitrust.org/cgi/pt?id=njp.32101074756428")</f>
        <v>http://babel.hathitrust.org/cgi/pt?id=njp.32101074756428</v>
      </c>
      <c r="H6955" t="str">
        <f>HYPERLINK("http://catalog.hathitrust.org/Record/009024032")</f>
        <v>http://catalog.hathitrust.org/Record/009024032</v>
      </c>
      <c r="J6955" s="1">
        <v>1892</v>
      </c>
      <c r="K6955" t="s">
        <v>3706</v>
      </c>
      <c r="L6955" t="s">
        <v>5721</v>
      </c>
    </row>
    <row r="6956" spans="1:12">
      <c r="A6956" t="s">
        <v>3707</v>
      </c>
      <c r="B6956" s="1" t="s">
        <v>3708</v>
      </c>
      <c r="F6956">
        <v>1</v>
      </c>
      <c r="G6956" t="str">
        <f>HYPERLINK("http://babel.hathitrust.org/cgi/pt?id=njp.32101074756501")</f>
        <v>http://babel.hathitrust.org/cgi/pt?id=njp.32101074756501</v>
      </c>
      <c r="H6956" t="str">
        <f>HYPERLINK("http://catalog.hathitrust.org/Record/009024039")</f>
        <v>http://catalog.hathitrust.org/Record/009024039</v>
      </c>
      <c r="J6956" s="1">
        <v>1869</v>
      </c>
      <c r="K6956" t="s">
        <v>3709</v>
      </c>
      <c r="L6956" t="s">
        <v>16306</v>
      </c>
    </row>
    <row r="6957" spans="1:12">
      <c r="A6957" t="s">
        <v>3710</v>
      </c>
      <c r="B6957" s="1" t="s">
        <v>3711</v>
      </c>
      <c r="F6957">
        <v>1</v>
      </c>
      <c r="G6957" t="str">
        <f>HYPERLINK("http://babel.hathitrust.org/cgi/pt?id=njp.32101074756691")</f>
        <v>http://babel.hathitrust.org/cgi/pt?id=njp.32101074756691</v>
      </c>
      <c r="H6957" t="str">
        <f>HYPERLINK("http://catalog.hathitrust.org/Record/009024045")</f>
        <v>http://catalog.hathitrust.org/Record/009024045</v>
      </c>
      <c r="J6957" s="1">
        <v>1921</v>
      </c>
      <c r="K6957" t="s">
        <v>3712</v>
      </c>
      <c r="L6957" t="s">
        <v>14495</v>
      </c>
    </row>
    <row r="6958" spans="1:12">
      <c r="A6958" t="s">
        <v>3713</v>
      </c>
      <c r="B6958" s="1" t="s">
        <v>3714</v>
      </c>
      <c r="F6958">
        <v>1</v>
      </c>
      <c r="G6958" t="str">
        <f>HYPERLINK("http://babel.hathitrust.org/cgi/pt?id=njp.32101074756725")</f>
        <v>http://babel.hathitrust.org/cgi/pt?id=njp.32101074756725</v>
      </c>
      <c r="H6958" t="str">
        <f>HYPERLINK("http://catalog.hathitrust.org/Record/009024047")</f>
        <v>http://catalog.hathitrust.org/Record/009024047</v>
      </c>
      <c r="J6958" s="1">
        <v>1898</v>
      </c>
      <c r="K6958" t="s">
        <v>3715</v>
      </c>
      <c r="L6958" t="s">
        <v>3716</v>
      </c>
    </row>
    <row r="6959" spans="1:12">
      <c r="A6959" t="s">
        <v>3717</v>
      </c>
      <c r="B6959" s="1" t="s">
        <v>3718</v>
      </c>
      <c r="F6959">
        <v>1</v>
      </c>
      <c r="G6959" t="str">
        <f>HYPERLINK("http://babel.hathitrust.org/cgi/pt?id=njp.32101074756766")</f>
        <v>http://babel.hathitrust.org/cgi/pt?id=njp.32101074756766</v>
      </c>
      <c r="H6959" t="str">
        <f>HYPERLINK("http://catalog.hathitrust.org/Record/009024049")</f>
        <v>http://catalog.hathitrust.org/Record/009024049</v>
      </c>
      <c r="J6959" s="1">
        <v>1889</v>
      </c>
      <c r="K6959" t="s">
        <v>3719</v>
      </c>
      <c r="L6959" t="s">
        <v>14746</v>
      </c>
    </row>
    <row r="6960" spans="1:12">
      <c r="A6960" t="s">
        <v>3720</v>
      </c>
      <c r="B6960" s="1" t="s">
        <v>3721</v>
      </c>
      <c r="F6960">
        <v>1</v>
      </c>
      <c r="G6960" t="str">
        <f>HYPERLINK("http://babel.hathitrust.org/cgi/pt?id=njp.32101074756774")</f>
        <v>http://babel.hathitrust.org/cgi/pt?id=njp.32101074756774</v>
      </c>
      <c r="H6960" t="str">
        <f>HYPERLINK("http://catalog.hathitrust.org/Record/009024050")</f>
        <v>http://catalog.hathitrust.org/Record/009024050</v>
      </c>
      <c r="J6960" s="1">
        <v>1914</v>
      </c>
      <c r="K6960" t="s">
        <v>3722</v>
      </c>
      <c r="L6960" t="s">
        <v>10163</v>
      </c>
    </row>
    <row r="6961" spans="1:12">
      <c r="A6961" t="s">
        <v>3723</v>
      </c>
      <c r="B6961" s="1" t="s">
        <v>3724</v>
      </c>
      <c r="F6961">
        <v>1</v>
      </c>
      <c r="G6961" t="str">
        <f>HYPERLINK("http://babel.hathitrust.org/cgi/pt?id=njp.32101074756790")</f>
        <v>http://babel.hathitrust.org/cgi/pt?id=njp.32101074756790</v>
      </c>
      <c r="H6961" t="str">
        <f>HYPERLINK("http://catalog.hathitrust.org/Record/009024051")</f>
        <v>http://catalog.hathitrust.org/Record/009024051</v>
      </c>
      <c r="J6961" s="1">
        <v>1914</v>
      </c>
      <c r="K6961" t="s">
        <v>3725</v>
      </c>
      <c r="L6961" t="s">
        <v>16095</v>
      </c>
    </row>
    <row r="6962" spans="1:12">
      <c r="A6962" t="s">
        <v>3726</v>
      </c>
      <c r="B6962" s="1" t="s">
        <v>3727</v>
      </c>
      <c r="E6962">
        <v>1</v>
      </c>
      <c r="G6962" t="str">
        <f>HYPERLINK("http://babel.hathitrust.org/cgi/pt?id=njp.32101074756816")</f>
        <v>http://babel.hathitrust.org/cgi/pt?id=njp.32101074756816</v>
      </c>
      <c r="H6962" t="str">
        <f>HYPERLINK("http://catalog.hathitrust.org/Record/009024052")</f>
        <v>http://catalog.hathitrust.org/Record/009024052</v>
      </c>
      <c r="I6962" s="1" t="s">
        <v>4700</v>
      </c>
      <c r="J6962" s="1">
        <v>1882</v>
      </c>
      <c r="K6962" t="s">
        <v>8754</v>
      </c>
      <c r="L6962" t="s">
        <v>18463</v>
      </c>
    </row>
    <row r="6963" spans="1:12">
      <c r="A6963" t="s">
        <v>3728</v>
      </c>
      <c r="B6963" s="1" t="s">
        <v>3727</v>
      </c>
      <c r="E6963">
        <v>1</v>
      </c>
      <c r="G6963" t="str">
        <f>HYPERLINK("http://babel.hathitrust.org/cgi/pt?id=njp.32101074757202")</f>
        <v>http://babel.hathitrust.org/cgi/pt?id=njp.32101074757202</v>
      </c>
      <c r="H6963" t="str">
        <f>HYPERLINK("http://catalog.hathitrust.org/Record/009024052")</f>
        <v>http://catalog.hathitrust.org/Record/009024052</v>
      </c>
      <c r="I6963" s="1" t="s">
        <v>12077</v>
      </c>
      <c r="J6963" s="1">
        <v>1882</v>
      </c>
      <c r="K6963" t="s">
        <v>8754</v>
      </c>
      <c r="L6963" t="s">
        <v>18463</v>
      </c>
    </row>
    <row r="6964" spans="1:12">
      <c r="A6964" t="s">
        <v>3729</v>
      </c>
      <c r="B6964" s="1" t="s">
        <v>3730</v>
      </c>
      <c r="D6964">
        <v>1</v>
      </c>
      <c r="G6964" t="str">
        <f>HYPERLINK("http://babel.hathitrust.org/cgi/pt?id=njp.32101074756840")</f>
        <v>http://babel.hathitrust.org/cgi/pt?id=njp.32101074756840</v>
      </c>
      <c r="H6964" t="str">
        <f>HYPERLINK("http://catalog.hathitrust.org/Record/009024054")</f>
        <v>http://catalog.hathitrust.org/Record/009024054</v>
      </c>
      <c r="J6964" s="1">
        <v>1844</v>
      </c>
      <c r="K6964" t="s">
        <v>6357</v>
      </c>
      <c r="L6964" t="s">
        <v>20086</v>
      </c>
    </row>
    <row r="6965" spans="1:12">
      <c r="A6965" t="s">
        <v>3731</v>
      </c>
      <c r="B6965" s="1" t="s">
        <v>3732</v>
      </c>
      <c r="F6965">
        <v>1</v>
      </c>
      <c r="G6965" t="str">
        <f>HYPERLINK("http://babel.hathitrust.org/cgi/pt?id=njp.32101074756873")</f>
        <v>http://babel.hathitrust.org/cgi/pt?id=njp.32101074756873</v>
      </c>
      <c r="H6965" t="str">
        <f>HYPERLINK("http://catalog.hathitrust.org/Record/009024057")</f>
        <v>http://catalog.hathitrust.org/Record/009024057</v>
      </c>
      <c r="J6965" s="1">
        <v>1872</v>
      </c>
      <c r="K6965" t="s">
        <v>11554</v>
      </c>
      <c r="L6965" t="s">
        <v>12562</v>
      </c>
    </row>
    <row r="6966" spans="1:12">
      <c r="A6966" t="s">
        <v>3733</v>
      </c>
      <c r="B6966" s="1" t="s">
        <v>3734</v>
      </c>
      <c r="F6966">
        <v>1</v>
      </c>
      <c r="G6966" t="str">
        <f>HYPERLINK("http://babel.hathitrust.org/cgi/pt?id=njp.32101074756881")</f>
        <v>http://babel.hathitrust.org/cgi/pt?id=njp.32101074756881</v>
      </c>
      <c r="H6966" t="str">
        <f>HYPERLINK("http://catalog.hathitrust.org/Record/009024058")</f>
        <v>http://catalog.hathitrust.org/Record/009024058</v>
      </c>
      <c r="J6966" s="1">
        <v>1880</v>
      </c>
      <c r="K6966" t="s">
        <v>3735</v>
      </c>
      <c r="L6966" t="s">
        <v>20884</v>
      </c>
    </row>
    <row r="6967" spans="1:12">
      <c r="A6967" t="s">
        <v>3736</v>
      </c>
      <c r="B6967" s="1" t="s">
        <v>3737</v>
      </c>
      <c r="F6967">
        <v>1</v>
      </c>
      <c r="G6967" t="str">
        <f>HYPERLINK("http://babel.hathitrust.org/cgi/pt?id=njp.32101074756899")</f>
        <v>http://babel.hathitrust.org/cgi/pt?id=njp.32101074756899</v>
      </c>
      <c r="H6967" t="str">
        <f>HYPERLINK("http://catalog.hathitrust.org/Record/009024059")</f>
        <v>http://catalog.hathitrust.org/Record/009024059</v>
      </c>
      <c r="J6967" s="1">
        <v>1844</v>
      </c>
      <c r="K6967" t="s">
        <v>3738</v>
      </c>
      <c r="L6967" t="s">
        <v>12659</v>
      </c>
    </row>
    <row r="6968" spans="1:12">
      <c r="A6968" t="s">
        <v>3739</v>
      </c>
      <c r="B6968" s="1" t="s">
        <v>3740</v>
      </c>
      <c r="F6968">
        <v>1</v>
      </c>
      <c r="G6968" t="str">
        <f>HYPERLINK("http://babel.hathitrust.org/cgi/pt?id=njp.32101074756915")</f>
        <v>http://babel.hathitrust.org/cgi/pt?id=njp.32101074756915</v>
      </c>
      <c r="H6968" t="str">
        <f>HYPERLINK("http://catalog.hathitrust.org/Record/009024061")</f>
        <v>http://catalog.hathitrust.org/Record/009024061</v>
      </c>
      <c r="J6968" s="1">
        <v>1863</v>
      </c>
      <c r="K6968" t="s">
        <v>3639</v>
      </c>
      <c r="L6968" t="s">
        <v>13560</v>
      </c>
    </row>
    <row r="6969" spans="1:12">
      <c r="A6969" t="s">
        <v>3640</v>
      </c>
      <c r="B6969" s="1" t="s">
        <v>3641</v>
      </c>
      <c r="E6969">
        <v>1</v>
      </c>
      <c r="F6969">
        <v>1</v>
      </c>
      <c r="G6969" t="str">
        <f>HYPERLINK("http://babel.hathitrust.org/cgi/pt?id=njp.32101074757137")</f>
        <v>http://babel.hathitrust.org/cgi/pt?id=njp.32101074757137</v>
      </c>
      <c r="H6969" t="str">
        <f>HYPERLINK("http://catalog.hathitrust.org/Record/009024069")</f>
        <v>http://catalog.hathitrust.org/Record/009024069</v>
      </c>
      <c r="J6969" s="1">
        <v>1854</v>
      </c>
      <c r="K6969" t="s">
        <v>3642</v>
      </c>
      <c r="L6969" t="s">
        <v>3643</v>
      </c>
    </row>
    <row r="6970" spans="1:12">
      <c r="A6970" t="s">
        <v>3644</v>
      </c>
      <c r="B6970" s="1" t="s">
        <v>3645</v>
      </c>
      <c r="E6970">
        <v>1</v>
      </c>
      <c r="G6970" t="str">
        <f>HYPERLINK("http://babel.hathitrust.org/cgi/pt?id=njp.32101074757152")</f>
        <v>http://babel.hathitrust.org/cgi/pt?id=njp.32101074757152</v>
      </c>
      <c r="H6970" t="str">
        <f>HYPERLINK("http://catalog.hathitrust.org/Record/009024071")</f>
        <v>http://catalog.hathitrust.org/Record/009024071</v>
      </c>
      <c r="J6970" s="1">
        <v>1850</v>
      </c>
      <c r="K6970" t="s">
        <v>3646</v>
      </c>
      <c r="L6970" t="s">
        <v>20960</v>
      </c>
    </row>
    <row r="6971" spans="1:12">
      <c r="A6971" t="s">
        <v>3647</v>
      </c>
      <c r="B6971" s="1" t="s">
        <v>3648</v>
      </c>
      <c r="E6971">
        <v>1</v>
      </c>
      <c r="G6971" t="str">
        <f>HYPERLINK("http://babel.hathitrust.org/cgi/pt?id=njp.32101074758424")</f>
        <v>http://babel.hathitrust.org/cgi/pt?id=njp.32101074758424</v>
      </c>
      <c r="H6971" t="str">
        <f>HYPERLINK("http://catalog.hathitrust.org/Record/009024079")</f>
        <v>http://catalog.hathitrust.org/Record/009024079</v>
      </c>
      <c r="J6971" s="1">
        <v>1870</v>
      </c>
      <c r="K6971" t="s">
        <v>3649</v>
      </c>
      <c r="L6971" t="s">
        <v>17330</v>
      </c>
    </row>
    <row r="6972" spans="1:12">
      <c r="A6972" t="s">
        <v>3650</v>
      </c>
      <c r="B6972" s="1" t="s">
        <v>3651</v>
      </c>
      <c r="E6972">
        <v>1</v>
      </c>
      <c r="G6972" t="str">
        <f>HYPERLINK("http://babel.hathitrust.org/cgi/pt?id=njp.32101074758457")</f>
        <v>http://babel.hathitrust.org/cgi/pt?id=njp.32101074758457</v>
      </c>
      <c r="H6972" t="str">
        <f>HYPERLINK("http://catalog.hathitrust.org/Record/009024081")</f>
        <v>http://catalog.hathitrust.org/Record/009024081</v>
      </c>
      <c r="J6972" s="1">
        <v>1911</v>
      </c>
      <c r="K6972" t="s">
        <v>3652</v>
      </c>
      <c r="L6972" t="s">
        <v>19690</v>
      </c>
    </row>
    <row r="6973" spans="1:12">
      <c r="A6973" t="s">
        <v>3653</v>
      </c>
      <c r="B6973" s="1" t="s">
        <v>3654</v>
      </c>
      <c r="F6973">
        <v>1</v>
      </c>
      <c r="G6973" t="str">
        <f>HYPERLINK("http://babel.hathitrust.org/cgi/pt?id=njp.32101074758606")</f>
        <v>http://babel.hathitrust.org/cgi/pt?id=njp.32101074758606</v>
      </c>
      <c r="H6973" t="str">
        <f>HYPERLINK("http://catalog.hathitrust.org/Record/009024090")</f>
        <v>http://catalog.hathitrust.org/Record/009024090</v>
      </c>
      <c r="J6973" s="1">
        <v>1896</v>
      </c>
      <c r="K6973" t="s">
        <v>3655</v>
      </c>
      <c r="L6973" t="s">
        <v>17712</v>
      </c>
    </row>
    <row r="6974" spans="1:12">
      <c r="A6974" t="s">
        <v>3656</v>
      </c>
      <c r="B6974" s="1" t="s">
        <v>3657</v>
      </c>
      <c r="F6974">
        <v>1</v>
      </c>
      <c r="G6974" t="str">
        <f>HYPERLINK("http://babel.hathitrust.org/cgi/pt?id=njp.32101074758861")</f>
        <v>http://babel.hathitrust.org/cgi/pt?id=njp.32101074758861</v>
      </c>
      <c r="H6974" t="str">
        <f>HYPERLINK("http://catalog.hathitrust.org/Record/009024102")</f>
        <v>http://catalog.hathitrust.org/Record/009024102</v>
      </c>
      <c r="J6974" s="1">
        <v>1922</v>
      </c>
      <c r="K6974" t="s">
        <v>3658</v>
      </c>
      <c r="L6974" t="s">
        <v>8997</v>
      </c>
    </row>
    <row r="6975" spans="1:12">
      <c r="A6975" t="s">
        <v>3659</v>
      </c>
      <c r="B6975" s="1" t="s">
        <v>3660</v>
      </c>
      <c r="F6975">
        <v>1</v>
      </c>
      <c r="G6975" t="str">
        <f>HYPERLINK("http://babel.hathitrust.org/cgi/pt?id=loc.ark:/13960/t8tb1zv5g")</f>
        <v>http://babel.hathitrust.org/cgi/pt?id=loc.ark:/13960/t8tb1zv5g</v>
      </c>
      <c r="H6975" t="str">
        <f>HYPERLINK("http://catalog.hathitrust.org/Record/009024104")</f>
        <v>http://catalog.hathitrust.org/Record/009024104</v>
      </c>
      <c r="J6975" s="1">
        <v>1904</v>
      </c>
      <c r="K6975" t="s">
        <v>3661</v>
      </c>
      <c r="L6975" t="s">
        <v>3662</v>
      </c>
    </row>
    <row r="6976" spans="1:12">
      <c r="A6976" t="s">
        <v>3663</v>
      </c>
      <c r="B6976" s="1" t="s">
        <v>3664</v>
      </c>
      <c r="F6976">
        <v>1</v>
      </c>
      <c r="G6976" t="str">
        <f>HYPERLINK("http://babel.hathitrust.org/cgi/pt?id=njp.32101074759026")</f>
        <v>http://babel.hathitrust.org/cgi/pt?id=njp.32101074759026</v>
      </c>
      <c r="H6976" t="str">
        <f>HYPERLINK("http://catalog.hathitrust.org/Record/009024112")</f>
        <v>http://catalog.hathitrust.org/Record/009024112</v>
      </c>
      <c r="J6976" s="1">
        <v>1907</v>
      </c>
      <c r="K6976" t="s">
        <v>3665</v>
      </c>
      <c r="L6976" t="s">
        <v>3666</v>
      </c>
    </row>
    <row r="6977" spans="1:12">
      <c r="A6977" t="s">
        <v>3667</v>
      </c>
      <c r="B6977" s="1" t="s">
        <v>3664</v>
      </c>
      <c r="F6977">
        <v>1</v>
      </c>
      <c r="G6977" t="str">
        <f>HYPERLINK("http://babel.hathitrust.org/cgi/pt?id=uc2.ark:/13960/t4mk6gm3x")</f>
        <v>http://babel.hathitrust.org/cgi/pt?id=uc2.ark:/13960/t4mk6gm3x</v>
      </c>
      <c r="H6977" t="str">
        <f>HYPERLINK("http://catalog.hathitrust.org/Record/009024112")</f>
        <v>http://catalog.hathitrust.org/Record/009024112</v>
      </c>
      <c r="J6977" s="1">
        <v>1907</v>
      </c>
      <c r="K6977" t="s">
        <v>3665</v>
      </c>
      <c r="L6977" t="s">
        <v>3666</v>
      </c>
    </row>
    <row r="6978" spans="1:12">
      <c r="A6978" t="s">
        <v>3668</v>
      </c>
      <c r="B6978" s="1" t="s">
        <v>3669</v>
      </c>
      <c r="F6978">
        <v>1</v>
      </c>
      <c r="G6978" t="str">
        <f>HYPERLINK("http://babel.hathitrust.org/cgi/pt?id=njp.32101074759349")</f>
        <v>http://babel.hathitrust.org/cgi/pt?id=njp.32101074759349</v>
      </c>
      <c r="H6978" t="str">
        <f>HYPERLINK("http://catalog.hathitrust.org/Record/009024129")</f>
        <v>http://catalog.hathitrust.org/Record/009024129</v>
      </c>
      <c r="J6978" s="1">
        <v>1914</v>
      </c>
      <c r="K6978" t="s">
        <v>3670</v>
      </c>
      <c r="L6978" t="s">
        <v>17281</v>
      </c>
    </row>
    <row r="6979" spans="1:12">
      <c r="A6979" t="s">
        <v>3671</v>
      </c>
      <c r="B6979" s="1" t="s">
        <v>3672</v>
      </c>
      <c r="F6979">
        <v>1</v>
      </c>
      <c r="G6979" t="str">
        <f>HYPERLINK("http://babel.hathitrust.org/cgi/pt?id=njp.32101074759893")</f>
        <v>http://babel.hathitrust.org/cgi/pt?id=njp.32101074759893</v>
      </c>
      <c r="H6979" t="str">
        <f>HYPERLINK("http://catalog.hathitrust.org/Record/009024149")</f>
        <v>http://catalog.hathitrust.org/Record/009024149</v>
      </c>
      <c r="J6979" s="1">
        <v>1915</v>
      </c>
      <c r="K6979" t="s">
        <v>3673</v>
      </c>
      <c r="L6979" t="s">
        <v>3674</v>
      </c>
    </row>
    <row r="6980" spans="1:12">
      <c r="A6980" t="s">
        <v>3675</v>
      </c>
      <c r="B6980" s="1" t="s">
        <v>3676</v>
      </c>
      <c r="F6980">
        <v>1</v>
      </c>
      <c r="G6980" t="str">
        <f>HYPERLINK("http://babel.hathitrust.org/cgi/pt?id=njp.32101074759943")</f>
        <v>http://babel.hathitrust.org/cgi/pt?id=njp.32101074759943</v>
      </c>
      <c r="H6980" t="str">
        <f>HYPERLINK("http://catalog.hathitrust.org/Record/009024151")</f>
        <v>http://catalog.hathitrust.org/Record/009024151</v>
      </c>
      <c r="J6980" s="1">
        <v>1910</v>
      </c>
      <c r="K6980" t="s">
        <v>3677</v>
      </c>
      <c r="L6980" t="s">
        <v>17875</v>
      </c>
    </row>
    <row r="6981" spans="1:12">
      <c r="A6981" t="s">
        <v>3678</v>
      </c>
      <c r="B6981" s="1" t="s">
        <v>3679</v>
      </c>
      <c r="F6981">
        <v>1</v>
      </c>
      <c r="G6981" t="str">
        <f>HYPERLINK("http://babel.hathitrust.org/cgi/pt?id=njp.32101074870708")</f>
        <v>http://babel.hathitrust.org/cgi/pt?id=njp.32101074870708</v>
      </c>
      <c r="H6981" t="str">
        <f>HYPERLINK("http://catalog.hathitrust.org/Record/009025004")</f>
        <v>http://catalog.hathitrust.org/Record/009025004</v>
      </c>
      <c r="J6981" s="1">
        <v>1890</v>
      </c>
      <c r="K6981" t="s">
        <v>3680</v>
      </c>
      <c r="L6981" t="s">
        <v>3681</v>
      </c>
    </row>
    <row r="6982" spans="1:12">
      <c r="A6982" t="s">
        <v>3682</v>
      </c>
      <c r="B6982" s="1" t="s">
        <v>3683</v>
      </c>
      <c r="F6982">
        <v>1</v>
      </c>
      <c r="G6982" t="str">
        <f>HYPERLINK("http://babel.hathitrust.org/cgi/pt?id=njp.32101074875848")</f>
        <v>http://babel.hathitrust.org/cgi/pt?id=njp.32101074875848</v>
      </c>
      <c r="H6982" t="str">
        <f>HYPERLINK("http://catalog.hathitrust.org/Record/009025145")</f>
        <v>http://catalog.hathitrust.org/Record/009025145</v>
      </c>
      <c r="J6982" s="1">
        <v>1892</v>
      </c>
      <c r="K6982" t="s">
        <v>13277</v>
      </c>
      <c r="L6982" t="s">
        <v>19487</v>
      </c>
    </row>
    <row r="6983" spans="1:12">
      <c r="A6983" t="s">
        <v>3684</v>
      </c>
      <c r="B6983" s="1" t="s">
        <v>3685</v>
      </c>
      <c r="E6983">
        <v>1</v>
      </c>
      <c r="G6983" t="str">
        <f>HYPERLINK("http://babel.hathitrust.org/cgi/pt?id=njp.32101074876259")</f>
        <v>http://babel.hathitrust.org/cgi/pt?id=njp.32101074876259</v>
      </c>
      <c r="H6983" t="str">
        <f>HYPERLINK("http://catalog.hathitrust.org/Record/009025161")</f>
        <v>http://catalog.hathitrust.org/Record/009025161</v>
      </c>
      <c r="J6983" s="1">
        <v>1903</v>
      </c>
      <c r="K6983" t="s">
        <v>3686</v>
      </c>
      <c r="L6983" t="s">
        <v>20331</v>
      </c>
    </row>
    <row r="6984" spans="1:12">
      <c r="A6984" t="s">
        <v>3687</v>
      </c>
      <c r="B6984" s="1" t="s">
        <v>3688</v>
      </c>
      <c r="F6984">
        <v>1</v>
      </c>
      <c r="G6984" t="str">
        <f>HYPERLINK("http://babel.hathitrust.org/cgi/pt?id=njp.32101074942556")</f>
        <v>http://babel.hathitrust.org/cgi/pt?id=njp.32101074942556</v>
      </c>
      <c r="H6984" t="str">
        <f>HYPERLINK("http://catalog.hathitrust.org/Record/009025870")</f>
        <v>http://catalog.hathitrust.org/Record/009025870</v>
      </c>
      <c r="J6984" s="1">
        <v>1894</v>
      </c>
      <c r="K6984" t="s">
        <v>3605</v>
      </c>
      <c r="L6984" t="s">
        <v>14012</v>
      </c>
    </row>
    <row r="6985" spans="1:12">
      <c r="A6985" t="s">
        <v>3606</v>
      </c>
      <c r="B6985" s="1" t="s">
        <v>3607</v>
      </c>
      <c r="F6985">
        <v>1</v>
      </c>
      <c r="G6985" t="str">
        <f>HYPERLINK("http://babel.hathitrust.org/cgi/pt?id=njp.32101074942564")</f>
        <v>http://babel.hathitrust.org/cgi/pt?id=njp.32101074942564</v>
      </c>
      <c r="H6985" t="str">
        <f>HYPERLINK("http://catalog.hathitrust.org/Record/009025871")</f>
        <v>http://catalog.hathitrust.org/Record/009025871</v>
      </c>
      <c r="J6985" s="1">
        <v>1847</v>
      </c>
      <c r="K6985" t="s">
        <v>3608</v>
      </c>
      <c r="L6985" t="s">
        <v>19375</v>
      </c>
    </row>
    <row r="6986" spans="1:12">
      <c r="A6986" t="s">
        <v>3609</v>
      </c>
      <c r="B6986" s="1" t="s">
        <v>3610</v>
      </c>
      <c r="F6986">
        <v>1</v>
      </c>
      <c r="G6986" t="str">
        <f>HYPERLINK("http://babel.hathitrust.org/cgi/pt?id=njp.32101074942879")</f>
        <v>http://babel.hathitrust.org/cgi/pt?id=njp.32101074942879</v>
      </c>
      <c r="H6986" t="str">
        <f>HYPERLINK("http://catalog.hathitrust.org/Record/009025898")</f>
        <v>http://catalog.hathitrust.org/Record/009025898</v>
      </c>
      <c r="J6986" s="1">
        <v>1902</v>
      </c>
      <c r="K6986" t="s">
        <v>3611</v>
      </c>
      <c r="L6986" t="s">
        <v>11927</v>
      </c>
    </row>
    <row r="6987" spans="1:12">
      <c r="A6987" t="s">
        <v>3612</v>
      </c>
      <c r="B6987" s="1" t="s">
        <v>3613</v>
      </c>
      <c r="E6987">
        <v>1</v>
      </c>
      <c r="G6987" t="str">
        <f>HYPERLINK("http://babel.hathitrust.org/cgi/pt?id=njp.32101075686210")</f>
        <v>http://babel.hathitrust.org/cgi/pt?id=njp.32101075686210</v>
      </c>
      <c r="H6987" t="str">
        <f>HYPERLINK("http://catalog.hathitrust.org/Record/009026758")</f>
        <v>http://catalog.hathitrust.org/Record/009026758</v>
      </c>
      <c r="I6987" s="1" t="s">
        <v>20916</v>
      </c>
      <c r="J6987" s="1">
        <v>1848</v>
      </c>
      <c r="K6987" t="s">
        <v>3614</v>
      </c>
      <c r="L6987" t="s">
        <v>15050</v>
      </c>
    </row>
    <row r="6988" spans="1:12">
      <c r="A6988" t="s">
        <v>3615</v>
      </c>
      <c r="B6988" s="1" t="s">
        <v>3613</v>
      </c>
      <c r="E6988">
        <v>1</v>
      </c>
      <c r="G6988" t="str">
        <f>HYPERLINK("http://babel.hathitrust.org/cgi/pt?id=njp.32101075686228")</f>
        <v>http://babel.hathitrust.org/cgi/pt?id=njp.32101075686228</v>
      </c>
      <c r="H6988" t="str">
        <f>HYPERLINK("http://catalog.hathitrust.org/Record/009026758")</f>
        <v>http://catalog.hathitrust.org/Record/009026758</v>
      </c>
      <c r="I6988" s="1" t="s">
        <v>20755</v>
      </c>
      <c r="J6988" s="1">
        <v>1848</v>
      </c>
      <c r="K6988" t="s">
        <v>3614</v>
      </c>
      <c r="L6988" t="s">
        <v>15050</v>
      </c>
    </row>
    <row r="6989" spans="1:12">
      <c r="A6989" t="s">
        <v>3616</v>
      </c>
      <c r="B6989" s="1" t="s">
        <v>3617</v>
      </c>
      <c r="F6989">
        <v>1</v>
      </c>
      <c r="G6989" t="str">
        <f>HYPERLINK("http://babel.hathitrust.org/cgi/pt?id=njp.32101076045572")</f>
        <v>http://babel.hathitrust.org/cgi/pt?id=njp.32101076045572</v>
      </c>
      <c r="H6989" t="str">
        <f>HYPERLINK("http://catalog.hathitrust.org/Record/009027310")</f>
        <v>http://catalog.hathitrust.org/Record/009027310</v>
      </c>
      <c r="J6989" s="1">
        <v>1896</v>
      </c>
      <c r="K6989" t="s">
        <v>3618</v>
      </c>
      <c r="L6989" t="s">
        <v>3619</v>
      </c>
    </row>
    <row r="6990" spans="1:12">
      <c r="A6990" t="s">
        <v>3620</v>
      </c>
      <c r="B6990" s="1" t="s">
        <v>3621</v>
      </c>
      <c r="E6990">
        <v>1</v>
      </c>
      <c r="G6990" t="str">
        <f>HYPERLINK("http://babel.hathitrust.org/cgi/pt?id=njp.32101076045713")</f>
        <v>http://babel.hathitrust.org/cgi/pt?id=njp.32101076045713</v>
      </c>
      <c r="H6990" t="str">
        <f>HYPERLINK("http://catalog.hathitrust.org/Record/009027314")</f>
        <v>http://catalog.hathitrust.org/Record/009027314</v>
      </c>
      <c r="J6990" s="1">
        <v>1895</v>
      </c>
      <c r="K6990" t="s">
        <v>3622</v>
      </c>
      <c r="L6990" t="s">
        <v>20904</v>
      </c>
    </row>
    <row r="6991" spans="1:12">
      <c r="A6991" t="s">
        <v>3623</v>
      </c>
      <c r="B6991" s="1" t="s">
        <v>3624</v>
      </c>
      <c r="E6991">
        <v>1</v>
      </c>
      <c r="G6991" t="str">
        <f>HYPERLINK("http://babel.hathitrust.org/cgi/pt?id=njp.32101076393303")</f>
        <v>http://babel.hathitrust.org/cgi/pt?id=njp.32101076393303</v>
      </c>
      <c r="H6991" t="str">
        <f>HYPERLINK("http://catalog.hathitrust.org/Record/009030714")</f>
        <v>http://catalog.hathitrust.org/Record/009030714</v>
      </c>
      <c r="J6991" s="1">
        <v>1763</v>
      </c>
      <c r="K6991" t="s">
        <v>3625</v>
      </c>
      <c r="L6991" t="s">
        <v>17211</v>
      </c>
    </row>
    <row r="6992" spans="1:12">
      <c r="A6992" t="s">
        <v>3626</v>
      </c>
      <c r="B6992" s="1" t="s">
        <v>3627</v>
      </c>
      <c r="F6992">
        <v>1</v>
      </c>
      <c r="G6992" t="str">
        <f>HYPERLINK("http://babel.hathitrust.org/cgi/pt?id=njp.32101076516499")</f>
        <v>http://babel.hathitrust.org/cgi/pt?id=njp.32101076516499</v>
      </c>
      <c r="H6992" t="str">
        <f>HYPERLINK("http://catalog.hathitrust.org/Record/009033037")</f>
        <v>http://catalog.hathitrust.org/Record/009033037</v>
      </c>
      <c r="J6992" s="1">
        <v>1874</v>
      </c>
      <c r="K6992" t="s">
        <v>3628</v>
      </c>
      <c r="L6992" t="s">
        <v>12684</v>
      </c>
    </row>
    <row r="6993" spans="1:12">
      <c r="A6993" t="s">
        <v>3629</v>
      </c>
      <c r="B6993" s="1" t="s">
        <v>3630</v>
      </c>
      <c r="F6993">
        <v>1</v>
      </c>
      <c r="G6993" t="str">
        <f>HYPERLINK("http://babel.hathitrust.org/cgi/pt?id=njp.32101076516507")</f>
        <v>http://babel.hathitrust.org/cgi/pt?id=njp.32101076516507</v>
      </c>
      <c r="H6993" t="str">
        <f>HYPERLINK("http://catalog.hathitrust.org/Record/009033038")</f>
        <v>http://catalog.hathitrust.org/Record/009033038</v>
      </c>
      <c r="J6993" s="1">
        <v>1885</v>
      </c>
      <c r="K6993" t="s">
        <v>3631</v>
      </c>
      <c r="L6993" t="s">
        <v>3632</v>
      </c>
    </row>
    <row r="6994" spans="1:12">
      <c r="A6994" t="s">
        <v>3633</v>
      </c>
      <c r="B6994" s="1" t="s">
        <v>3634</v>
      </c>
      <c r="F6994">
        <v>1</v>
      </c>
      <c r="G6994" t="str">
        <f>HYPERLINK("http://babel.hathitrust.org/cgi/pt?id=njp.32101076525920")</f>
        <v>http://babel.hathitrust.org/cgi/pt?id=njp.32101076525920</v>
      </c>
      <c r="H6994" t="str">
        <f>HYPERLINK("http://catalog.hathitrust.org/Record/009033248")</f>
        <v>http://catalog.hathitrust.org/Record/009033248</v>
      </c>
      <c r="I6994" s="1" t="s">
        <v>20916</v>
      </c>
      <c r="J6994" s="1">
        <v>1722</v>
      </c>
      <c r="K6994" t="s">
        <v>3635</v>
      </c>
      <c r="L6994" t="s">
        <v>3636</v>
      </c>
    </row>
    <row r="6995" spans="1:12">
      <c r="A6995" t="s">
        <v>3637</v>
      </c>
      <c r="B6995" s="1" t="s">
        <v>3634</v>
      </c>
      <c r="F6995">
        <v>1</v>
      </c>
      <c r="G6995" t="str">
        <f>HYPERLINK("http://babel.hathitrust.org/cgi/pt?id=njp.32101076525938")</f>
        <v>http://babel.hathitrust.org/cgi/pt?id=njp.32101076525938</v>
      </c>
      <c r="H6995" t="str">
        <f>HYPERLINK("http://catalog.hathitrust.org/Record/009033248")</f>
        <v>http://catalog.hathitrust.org/Record/009033248</v>
      </c>
      <c r="I6995" s="1" t="s">
        <v>20755</v>
      </c>
      <c r="J6995" s="1">
        <v>1722</v>
      </c>
      <c r="K6995" t="s">
        <v>3635</v>
      </c>
      <c r="L6995" t="s">
        <v>3636</v>
      </c>
    </row>
    <row r="6996" spans="1:12">
      <c r="A6996" t="s">
        <v>3638</v>
      </c>
      <c r="B6996" s="1" t="s">
        <v>3558</v>
      </c>
      <c r="D6996">
        <v>1</v>
      </c>
      <c r="G6996" t="str">
        <f>HYPERLINK("http://babel.hathitrust.org/cgi/pt?id=njp.32101076530979")</f>
        <v>http://babel.hathitrust.org/cgi/pt?id=njp.32101076530979</v>
      </c>
      <c r="H6996" t="str">
        <f>HYPERLINK("http://catalog.hathitrust.org/Record/009033494")</f>
        <v>http://catalog.hathitrust.org/Record/009033494</v>
      </c>
      <c r="I6996" s="1" t="s">
        <v>20755</v>
      </c>
      <c r="J6996" s="1">
        <v>1799</v>
      </c>
      <c r="K6996" t="s">
        <v>3559</v>
      </c>
      <c r="L6996" t="s">
        <v>3560</v>
      </c>
    </row>
    <row r="6997" spans="1:12">
      <c r="A6997" t="s">
        <v>3561</v>
      </c>
      <c r="B6997" s="1" t="s">
        <v>3558</v>
      </c>
      <c r="D6997">
        <v>1</v>
      </c>
      <c r="G6997" t="str">
        <f>HYPERLINK("http://babel.hathitrust.org/cgi/pt?id=njp.32101076530987")</f>
        <v>http://babel.hathitrust.org/cgi/pt?id=njp.32101076530987</v>
      </c>
      <c r="H6997" t="str">
        <f>HYPERLINK("http://catalog.hathitrust.org/Record/009033494")</f>
        <v>http://catalog.hathitrust.org/Record/009033494</v>
      </c>
      <c r="I6997" s="1" t="s">
        <v>20916</v>
      </c>
      <c r="J6997" s="1">
        <v>1799</v>
      </c>
      <c r="K6997" t="s">
        <v>3559</v>
      </c>
      <c r="L6997" t="s">
        <v>3560</v>
      </c>
    </row>
    <row r="6998" spans="1:12">
      <c r="A6998" t="s">
        <v>3562</v>
      </c>
      <c r="B6998" s="1" t="s">
        <v>3563</v>
      </c>
      <c r="F6998">
        <v>1</v>
      </c>
      <c r="G6998" t="str">
        <f>HYPERLINK("http://babel.hathitrust.org/cgi/pt?id=njp.32101080457227")</f>
        <v>http://babel.hathitrust.org/cgi/pt?id=njp.32101080457227</v>
      </c>
      <c r="H6998" t="str">
        <f>HYPERLINK("http://catalog.hathitrust.org/Record/009039133")</f>
        <v>http://catalog.hathitrust.org/Record/009039133</v>
      </c>
      <c r="J6998" s="1">
        <v>1808</v>
      </c>
      <c r="K6998" t="s">
        <v>3564</v>
      </c>
      <c r="L6998" t="s">
        <v>20960</v>
      </c>
    </row>
    <row r="6999" spans="1:12">
      <c r="A6999" t="s">
        <v>3565</v>
      </c>
      <c r="B6999" s="1" t="s">
        <v>3566</v>
      </c>
      <c r="E6999">
        <v>1</v>
      </c>
      <c r="G6999" t="str">
        <f>HYPERLINK("http://babel.hathitrust.org/cgi/pt?id=njp.32101080458316")</f>
        <v>http://babel.hathitrust.org/cgi/pt?id=njp.32101080458316</v>
      </c>
      <c r="H6999" t="str">
        <f>HYPERLINK("http://catalog.hathitrust.org/Record/009039152")</f>
        <v>http://catalog.hathitrust.org/Record/009039152</v>
      </c>
      <c r="J6999" s="1">
        <v>1892</v>
      </c>
      <c r="K6999" t="s">
        <v>3567</v>
      </c>
      <c r="L6999" t="s">
        <v>17247</v>
      </c>
    </row>
    <row r="7000" spans="1:12">
      <c r="A7000" t="s">
        <v>3568</v>
      </c>
      <c r="B7000" s="1" t="s">
        <v>3569</v>
      </c>
      <c r="E7000">
        <v>1</v>
      </c>
      <c r="G7000" t="str">
        <f>HYPERLINK("http://babel.hathitrust.org/cgi/pt?id=njp.32101018099000")</f>
        <v>http://babel.hathitrust.org/cgi/pt?id=njp.32101018099000</v>
      </c>
      <c r="H7000" t="str">
        <f>HYPERLINK("http://catalog.hathitrust.org/Record/009043065")</f>
        <v>http://catalog.hathitrust.org/Record/009043065</v>
      </c>
      <c r="J7000" s="1">
        <v>1879</v>
      </c>
      <c r="K7000" t="s">
        <v>6154</v>
      </c>
      <c r="L7000" t="s">
        <v>12225</v>
      </c>
    </row>
    <row r="7001" spans="1:12">
      <c r="A7001" t="s">
        <v>3570</v>
      </c>
      <c r="B7001" s="1" t="s">
        <v>3571</v>
      </c>
      <c r="F7001">
        <v>1</v>
      </c>
      <c r="G7001" t="str">
        <f>HYPERLINK("http://babel.hathitrust.org/cgi/pt?id=njp.32101019680287")</f>
        <v>http://babel.hathitrust.org/cgi/pt?id=njp.32101019680287</v>
      </c>
      <c r="H7001" t="str">
        <f>HYPERLINK("http://catalog.hathitrust.org/Record/009043075")</f>
        <v>http://catalog.hathitrust.org/Record/009043075</v>
      </c>
      <c r="J7001" s="1">
        <v>1885</v>
      </c>
      <c r="K7001" t="s">
        <v>3572</v>
      </c>
      <c r="L7001" t="s">
        <v>3573</v>
      </c>
    </row>
    <row r="7002" spans="1:12">
      <c r="A7002" t="s">
        <v>3574</v>
      </c>
      <c r="B7002" s="1" t="s">
        <v>3575</v>
      </c>
      <c r="F7002">
        <v>1</v>
      </c>
      <c r="G7002" t="str">
        <f>HYPERLINK("http://babel.hathitrust.org/cgi/pt?id=coo.31924012986885")</f>
        <v>http://babel.hathitrust.org/cgi/pt?id=coo.31924012986885</v>
      </c>
      <c r="H7002" t="str">
        <f>HYPERLINK("http://catalog.hathitrust.org/Record/009067582")</f>
        <v>http://catalog.hathitrust.org/Record/009067582</v>
      </c>
      <c r="J7002" s="1">
        <v>1926</v>
      </c>
      <c r="K7002" t="s">
        <v>15522</v>
      </c>
      <c r="L7002" t="s">
        <v>15523</v>
      </c>
    </row>
    <row r="7003" spans="1:12">
      <c r="A7003" t="s">
        <v>3576</v>
      </c>
      <c r="B7003" s="1" t="s">
        <v>3577</v>
      </c>
      <c r="F7003">
        <v>1</v>
      </c>
      <c r="G7003" t="str">
        <f>HYPERLINK("http://babel.hathitrust.org/cgi/pt?id=coo.31924014450443")</f>
        <v>http://babel.hathitrust.org/cgi/pt?id=coo.31924014450443</v>
      </c>
      <c r="H7003" t="str">
        <f>HYPERLINK("http://catalog.hathitrust.org/Record/009070265")</f>
        <v>http://catalog.hathitrust.org/Record/009070265</v>
      </c>
      <c r="J7003" s="1">
        <v>1935</v>
      </c>
      <c r="K7003" t="s">
        <v>18274</v>
      </c>
      <c r="L7003" t="s">
        <v>18275</v>
      </c>
    </row>
    <row r="7004" spans="1:12">
      <c r="A7004" t="s">
        <v>3578</v>
      </c>
      <c r="B7004" s="1" t="s">
        <v>3579</v>
      </c>
      <c r="F7004">
        <v>1</v>
      </c>
      <c r="G7004" t="str">
        <f>HYPERLINK("http://babel.hathitrust.org/cgi/pt?id=coo.31924012985028")</f>
        <v>http://babel.hathitrust.org/cgi/pt?id=coo.31924012985028</v>
      </c>
      <c r="H7004" t="str">
        <f>HYPERLINK("http://catalog.hathitrust.org/Record/009074799")</f>
        <v>http://catalog.hathitrust.org/Record/009074799</v>
      </c>
      <c r="J7004" s="1">
        <v>1956</v>
      </c>
      <c r="K7004" t="s">
        <v>3580</v>
      </c>
      <c r="L7004" t="s">
        <v>3581</v>
      </c>
    </row>
    <row r="7005" spans="1:12">
      <c r="A7005" t="s">
        <v>3582</v>
      </c>
      <c r="B7005" s="1" t="s">
        <v>3583</v>
      </c>
      <c r="F7005">
        <v>1</v>
      </c>
      <c r="G7005" t="str">
        <f>HYPERLINK("http://babel.hathitrust.org/cgi/pt?id=coo.31924013055656")</f>
        <v>http://babel.hathitrust.org/cgi/pt?id=coo.31924013055656</v>
      </c>
      <c r="H7005" t="str">
        <f>HYPERLINK("http://catalog.hathitrust.org/Record/009075089")</f>
        <v>http://catalog.hathitrust.org/Record/009075089</v>
      </c>
      <c r="J7005" s="1">
        <v>1941</v>
      </c>
      <c r="K7005" t="s">
        <v>3584</v>
      </c>
      <c r="L7005" t="s">
        <v>3585</v>
      </c>
    </row>
    <row r="7006" spans="1:12">
      <c r="A7006" t="s">
        <v>3586</v>
      </c>
      <c r="B7006" s="1" t="s">
        <v>3587</v>
      </c>
      <c r="F7006">
        <v>1</v>
      </c>
      <c r="G7006" t="str">
        <f>HYPERLINK("http://babel.hathitrust.org/cgi/pt?id=coo.31924013384726")</f>
        <v>http://babel.hathitrust.org/cgi/pt?id=coo.31924013384726</v>
      </c>
      <c r="H7006" t="str">
        <f>HYPERLINK("http://catalog.hathitrust.org/Record/009075439")</f>
        <v>http://catalog.hathitrust.org/Record/009075439</v>
      </c>
      <c r="J7006" s="1">
        <v>1957</v>
      </c>
      <c r="K7006" t="s">
        <v>3588</v>
      </c>
      <c r="L7006" t="s">
        <v>3589</v>
      </c>
    </row>
    <row r="7007" spans="1:12">
      <c r="A7007" t="s">
        <v>3590</v>
      </c>
      <c r="B7007" s="1" t="s">
        <v>3591</v>
      </c>
      <c r="F7007">
        <v>1</v>
      </c>
      <c r="G7007" t="str">
        <f>HYPERLINK("http://babel.hathitrust.org/cgi/pt?id=coo.31924014450724")</f>
        <v>http://babel.hathitrust.org/cgi/pt?id=coo.31924014450724</v>
      </c>
      <c r="H7007" t="str">
        <f>HYPERLINK("http://catalog.hathitrust.org/Record/009081839")</f>
        <v>http://catalog.hathitrust.org/Record/009081839</v>
      </c>
      <c r="J7007" s="1">
        <v>1958</v>
      </c>
      <c r="K7007" t="s">
        <v>3592</v>
      </c>
      <c r="L7007" t="s">
        <v>12020</v>
      </c>
    </row>
    <row r="7008" spans="1:12">
      <c r="A7008" t="s">
        <v>3593</v>
      </c>
      <c r="B7008" s="1" t="s">
        <v>3594</v>
      </c>
      <c r="F7008">
        <v>1</v>
      </c>
      <c r="G7008" t="str">
        <f>HYPERLINK("http://babel.hathitrust.org/cgi/pt?id=coo.31924014450666")</f>
        <v>http://babel.hathitrust.org/cgi/pt?id=coo.31924014450666</v>
      </c>
      <c r="H7008" t="str">
        <f>HYPERLINK("http://catalog.hathitrust.org/Record/009089879")</f>
        <v>http://catalog.hathitrust.org/Record/009089879</v>
      </c>
      <c r="J7008" s="1">
        <v>1954</v>
      </c>
      <c r="K7008" t="s">
        <v>3595</v>
      </c>
    </row>
    <row r="7009" spans="1:12">
      <c r="A7009" t="s">
        <v>3596</v>
      </c>
      <c r="B7009" s="1" t="s">
        <v>3597</v>
      </c>
      <c r="F7009">
        <v>1</v>
      </c>
      <c r="G7009" t="str">
        <f>HYPERLINK("http://babel.hathitrust.org/cgi/pt?id=coo.31924014550440")</f>
        <v>http://babel.hathitrust.org/cgi/pt?id=coo.31924014550440</v>
      </c>
      <c r="H7009" t="str">
        <f>HYPERLINK("http://catalog.hathitrust.org/Record/009128776")</f>
        <v>http://catalog.hathitrust.org/Record/009128776</v>
      </c>
      <c r="I7009" s="1" t="s">
        <v>20916</v>
      </c>
      <c r="J7009" s="1">
        <v>1902</v>
      </c>
      <c r="K7009" t="s">
        <v>3598</v>
      </c>
      <c r="L7009" t="s">
        <v>5029</v>
      </c>
    </row>
    <row r="7010" spans="1:12">
      <c r="A7010" t="s">
        <v>3599</v>
      </c>
      <c r="B7010" s="1" t="s">
        <v>3597</v>
      </c>
      <c r="F7010">
        <v>1</v>
      </c>
      <c r="G7010" t="str">
        <f>HYPERLINK("http://babel.hathitrust.org/cgi/pt?id=coo.31924052153313")</f>
        <v>http://babel.hathitrust.org/cgi/pt?id=coo.31924052153313</v>
      </c>
      <c r="H7010" t="str">
        <f>HYPERLINK("http://catalog.hathitrust.org/Record/009128776")</f>
        <v>http://catalog.hathitrust.org/Record/009128776</v>
      </c>
      <c r="I7010" s="1" t="s">
        <v>20755</v>
      </c>
      <c r="J7010" s="1">
        <v>1902</v>
      </c>
      <c r="K7010" t="s">
        <v>3598</v>
      </c>
      <c r="L7010" t="s">
        <v>5029</v>
      </c>
    </row>
    <row r="7011" spans="1:12">
      <c r="A7011" t="s">
        <v>3600</v>
      </c>
      <c r="B7011" s="1" t="s">
        <v>3601</v>
      </c>
      <c r="F7011">
        <v>1</v>
      </c>
      <c r="G7011" t="str">
        <f>HYPERLINK("http://babel.hathitrust.org/cgi/pt?id=coo.31924014562643")</f>
        <v>http://babel.hathitrust.org/cgi/pt?id=coo.31924014562643</v>
      </c>
      <c r="H7011" t="str">
        <f>HYPERLINK("http://catalog.hathitrust.org/Record/009128800")</f>
        <v>http://catalog.hathitrust.org/Record/009128800</v>
      </c>
      <c r="J7011" s="1">
        <v>1958</v>
      </c>
      <c r="K7011" t="s">
        <v>3602</v>
      </c>
      <c r="L7011" t="s">
        <v>3603</v>
      </c>
    </row>
    <row r="7012" spans="1:12">
      <c r="A7012" t="s">
        <v>3604</v>
      </c>
      <c r="B7012" s="1" t="s">
        <v>3514</v>
      </c>
      <c r="F7012">
        <v>1</v>
      </c>
      <c r="G7012" t="str">
        <f>HYPERLINK("http://babel.hathitrust.org/cgi/pt?id=coo.31924014562668")</f>
        <v>http://babel.hathitrust.org/cgi/pt?id=coo.31924014562668</v>
      </c>
      <c r="H7012" t="str">
        <f>HYPERLINK("http://catalog.hathitrust.org/Record/009128801")</f>
        <v>http://catalog.hathitrust.org/Record/009128801</v>
      </c>
      <c r="J7012" s="1">
        <v>1960</v>
      </c>
      <c r="K7012" t="s">
        <v>3515</v>
      </c>
      <c r="L7012" t="s">
        <v>3516</v>
      </c>
    </row>
    <row r="7013" spans="1:12">
      <c r="A7013" t="s">
        <v>3517</v>
      </c>
      <c r="B7013" s="1" t="s">
        <v>3518</v>
      </c>
      <c r="F7013">
        <v>1</v>
      </c>
      <c r="G7013" t="str">
        <f>HYPERLINK("http://babel.hathitrust.org/cgi/pt?id=coo.31924090113832")</f>
        <v>http://babel.hathitrust.org/cgi/pt?id=coo.31924090113832</v>
      </c>
      <c r="H7013" t="str">
        <f>HYPERLINK("http://catalog.hathitrust.org/Record/009139871")</f>
        <v>http://catalog.hathitrust.org/Record/009139871</v>
      </c>
      <c r="J7013" s="1">
        <v>1999</v>
      </c>
      <c r="K7013" t="s">
        <v>3519</v>
      </c>
    </row>
    <row r="7014" spans="1:12">
      <c r="A7014" t="s">
        <v>3520</v>
      </c>
      <c r="B7014" s="1" t="s">
        <v>3521</v>
      </c>
      <c r="F7014">
        <v>1</v>
      </c>
      <c r="G7014" t="str">
        <f>HYPERLINK("http://babel.hathitrust.org/cgi/pt?id=coo.31924014562536")</f>
        <v>http://babel.hathitrust.org/cgi/pt?id=coo.31924014562536</v>
      </c>
      <c r="H7014" t="str">
        <f>HYPERLINK("http://catalog.hathitrust.org/Record/009174903")</f>
        <v>http://catalog.hathitrust.org/Record/009174903</v>
      </c>
      <c r="J7014" s="1">
        <v>1946</v>
      </c>
      <c r="K7014" t="s">
        <v>3522</v>
      </c>
      <c r="L7014" t="s">
        <v>3523</v>
      </c>
    </row>
    <row r="7015" spans="1:12">
      <c r="A7015" t="s">
        <v>3524</v>
      </c>
      <c r="B7015" s="1" t="s">
        <v>3525</v>
      </c>
      <c r="E7015">
        <v>1</v>
      </c>
      <c r="F7015">
        <v>1</v>
      </c>
      <c r="G7015" t="str">
        <f>HYPERLINK("http://babel.hathitrust.org/cgi/pt?id=wu.89099896441")</f>
        <v>http://babel.hathitrust.org/cgi/pt?id=wu.89099896441</v>
      </c>
      <c r="H7015" t="str">
        <f>HYPERLINK("http://catalog.hathitrust.org/Record/009184319")</f>
        <v>http://catalog.hathitrust.org/Record/009184319</v>
      </c>
      <c r="J7015" s="1">
        <v>1827</v>
      </c>
      <c r="K7015" t="s">
        <v>3526</v>
      </c>
      <c r="L7015" t="s">
        <v>15662</v>
      </c>
    </row>
    <row r="7016" spans="1:12">
      <c r="A7016" t="s">
        <v>3527</v>
      </c>
      <c r="B7016" s="1" t="s">
        <v>3528</v>
      </c>
      <c r="E7016">
        <v>1</v>
      </c>
      <c r="G7016" t="str">
        <f>HYPERLINK("http://babel.hathitrust.org/cgi/pt?id=wu.89099221848")</f>
        <v>http://babel.hathitrust.org/cgi/pt?id=wu.89099221848</v>
      </c>
      <c r="H7016" t="str">
        <f>HYPERLINK("http://catalog.hathitrust.org/Record/009184691")</f>
        <v>http://catalog.hathitrust.org/Record/009184691</v>
      </c>
      <c r="J7016" s="1">
        <v>1872</v>
      </c>
      <c r="K7016" t="s">
        <v>3529</v>
      </c>
      <c r="L7016" t="s">
        <v>20981</v>
      </c>
    </row>
    <row r="7017" spans="1:12">
      <c r="A7017" t="s">
        <v>3530</v>
      </c>
      <c r="B7017" s="1" t="s">
        <v>3531</v>
      </c>
      <c r="E7017">
        <v>1</v>
      </c>
      <c r="G7017" t="str">
        <f>HYPERLINK("http://babel.hathitrust.org/cgi/pt?id=mdp.39015070568780")</f>
        <v>http://babel.hathitrust.org/cgi/pt?id=mdp.39015070568780</v>
      </c>
      <c r="H7017" t="str">
        <f>HYPERLINK("http://catalog.hathitrust.org/Record/009185312")</f>
        <v>http://catalog.hathitrust.org/Record/009185312</v>
      </c>
      <c r="J7017" s="1">
        <v>1929</v>
      </c>
      <c r="K7017" t="s">
        <v>3532</v>
      </c>
    </row>
    <row r="7018" spans="1:12">
      <c r="A7018" t="s">
        <v>3533</v>
      </c>
      <c r="B7018" s="1" t="s">
        <v>3534</v>
      </c>
      <c r="F7018">
        <v>1</v>
      </c>
      <c r="G7018" t="str">
        <f>HYPERLINK("http://babel.hathitrust.org/cgi/pt?id=njp.32101065672055")</f>
        <v>http://babel.hathitrust.org/cgi/pt?id=njp.32101065672055</v>
      </c>
      <c r="H7018" t="str">
        <f>HYPERLINK("http://catalog.hathitrust.org/Record/009246613")</f>
        <v>http://catalog.hathitrust.org/Record/009246613</v>
      </c>
      <c r="J7018" s="1">
        <v>1895</v>
      </c>
      <c r="K7018" t="s">
        <v>3535</v>
      </c>
      <c r="L7018" t="s">
        <v>3536</v>
      </c>
    </row>
    <row r="7019" spans="1:12">
      <c r="A7019" t="s">
        <v>3537</v>
      </c>
      <c r="B7019" s="1" t="s">
        <v>3538</v>
      </c>
      <c r="F7019">
        <v>1</v>
      </c>
      <c r="G7019" t="str">
        <f>HYPERLINK("http://babel.hathitrust.org/cgi/pt?id=njp.32101065677609")</f>
        <v>http://babel.hathitrust.org/cgi/pt?id=njp.32101065677609</v>
      </c>
      <c r="H7019" t="str">
        <f>HYPERLINK("http://catalog.hathitrust.org/Record/009246617")</f>
        <v>http://catalog.hathitrust.org/Record/009246617</v>
      </c>
      <c r="J7019" s="1">
        <v>1900</v>
      </c>
      <c r="K7019" t="s">
        <v>3539</v>
      </c>
      <c r="L7019" t="s">
        <v>3540</v>
      </c>
    </row>
    <row r="7020" spans="1:12">
      <c r="A7020" t="s">
        <v>3541</v>
      </c>
      <c r="B7020" s="1" t="s">
        <v>3542</v>
      </c>
      <c r="F7020">
        <v>1</v>
      </c>
      <c r="G7020" t="str">
        <f>HYPERLINK("http://babel.hathitrust.org/cgi/pt?id=njp.32101065862151")</f>
        <v>http://babel.hathitrust.org/cgi/pt?id=njp.32101065862151</v>
      </c>
      <c r="H7020" t="str">
        <f>HYPERLINK("http://catalog.hathitrust.org/Record/009247267")</f>
        <v>http://catalog.hathitrust.org/Record/009247267</v>
      </c>
      <c r="J7020" s="1">
        <v>1875</v>
      </c>
      <c r="K7020" t="s">
        <v>8309</v>
      </c>
      <c r="L7020" t="s">
        <v>3543</v>
      </c>
    </row>
    <row r="7021" spans="1:12">
      <c r="A7021" t="s">
        <v>3544</v>
      </c>
      <c r="B7021" s="1" t="s">
        <v>3545</v>
      </c>
      <c r="F7021">
        <v>1</v>
      </c>
      <c r="G7021" t="str">
        <f>HYPERLINK("http://babel.hathitrust.org/cgi/pt?id=uc2.ark:/13960/t2z31r14x")</f>
        <v>http://babel.hathitrust.org/cgi/pt?id=uc2.ark:/13960/t2z31r14x</v>
      </c>
      <c r="H7021" t="str">
        <f>HYPERLINK("http://catalog.hathitrust.org/Record/009259260")</f>
        <v>http://catalog.hathitrust.org/Record/009259260</v>
      </c>
      <c r="J7021" s="1">
        <v>1893</v>
      </c>
      <c r="K7021" t="s">
        <v>3546</v>
      </c>
      <c r="L7021" t="s">
        <v>19617</v>
      </c>
    </row>
    <row r="7022" spans="1:12">
      <c r="A7022" t="s">
        <v>3547</v>
      </c>
      <c r="B7022" s="1" t="s">
        <v>3548</v>
      </c>
      <c r="E7022">
        <v>1</v>
      </c>
      <c r="F7022">
        <v>1</v>
      </c>
      <c r="G7022" t="str">
        <f>HYPERLINK("http://babel.hathitrust.org/cgi/pt?id=uc1.$b360504")</f>
        <v>http://babel.hathitrust.org/cgi/pt?id=uc1.$b360504</v>
      </c>
      <c r="H7022" t="str">
        <f>HYPERLINK("http://catalog.hathitrust.org/Record/009259648")</f>
        <v>http://catalog.hathitrust.org/Record/009259648</v>
      </c>
      <c r="J7022" s="1">
        <v>1891</v>
      </c>
      <c r="K7022" t="s">
        <v>3549</v>
      </c>
      <c r="L7022" t="s">
        <v>3550</v>
      </c>
    </row>
    <row r="7023" spans="1:12">
      <c r="A7023" t="s">
        <v>3551</v>
      </c>
      <c r="B7023" s="1" t="s">
        <v>3548</v>
      </c>
      <c r="F7023">
        <v>1</v>
      </c>
      <c r="G7023" t="str">
        <f>HYPERLINK("http://babel.hathitrust.org/cgi/pt?id=uc2.ark:/13960/t4qj7c498")</f>
        <v>http://babel.hathitrust.org/cgi/pt?id=uc2.ark:/13960/t4qj7c498</v>
      </c>
      <c r="H7023" t="str">
        <f>HYPERLINK("http://catalog.hathitrust.org/Record/009259648")</f>
        <v>http://catalog.hathitrust.org/Record/009259648</v>
      </c>
      <c r="J7023" s="1">
        <v>1891</v>
      </c>
      <c r="K7023" t="s">
        <v>3549</v>
      </c>
      <c r="L7023" t="s">
        <v>3550</v>
      </c>
    </row>
    <row r="7024" spans="1:12" ht="15">
      <c r="A7024" t="s">
        <v>3552</v>
      </c>
      <c r="B7024" s="1" t="s">
        <v>3553</v>
      </c>
      <c r="F7024">
        <v>1</v>
      </c>
      <c r="G7024" t="str">
        <f>HYPERLINK("http://babel.hathitrust.org/cgi/pt?id=uc2.ark:/13960/t5q81810k")</f>
        <v>http://babel.hathitrust.org/cgi/pt?id=uc2.ark:/13960/t5q81810k</v>
      </c>
      <c r="H7024" t="str">
        <f>HYPERLINK("http://catalog.hathitrust.org/Record/009259790")</f>
        <v>http://catalog.hathitrust.org/Record/009259790</v>
      </c>
      <c r="J7024" s="1">
        <v>1903</v>
      </c>
      <c r="K7024" t="s">
        <v>3554</v>
      </c>
      <c r="L7024" t="s">
        <v>3555</v>
      </c>
    </row>
    <row r="7025" spans="1:12">
      <c r="A7025" t="s">
        <v>3556</v>
      </c>
      <c r="B7025" s="1" t="s">
        <v>3557</v>
      </c>
      <c r="F7025">
        <v>1</v>
      </c>
      <c r="G7025" t="str">
        <f>HYPERLINK("http://babel.hathitrust.org/cgi/pt?id=uc2.ark:/13960/t8w95426h")</f>
        <v>http://babel.hathitrust.org/cgi/pt?id=uc2.ark:/13960/t8w95426h</v>
      </c>
      <c r="H7025" t="str">
        <f>HYPERLINK("http://catalog.hathitrust.org/Record/009260089")</f>
        <v>http://catalog.hathitrust.org/Record/009260089</v>
      </c>
      <c r="J7025" s="1">
        <v>1873</v>
      </c>
      <c r="K7025" t="s">
        <v>3470</v>
      </c>
      <c r="L7025" t="s">
        <v>3471</v>
      </c>
    </row>
    <row r="7026" spans="1:12">
      <c r="A7026" t="s">
        <v>3472</v>
      </c>
      <c r="B7026" s="1" t="s">
        <v>3473</v>
      </c>
      <c r="F7026">
        <v>1</v>
      </c>
      <c r="G7026" t="str">
        <f>HYPERLINK("http://babel.hathitrust.org/cgi/pt?id=uc2.ark:/13960/t4th8fn1x")</f>
        <v>http://babel.hathitrust.org/cgi/pt?id=uc2.ark:/13960/t4th8fn1x</v>
      </c>
      <c r="H7026" t="str">
        <f>HYPERLINK("http://catalog.hathitrust.org/Record/009260600")</f>
        <v>http://catalog.hathitrust.org/Record/009260600</v>
      </c>
      <c r="J7026" s="1">
        <v>1888</v>
      </c>
      <c r="K7026" t="s">
        <v>11976</v>
      </c>
      <c r="L7026" t="s">
        <v>11977</v>
      </c>
    </row>
    <row r="7027" spans="1:12">
      <c r="A7027" t="s">
        <v>3474</v>
      </c>
      <c r="B7027" s="1" t="s">
        <v>3475</v>
      </c>
      <c r="F7027">
        <v>1</v>
      </c>
      <c r="G7027" t="str">
        <f>HYPERLINK("http://babel.hathitrust.org/cgi/pt?id=uc2.ark:/13960/t9862fg45")</f>
        <v>http://babel.hathitrust.org/cgi/pt?id=uc2.ark:/13960/t9862fg45</v>
      </c>
      <c r="H7027" t="str">
        <f>HYPERLINK("http://catalog.hathitrust.org/Record/009260710")</f>
        <v>http://catalog.hathitrust.org/Record/009260710</v>
      </c>
      <c r="J7027" s="1">
        <v>1870</v>
      </c>
      <c r="K7027" t="s">
        <v>12658</v>
      </c>
      <c r="L7027" t="s">
        <v>12659</v>
      </c>
    </row>
    <row r="7028" spans="1:12">
      <c r="A7028" t="s">
        <v>3476</v>
      </c>
      <c r="B7028" s="1" t="s">
        <v>3477</v>
      </c>
      <c r="F7028">
        <v>1</v>
      </c>
      <c r="G7028" t="str">
        <f>HYPERLINK("http://babel.hathitrust.org/cgi/pt?id=uc2.ark:/13960/t79s1q03z")</f>
        <v>http://babel.hathitrust.org/cgi/pt?id=uc2.ark:/13960/t79s1q03z</v>
      </c>
      <c r="H7028" t="str">
        <f>HYPERLINK("http://catalog.hathitrust.org/Record/009260712")</f>
        <v>http://catalog.hathitrust.org/Record/009260712</v>
      </c>
      <c r="J7028" s="1">
        <v>1903</v>
      </c>
      <c r="K7028" t="s">
        <v>3478</v>
      </c>
      <c r="L7028" t="s">
        <v>3479</v>
      </c>
    </row>
    <row r="7029" spans="1:12">
      <c r="A7029" t="s">
        <v>3480</v>
      </c>
      <c r="B7029" s="1" t="s">
        <v>3481</v>
      </c>
      <c r="F7029">
        <v>1</v>
      </c>
      <c r="G7029" t="str">
        <f>HYPERLINK("http://babel.hathitrust.org/cgi/pt?id=uc1.$b338047")</f>
        <v>http://babel.hathitrust.org/cgi/pt?id=uc1.$b338047</v>
      </c>
      <c r="H7029" t="str">
        <f>HYPERLINK("http://catalog.hathitrust.org/Record/009260896")</f>
        <v>http://catalog.hathitrust.org/Record/009260896</v>
      </c>
      <c r="J7029" s="1">
        <v>1829</v>
      </c>
      <c r="K7029" t="s">
        <v>3482</v>
      </c>
    </row>
    <row r="7030" spans="1:12">
      <c r="A7030" t="s">
        <v>3483</v>
      </c>
      <c r="B7030" s="1" t="s">
        <v>3481</v>
      </c>
      <c r="F7030">
        <v>1</v>
      </c>
      <c r="G7030" t="str">
        <f>HYPERLINK("http://babel.hathitrust.org/cgi/pt?id=uc2.ark:/13960/t05x28c52")</f>
        <v>http://babel.hathitrust.org/cgi/pt?id=uc2.ark:/13960/t05x28c52</v>
      </c>
      <c r="H7030" t="str">
        <f>HYPERLINK("http://catalog.hathitrust.org/Record/009260896")</f>
        <v>http://catalog.hathitrust.org/Record/009260896</v>
      </c>
      <c r="J7030" s="1">
        <v>1829</v>
      </c>
      <c r="K7030" t="s">
        <v>3482</v>
      </c>
    </row>
    <row r="7031" spans="1:12">
      <c r="A7031" t="s">
        <v>3484</v>
      </c>
      <c r="B7031" s="1" t="s">
        <v>3485</v>
      </c>
      <c r="F7031">
        <v>1</v>
      </c>
      <c r="G7031" t="str">
        <f>HYPERLINK("http://babel.hathitrust.org/cgi/pt?id=uc1.$b393573")</f>
        <v>http://babel.hathitrust.org/cgi/pt?id=uc1.$b393573</v>
      </c>
      <c r="H7031" t="str">
        <f>HYPERLINK("http://catalog.hathitrust.org/Record/009261228")</f>
        <v>http://catalog.hathitrust.org/Record/009261228</v>
      </c>
      <c r="J7031" s="1">
        <v>1914</v>
      </c>
      <c r="K7031" t="s">
        <v>3486</v>
      </c>
      <c r="L7031" t="s">
        <v>3487</v>
      </c>
    </row>
    <row r="7032" spans="1:12">
      <c r="A7032" t="s">
        <v>3488</v>
      </c>
      <c r="B7032" s="1" t="s">
        <v>3485</v>
      </c>
      <c r="F7032">
        <v>1</v>
      </c>
      <c r="G7032" t="str">
        <f>HYPERLINK("http://babel.hathitrust.org/cgi/pt?id=uc2.ark:/13960/t7rn33p9s")</f>
        <v>http://babel.hathitrust.org/cgi/pt?id=uc2.ark:/13960/t7rn33p9s</v>
      </c>
      <c r="H7032" t="str">
        <f>HYPERLINK("http://catalog.hathitrust.org/Record/009261228")</f>
        <v>http://catalog.hathitrust.org/Record/009261228</v>
      </c>
      <c r="J7032" s="1">
        <v>1914</v>
      </c>
      <c r="K7032" t="s">
        <v>3486</v>
      </c>
      <c r="L7032" t="s">
        <v>3487</v>
      </c>
    </row>
    <row r="7033" spans="1:12">
      <c r="A7033" t="s">
        <v>3489</v>
      </c>
      <c r="B7033" s="1" t="s">
        <v>3490</v>
      </c>
      <c r="F7033">
        <v>1</v>
      </c>
      <c r="G7033" t="str">
        <f>HYPERLINK("http://babel.hathitrust.org/cgi/pt?id=uc2.ark:/13960/t24b3651c")</f>
        <v>http://babel.hathitrust.org/cgi/pt?id=uc2.ark:/13960/t24b3651c</v>
      </c>
      <c r="H7033" t="str">
        <f>HYPERLINK("http://catalog.hathitrust.org/Record/009261240")</f>
        <v>http://catalog.hathitrust.org/Record/009261240</v>
      </c>
      <c r="J7033" s="1">
        <v>1916</v>
      </c>
      <c r="K7033" t="s">
        <v>19190</v>
      </c>
      <c r="L7033" t="s">
        <v>19191</v>
      </c>
    </row>
    <row r="7034" spans="1:12">
      <c r="A7034" t="s">
        <v>3491</v>
      </c>
      <c r="B7034" s="1" t="s">
        <v>3492</v>
      </c>
      <c r="F7034">
        <v>1</v>
      </c>
      <c r="G7034" t="str">
        <f>HYPERLINK("http://babel.hathitrust.org/cgi/pt?id=uc2.ark:/13960/t44q7wv8v")</f>
        <v>http://babel.hathitrust.org/cgi/pt?id=uc2.ark:/13960/t44q7wv8v</v>
      </c>
      <c r="H7034" t="str">
        <f>HYPERLINK("http://catalog.hathitrust.org/Record/009261395")</f>
        <v>http://catalog.hathitrust.org/Record/009261395</v>
      </c>
      <c r="J7034" s="1">
        <v>1889</v>
      </c>
      <c r="K7034" t="s">
        <v>5776</v>
      </c>
      <c r="L7034" t="s">
        <v>17075</v>
      </c>
    </row>
    <row r="7035" spans="1:12">
      <c r="A7035" t="s">
        <v>3493</v>
      </c>
      <c r="B7035" s="1" t="s">
        <v>3494</v>
      </c>
      <c r="F7035">
        <v>1</v>
      </c>
      <c r="G7035" t="str">
        <f>HYPERLINK("http://babel.hathitrust.org/cgi/pt?id=uc2.ark:/13960/t4cn7281d")</f>
        <v>http://babel.hathitrust.org/cgi/pt?id=uc2.ark:/13960/t4cn7281d</v>
      </c>
      <c r="H7035" t="str">
        <f>HYPERLINK("http://catalog.hathitrust.org/Record/009261415")</f>
        <v>http://catalog.hathitrust.org/Record/009261415</v>
      </c>
      <c r="J7035" s="1">
        <v>1906</v>
      </c>
      <c r="K7035" t="s">
        <v>3495</v>
      </c>
      <c r="L7035" t="s">
        <v>3496</v>
      </c>
    </row>
    <row r="7036" spans="1:12">
      <c r="A7036" t="s">
        <v>3497</v>
      </c>
      <c r="B7036" s="1" t="s">
        <v>3498</v>
      </c>
      <c r="F7036">
        <v>1</v>
      </c>
      <c r="G7036" t="str">
        <f>HYPERLINK("http://babel.hathitrust.org/cgi/pt?id=uc2.ark:/13960/t7dr2sw99")</f>
        <v>http://babel.hathitrust.org/cgi/pt?id=uc2.ark:/13960/t7dr2sw99</v>
      </c>
      <c r="H7036" t="str">
        <f>HYPERLINK("http://catalog.hathitrust.org/Record/009262303")</f>
        <v>http://catalog.hathitrust.org/Record/009262303</v>
      </c>
      <c r="J7036" s="1">
        <v>1910</v>
      </c>
      <c r="K7036" t="s">
        <v>11866</v>
      </c>
      <c r="L7036" t="s">
        <v>21003</v>
      </c>
    </row>
    <row r="7037" spans="1:12">
      <c r="A7037" t="s">
        <v>3499</v>
      </c>
      <c r="B7037" s="1" t="s">
        <v>3500</v>
      </c>
      <c r="F7037">
        <v>1</v>
      </c>
      <c r="G7037" t="str">
        <f>HYPERLINK("http://babel.hathitrust.org/cgi/pt?id=uc1.$b365356")</f>
        <v>http://babel.hathitrust.org/cgi/pt?id=uc1.$b365356</v>
      </c>
      <c r="H7037" t="str">
        <f>HYPERLINK("http://catalog.hathitrust.org/Record/009262483")</f>
        <v>http://catalog.hathitrust.org/Record/009262483</v>
      </c>
      <c r="J7037" s="1">
        <v>1806</v>
      </c>
      <c r="K7037" t="s">
        <v>3501</v>
      </c>
      <c r="L7037" t="s">
        <v>15413</v>
      </c>
    </row>
    <row r="7038" spans="1:12">
      <c r="A7038" t="s">
        <v>3502</v>
      </c>
      <c r="B7038" s="1" t="s">
        <v>3500</v>
      </c>
      <c r="F7038">
        <v>1</v>
      </c>
      <c r="G7038" t="str">
        <f>HYPERLINK("http://babel.hathitrust.org/cgi/pt?id=uc2.ark:/13960/t3513z261")</f>
        <v>http://babel.hathitrust.org/cgi/pt?id=uc2.ark:/13960/t3513z261</v>
      </c>
      <c r="H7038" t="str">
        <f>HYPERLINK("http://catalog.hathitrust.org/Record/009262483")</f>
        <v>http://catalog.hathitrust.org/Record/009262483</v>
      </c>
      <c r="J7038" s="1">
        <v>1806</v>
      </c>
      <c r="K7038" t="s">
        <v>3501</v>
      </c>
      <c r="L7038" t="s">
        <v>15413</v>
      </c>
    </row>
    <row r="7039" spans="1:12">
      <c r="A7039" t="s">
        <v>3503</v>
      </c>
      <c r="B7039" s="1" t="s">
        <v>3504</v>
      </c>
      <c r="D7039">
        <v>1</v>
      </c>
      <c r="G7039" t="str">
        <f>HYPERLINK("http://babel.hathitrust.org/cgi/pt?id=ucm.5326809207")</f>
        <v>http://babel.hathitrust.org/cgi/pt?id=ucm.5326809207</v>
      </c>
      <c r="H7039" t="str">
        <f>HYPERLINK("http://catalog.hathitrust.org/Record/009310086")</f>
        <v>http://catalog.hathitrust.org/Record/009310086</v>
      </c>
      <c r="J7039" s="1">
        <v>1755</v>
      </c>
      <c r="K7039" t="s">
        <v>3505</v>
      </c>
      <c r="L7039" t="s">
        <v>20086</v>
      </c>
    </row>
    <row r="7040" spans="1:12">
      <c r="A7040" t="s">
        <v>3506</v>
      </c>
      <c r="B7040" s="1" t="s">
        <v>3507</v>
      </c>
      <c r="D7040">
        <v>1</v>
      </c>
      <c r="G7040" t="str">
        <f>HYPERLINK("http://babel.hathitrust.org/cgi/pt?id=ucm.5319391249")</f>
        <v>http://babel.hathitrust.org/cgi/pt?id=ucm.5319391249</v>
      </c>
      <c r="H7040" t="str">
        <f>HYPERLINK("http://catalog.hathitrust.org/Record/009351129")</f>
        <v>http://catalog.hathitrust.org/Record/009351129</v>
      </c>
      <c r="J7040" s="1">
        <v>1822</v>
      </c>
      <c r="K7040" t="s">
        <v>3508</v>
      </c>
      <c r="L7040" t="s">
        <v>20086</v>
      </c>
    </row>
    <row r="7041" spans="1:12">
      <c r="A7041" t="s">
        <v>3509</v>
      </c>
      <c r="B7041" s="1" t="s">
        <v>3510</v>
      </c>
      <c r="D7041">
        <v>1</v>
      </c>
      <c r="G7041" t="str">
        <f>HYPERLINK("http://babel.hathitrust.org/cgi/pt?id=ucm.5319390682")</f>
        <v>http://babel.hathitrust.org/cgi/pt?id=ucm.5319390682</v>
      </c>
      <c r="H7041" t="str">
        <f>HYPERLINK("http://catalog.hathitrust.org/Record/009351142")</f>
        <v>http://catalog.hathitrust.org/Record/009351142</v>
      </c>
      <c r="J7041" s="1">
        <v>1843</v>
      </c>
      <c r="K7041" t="s">
        <v>3511</v>
      </c>
      <c r="L7041" t="s">
        <v>20043</v>
      </c>
    </row>
    <row r="7042" spans="1:12">
      <c r="A7042" t="s">
        <v>3512</v>
      </c>
      <c r="B7042" s="1" t="s">
        <v>3513</v>
      </c>
      <c r="E7042">
        <v>1</v>
      </c>
      <c r="G7042" t="str">
        <f>HYPERLINK("http://babel.hathitrust.org/cgi/pt?id=ucm.5319393230")</f>
        <v>http://babel.hathitrust.org/cgi/pt?id=ucm.5319393230</v>
      </c>
      <c r="H7042" t="str">
        <f>HYPERLINK("http://catalog.hathitrust.org/Record/009351213")</f>
        <v>http://catalog.hathitrust.org/Record/009351213</v>
      </c>
      <c r="J7042" s="1">
        <v>1851</v>
      </c>
      <c r="K7042" t="s">
        <v>3444</v>
      </c>
      <c r="L7042" t="s">
        <v>3445</v>
      </c>
    </row>
    <row r="7043" spans="1:12">
      <c r="A7043" t="s">
        <v>3446</v>
      </c>
      <c r="B7043" s="1" t="s">
        <v>3447</v>
      </c>
      <c r="D7043">
        <v>1</v>
      </c>
      <c r="G7043" t="str">
        <f>HYPERLINK("http://babel.hathitrust.org/cgi/pt?id=ucm.5319393286")</f>
        <v>http://babel.hathitrust.org/cgi/pt?id=ucm.5319393286</v>
      </c>
      <c r="H7043" t="str">
        <f>HYPERLINK("http://catalog.hathitrust.org/Record/009351229")</f>
        <v>http://catalog.hathitrust.org/Record/009351229</v>
      </c>
      <c r="J7043" s="1">
        <v>1841</v>
      </c>
      <c r="K7043" t="s">
        <v>3448</v>
      </c>
      <c r="L7043" t="s">
        <v>20043</v>
      </c>
    </row>
    <row r="7044" spans="1:12">
      <c r="A7044" t="s">
        <v>3449</v>
      </c>
      <c r="B7044" s="1" t="s">
        <v>3450</v>
      </c>
      <c r="F7044">
        <v>1</v>
      </c>
      <c r="G7044" t="str">
        <f>HYPERLINK("http://babel.hathitrust.org/cgi/pt?id=uc1.$b393850")</f>
        <v>http://babel.hathitrust.org/cgi/pt?id=uc1.$b393850</v>
      </c>
      <c r="H7044" t="str">
        <f>HYPERLINK("http://catalog.hathitrust.org/Record/009385939")</f>
        <v>http://catalog.hathitrust.org/Record/009385939</v>
      </c>
      <c r="J7044" s="1">
        <v>1942</v>
      </c>
      <c r="K7044" t="s">
        <v>3451</v>
      </c>
      <c r="L7044" t="s">
        <v>3452</v>
      </c>
    </row>
    <row r="7045" spans="1:12">
      <c r="A7045" t="s">
        <v>3453</v>
      </c>
      <c r="B7045" s="1" t="s">
        <v>3454</v>
      </c>
      <c r="E7045">
        <v>1</v>
      </c>
      <c r="G7045" t="str">
        <f>HYPERLINK("http://babel.hathitrust.org/cgi/pt?id=wu.89090360363")</f>
        <v>http://babel.hathitrust.org/cgi/pt?id=wu.89090360363</v>
      </c>
      <c r="H7045" t="str">
        <f>HYPERLINK("http://catalog.hathitrust.org/Record/009392140")</f>
        <v>http://catalog.hathitrust.org/Record/009392140</v>
      </c>
      <c r="J7045" s="1">
        <v>1844</v>
      </c>
      <c r="K7045" t="s">
        <v>3455</v>
      </c>
      <c r="L7045" t="s">
        <v>15662</v>
      </c>
    </row>
    <row r="7046" spans="1:12">
      <c r="A7046" t="s">
        <v>3456</v>
      </c>
      <c r="B7046" s="1" t="s">
        <v>3457</v>
      </c>
      <c r="E7046">
        <v>1</v>
      </c>
      <c r="F7046">
        <v>1</v>
      </c>
      <c r="G7046" t="str">
        <f>HYPERLINK("http://babel.hathitrust.org/cgi/pt?id=wu.89090360322")</f>
        <v>http://babel.hathitrust.org/cgi/pt?id=wu.89090360322</v>
      </c>
      <c r="H7046" t="str">
        <f>HYPERLINK("http://catalog.hathitrust.org/Record/009392141")</f>
        <v>http://catalog.hathitrust.org/Record/009392141</v>
      </c>
      <c r="J7046" s="1">
        <v>1832</v>
      </c>
      <c r="K7046" t="s">
        <v>12773</v>
      </c>
      <c r="L7046" t="s">
        <v>15662</v>
      </c>
    </row>
    <row r="7047" spans="1:12">
      <c r="A7047" t="s">
        <v>3458</v>
      </c>
      <c r="B7047" s="1" t="s">
        <v>3459</v>
      </c>
      <c r="F7047">
        <v>1</v>
      </c>
      <c r="G7047" t="str">
        <f>HYPERLINK("http://babel.hathitrust.org/cgi/pt?id=wu.89099795882")</f>
        <v>http://babel.hathitrust.org/cgi/pt?id=wu.89099795882</v>
      </c>
      <c r="H7047" t="str">
        <f>HYPERLINK("http://catalog.hathitrust.org/Record/009392143")</f>
        <v>http://catalog.hathitrust.org/Record/009392143</v>
      </c>
      <c r="J7047" s="1">
        <v>1916</v>
      </c>
      <c r="K7047" t="s">
        <v>3460</v>
      </c>
      <c r="L7047" t="s">
        <v>13602</v>
      </c>
    </row>
    <row r="7048" spans="1:12">
      <c r="A7048" t="s">
        <v>3461</v>
      </c>
      <c r="B7048" s="1" t="s">
        <v>3462</v>
      </c>
      <c r="F7048">
        <v>1</v>
      </c>
      <c r="G7048" t="str">
        <f>HYPERLINK("http://babel.hathitrust.org/cgi/pt?id=wu.89101411189")</f>
        <v>http://babel.hathitrust.org/cgi/pt?id=wu.89101411189</v>
      </c>
      <c r="H7048" t="str">
        <f>HYPERLINK("http://catalog.hathitrust.org/Record/009392218")</f>
        <v>http://catalog.hathitrust.org/Record/009392218</v>
      </c>
      <c r="J7048" s="1">
        <v>1920</v>
      </c>
      <c r="K7048" t="s">
        <v>3463</v>
      </c>
      <c r="L7048" t="s">
        <v>9977</v>
      </c>
    </row>
    <row r="7049" spans="1:12">
      <c r="A7049" t="s">
        <v>3464</v>
      </c>
      <c r="B7049" s="1" t="s">
        <v>3465</v>
      </c>
      <c r="F7049">
        <v>1</v>
      </c>
      <c r="G7049" t="str">
        <f>HYPERLINK("http://babel.hathitrust.org/cgi/pt?id=njp.32101065672345")</f>
        <v>http://babel.hathitrust.org/cgi/pt?id=njp.32101065672345</v>
      </c>
      <c r="H7049" t="str">
        <f>HYPERLINK("http://catalog.hathitrust.org/Record/009404506")</f>
        <v>http://catalog.hathitrust.org/Record/009404506</v>
      </c>
      <c r="J7049" s="1">
        <v>1922</v>
      </c>
      <c r="K7049" t="s">
        <v>3466</v>
      </c>
      <c r="L7049" t="s">
        <v>3467</v>
      </c>
    </row>
    <row r="7050" spans="1:12">
      <c r="A7050" t="s">
        <v>3468</v>
      </c>
      <c r="B7050" s="1" t="s">
        <v>3469</v>
      </c>
      <c r="F7050">
        <v>1</v>
      </c>
      <c r="G7050" t="str">
        <f>HYPERLINK("http://babel.hathitrust.org/cgi/pt?id=njp.32101064223413")</f>
        <v>http://babel.hathitrust.org/cgi/pt?id=njp.32101064223413</v>
      </c>
      <c r="H7050" t="str">
        <f>HYPERLINK("http://catalog.hathitrust.org/Record/009407707")</f>
        <v>http://catalog.hathitrust.org/Record/009407707</v>
      </c>
      <c r="J7050" s="1">
        <v>1804</v>
      </c>
      <c r="K7050" t="s">
        <v>3418</v>
      </c>
      <c r="L7050" t="s">
        <v>20960</v>
      </c>
    </row>
    <row r="7051" spans="1:12">
      <c r="A7051" t="s">
        <v>3419</v>
      </c>
      <c r="B7051" s="1" t="s">
        <v>3420</v>
      </c>
      <c r="D7051">
        <v>1</v>
      </c>
      <c r="G7051" t="str">
        <f>HYPERLINK("http://babel.hathitrust.org/cgi/pt?id=njp.32101064296880")</f>
        <v>http://babel.hathitrust.org/cgi/pt?id=njp.32101064296880</v>
      </c>
      <c r="H7051" t="str">
        <f>HYPERLINK("http://catalog.hathitrust.org/Record/009408310")</f>
        <v>http://catalog.hathitrust.org/Record/009408310</v>
      </c>
      <c r="J7051" s="1">
        <v>1849</v>
      </c>
      <c r="K7051" t="s">
        <v>3421</v>
      </c>
      <c r="L7051" t="s">
        <v>20086</v>
      </c>
    </row>
    <row r="7052" spans="1:12">
      <c r="A7052" t="s">
        <v>3422</v>
      </c>
      <c r="B7052" s="1" t="s">
        <v>3423</v>
      </c>
      <c r="F7052">
        <v>1</v>
      </c>
      <c r="G7052" t="str">
        <f>HYPERLINK("http://babel.hathitrust.org/cgi/pt?id=njp.32101064724683")</f>
        <v>http://babel.hathitrust.org/cgi/pt?id=njp.32101064724683</v>
      </c>
      <c r="H7052" t="str">
        <f>HYPERLINK("http://catalog.hathitrust.org/Record/009409013")</f>
        <v>http://catalog.hathitrust.org/Record/009409013</v>
      </c>
      <c r="J7052" s="1">
        <v>1914</v>
      </c>
      <c r="K7052" t="s">
        <v>3424</v>
      </c>
      <c r="L7052" t="s">
        <v>3425</v>
      </c>
    </row>
    <row r="7053" spans="1:12">
      <c r="A7053" t="s">
        <v>3426</v>
      </c>
      <c r="B7053" s="1" t="s">
        <v>3427</v>
      </c>
      <c r="F7053">
        <v>1</v>
      </c>
      <c r="G7053" t="str">
        <f>HYPERLINK("http://babel.hathitrust.org/cgi/pt?id=njp.32101065409920")</f>
        <v>http://babel.hathitrust.org/cgi/pt?id=njp.32101065409920</v>
      </c>
      <c r="H7053" t="str">
        <f>HYPERLINK("http://catalog.hathitrust.org/Record/009409945")</f>
        <v>http://catalog.hathitrust.org/Record/009409945</v>
      </c>
      <c r="J7053" s="1">
        <v>1892</v>
      </c>
      <c r="K7053" t="s">
        <v>3428</v>
      </c>
      <c r="L7053" t="s">
        <v>3429</v>
      </c>
    </row>
    <row r="7054" spans="1:12">
      <c r="A7054" t="s">
        <v>3430</v>
      </c>
      <c r="B7054" s="1" t="s">
        <v>3427</v>
      </c>
      <c r="F7054">
        <v>1</v>
      </c>
      <c r="G7054" t="str">
        <f>HYPERLINK("http://babel.hathitrust.org/cgi/pt?id=uc2.ark:/13960/t9n300x85")</f>
        <v>http://babel.hathitrust.org/cgi/pt?id=uc2.ark:/13960/t9n300x85</v>
      </c>
      <c r="H7054" t="str">
        <f>HYPERLINK("http://catalog.hathitrust.org/Record/009409945")</f>
        <v>http://catalog.hathitrust.org/Record/009409945</v>
      </c>
      <c r="J7054" s="1">
        <v>1892</v>
      </c>
      <c r="K7054" t="s">
        <v>3428</v>
      </c>
      <c r="L7054" t="s">
        <v>3429</v>
      </c>
    </row>
    <row r="7055" spans="1:12">
      <c r="A7055" t="s">
        <v>3431</v>
      </c>
      <c r="B7055" s="1" t="s">
        <v>3432</v>
      </c>
      <c r="F7055">
        <v>1</v>
      </c>
      <c r="G7055" t="str">
        <f>HYPERLINK("http://babel.hathitrust.org/cgi/pt?id=njp.32101065410316")</f>
        <v>http://babel.hathitrust.org/cgi/pt?id=njp.32101065410316</v>
      </c>
      <c r="H7055" t="str">
        <f>HYPERLINK("http://catalog.hathitrust.org/Record/009409974")</f>
        <v>http://catalog.hathitrust.org/Record/009409974</v>
      </c>
      <c r="J7055" s="1">
        <v>1818</v>
      </c>
      <c r="K7055" t="s">
        <v>3433</v>
      </c>
      <c r="L7055" t="s">
        <v>3434</v>
      </c>
    </row>
    <row r="7056" spans="1:12">
      <c r="A7056" t="s">
        <v>3435</v>
      </c>
      <c r="B7056" s="1" t="s">
        <v>3436</v>
      </c>
      <c r="F7056">
        <v>1</v>
      </c>
      <c r="G7056" t="str">
        <f>HYPERLINK("http://babel.hathitrust.org/cgi/pt?id=pst.000061786783")</f>
        <v>http://babel.hathitrust.org/cgi/pt?id=pst.000061786783</v>
      </c>
      <c r="H7056" t="str">
        <f>HYPERLINK("http://catalog.hathitrust.org/Record/009429262")</f>
        <v>http://catalog.hathitrust.org/Record/009429262</v>
      </c>
      <c r="J7056" s="1">
        <v>1842</v>
      </c>
      <c r="K7056" t="s">
        <v>3437</v>
      </c>
      <c r="L7056" t="s">
        <v>15675</v>
      </c>
    </row>
    <row r="7057" spans="1:12">
      <c r="A7057" t="s">
        <v>3438</v>
      </c>
      <c r="B7057" s="1" t="s">
        <v>3439</v>
      </c>
      <c r="F7057">
        <v>1</v>
      </c>
      <c r="G7057" t="str">
        <f>HYPERLINK("http://babel.hathitrust.org/cgi/pt?id=pst.000006362881")</f>
        <v>http://babel.hathitrust.org/cgi/pt?id=pst.000006362881</v>
      </c>
      <c r="H7057" t="str">
        <f>HYPERLINK("http://catalog.hathitrust.org/Record/009430443")</f>
        <v>http://catalog.hathitrust.org/Record/009430443</v>
      </c>
      <c r="J7057" s="1">
        <v>1889</v>
      </c>
      <c r="K7057" t="s">
        <v>3440</v>
      </c>
      <c r="L7057" t="s">
        <v>3441</v>
      </c>
    </row>
    <row r="7058" spans="1:12">
      <c r="A7058" t="s">
        <v>3442</v>
      </c>
      <c r="B7058" s="1" t="s">
        <v>3443</v>
      </c>
      <c r="E7058">
        <v>1</v>
      </c>
      <c r="G7058" t="str">
        <f>HYPERLINK("http://babel.hathitrust.org/cgi/pt?id=pst.000006729035")</f>
        <v>http://babel.hathitrust.org/cgi/pt?id=pst.000006729035</v>
      </c>
      <c r="H7058" t="str">
        <f>HYPERLINK("http://catalog.hathitrust.org/Record/009438775")</f>
        <v>http://catalog.hathitrust.org/Record/009438775</v>
      </c>
      <c r="J7058" s="1">
        <v>1910</v>
      </c>
      <c r="K7058" t="s">
        <v>3371</v>
      </c>
      <c r="L7058" t="s">
        <v>20331</v>
      </c>
    </row>
    <row r="7059" spans="1:12">
      <c r="A7059" t="s">
        <v>3372</v>
      </c>
      <c r="B7059" s="1" t="s">
        <v>3373</v>
      </c>
      <c r="E7059">
        <v>1</v>
      </c>
      <c r="G7059" t="str">
        <f>HYPERLINK("http://babel.hathitrust.org/cgi/pt?id=pst.000029878499")</f>
        <v>http://babel.hathitrust.org/cgi/pt?id=pst.000029878499</v>
      </c>
      <c r="H7059" t="str">
        <f>HYPERLINK("http://catalog.hathitrust.org/Record/009441707")</f>
        <v>http://catalog.hathitrust.org/Record/009441707</v>
      </c>
      <c r="J7059" s="1">
        <v>1922</v>
      </c>
      <c r="K7059" t="s">
        <v>3652</v>
      </c>
      <c r="L7059" t="s">
        <v>19690</v>
      </c>
    </row>
    <row r="7060" spans="1:12">
      <c r="A7060" t="s">
        <v>3374</v>
      </c>
      <c r="B7060" s="1" t="s">
        <v>3375</v>
      </c>
      <c r="F7060">
        <v>1</v>
      </c>
      <c r="G7060" t="str">
        <f>HYPERLINK("http://babel.hathitrust.org/cgi/pt?id=uc1.$b383259")</f>
        <v>http://babel.hathitrust.org/cgi/pt?id=uc1.$b383259</v>
      </c>
      <c r="H7060" t="str">
        <f>HYPERLINK("http://catalog.hathitrust.org/Record/009454006")</f>
        <v>http://catalog.hathitrust.org/Record/009454006</v>
      </c>
      <c r="J7060" s="1">
        <v>1923</v>
      </c>
      <c r="K7060" t="s">
        <v>3376</v>
      </c>
      <c r="L7060" t="s">
        <v>3377</v>
      </c>
    </row>
    <row r="7061" spans="1:12">
      <c r="A7061" t="s">
        <v>3378</v>
      </c>
      <c r="B7061" s="1" t="s">
        <v>3379</v>
      </c>
      <c r="F7061">
        <v>1</v>
      </c>
      <c r="G7061" t="str">
        <f>HYPERLINK("http://babel.hathitrust.org/cgi/pt?id=njp.32101036892121")</f>
        <v>http://babel.hathitrust.org/cgi/pt?id=njp.32101036892121</v>
      </c>
      <c r="H7061" t="str">
        <f>HYPERLINK("http://catalog.hathitrust.org/Record/009471209")</f>
        <v>http://catalog.hathitrust.org/Record/009471209</v>
      </c>
      <c r="J7061" s="1">
        <v>1766</v>
      </c>
      <c r="K7061" t="s">
        <v>3380</v>
      </c>
      <c r="L7061" t="s">
        <v>3381</v>
      </c>
    </row>
    <row r="7062" spans="1:12">
      <c r="A7062" t="s">
        <v>3382</v>
      </c>
      <c r="B7062" s="1" t="s">
        <v>3383</v>
      </c>
      <c r="D7062">
        <v>1</v>
      </c>
      <c r="G7062" t="str">
        <f>HYPERLINK("http://babel.hathitrust.org/cgi/pt?id=njp.32101037601646")</f>
        <v>http://babel.hathitrust.org/cgi/pt?id=njp.32101037601646</v>
      </c>
      <c r="H7062" t="str">
        <f>HYPERLINK("http://catalog.hathitrust.org/Record/009472161")</f>
        <v>http://catalog.hathitrust.org/Record/009472161</v>
      </c>
      <c r="J7062" s="1">
        <v>1794</v>
      </c>
      <c r="K7062" t="s">
        <v>3384</v>
      </c>
      <c r="L7062" t="s">
        <v>19518</v>
      </c>
    </row>
    <row r="7063" spans="1:12">
      <c r="A7063" t="s">
        <v>3385</v>
      </c>
      <c r="B7063" s="1" t="s">
        <v>3386</v>
      </c>
      <c r="E7063">
        <v>1</v>
      </c>
      <c r="G7063" t="str">
        <f>HYPERLINK("http://babel.hathitrust.org/cgi/pt?id=njp.32101037601901")</f>
        <v>http://babel.hathitrust.org/cgi/pt?id=njp.32101037601901</v>
      </c>
      <c r="H7063" t="str">
        <f>HYPERLINK("http://catalog.hathitrust.org/Record/009472165")</f>
        <v>http://catalog.hathitrust.org/Record/009472165</v>
      </c>
      <c r="J7063" s="1">
        <v>1803</v>
      </c>
      <c r="K7063" t="s">
        <v>3387</v>
      </c>
      <c r="L7063" t="s">
        <v>20960</v>
      </c>
    </row>
    <row r="7064" spans="1:12">
      <c r="A7064" t="s">
        <v>3388</v>
      </c>
      <c r="B7064" s="1" t="s">
        <v>3389</v>
      </c>
      <c r="D7064">
        <v>1</v>
      </c>
      <c r="G7064" t="str">
        <f>HYPERLINK("http://babel.hathitrust.org/cgi/pt?id=njp.32101037601661")</f>
        <v>http://babel.hathitrust.org/cgi/pt?id=njp.32101037601661</v>
      </c>
      <c r="H7064" t="str">
        <f>HYPERLINK("http://catalog.hathitrust.org/Record/009472374")</f>
        <v>http://catalog.hathitrust.org/Record/009472374</v>
      </c>
      <c r="J7064" s="1">
        <v>1810</v>
      </c>
      <c r="K7064" t="s">
        <v>3390</v>
      </c>
      <c r="L7064" t="s">
        <v>20086</v>
      </c>
    </row>
    <row r="7065" spans="1:12">
      <c r="A7065" t="s">
        <v>3391</v>
      </c>
      <c r="B7065" s="1" t="s">
        <v>3392</v>
      </c>
      <c r="E7065">
        <v>1</v>
      </c>
      <c r="G7065" t="str">
        <f>HYPERLINK("http://babel.hathitrust.org/cgi/pt?id=uc1.b4358435")</f>
        <v>http://babel.hathitrust.org/cgi/pt?id=uc1.b4358435</v>
      </c>
      <c r="H7065" t="str">
        <f>HYPERLINK("http://catalog.hathitrust.org/Record/009508672")</f>
        <v>http://catalog.hathitrust.org/Record/009508672</v>
      </c>
      <c r="J7065" s="1">
        <v>1845</v>
      </c>
      <c r="K7065" t="s">
        <v>3393</v>
      </c>
      <c r="L7065" t="s">
        <v>19491</v>
      </c>
    </row>
    <row r="7066" spans="1:12">
      <c r="A7066" t="s">
        <v>3394</v>
      </c>
      <c r="B7066" s="1" t="s">
        <v>3395</v>
      </c>
      <c r="E7066">
        <v>1</v>
      </c>
      <c r="F7066">
        <v>1</v>
      </c>
      <c r="G7066" t="str">
        <f>HYPERLINK("http://babel.hathitrust.org/cgi/pt?id=inu.30000120497189")</f>
        <v>http://babel.hathitrust.org/cgi/pt?id=inu.30000120497189</v>
      </c>
      <c r="H7066" t="str">
        <f>HYPERLINK("http://catalog.hathitrust.org/Record/009529538")</f>
        <v>http://catalog.hathitrust.org/Record/009529538</v>
      </c>
      <c r="J7066" s="1">
        <v>1882</v>
      </c>
      <c r="K7066" t="s">
        <v>3396</v>
      </c>
      <c r="L7066" t="s">
        <v>15662</v>
      </c>
    </row>
    <row r="7067" spans="1:12">
      <c r="A7067" t="s">
        <v>3397</v>
      </c>
      <c r="B7067" s="1" t="s">
        <v>3398</v>
      </c>
      <c r="F7067">
        <v>1</v>
      </c>
      <c r="G7067" t="str">
        <f>HYPERLINK("http://babel.hathitrust.org/cgi/pt?id=uc1.$b349092")</f>
        <v>http://babel.hathitrust.org/cgi/pt?id=uc1.$b349092</v>
      </c>
      <c r="H7067" t="str">
        <f>HYPERLINK("http://catalog.hathitrust.org/Record/009554946")</f>
        <v>http://catalog.hathitrust.org/Record/009554946</v>
      </c>
      <c r="J7067" s="1">
        <v>1884</v>
      </c>
      <c r="K7067" t="s">
        <v>3399</v>
      </c>
      <c r="L7067" t="s">
        <v>12225</v>
      </c>
    </row>
    <row r="7068" spans="1:12">
      <c r="A7068" t="s">
        <v>3400</v>
      </c>
      <c r="B7068" s="1" t="s">
        <v>3401</v>
      </c>
      <c r="E7068">
        <v>1</v>
      </c>
      <c r="F7068">
        <v>1</v>
      </c>
      <c r="G7068" t="str">
        <f>HYPERLINK("http://babel.hathitrust.org/cgi/pt?id=loc.ark:/13960/t0vq3ph98")</f>
        <v>http://babel.hathitrust.org/cgi/pt?id=loc.ark:/13960/t0vq3ph98</v>
      </c>
      <c r="H7068" t="str">
        <f>HYPERLINK("http://catalog.hathitrust.org/Record/009558001")</f>
        <v>http://catalog.hathitrust.org/Record/009558001</v>
      </c>
      <c r="J7068" s="1">
        <v>1901</v>
      </c>
      <c r="K7068" t="s">
        <v>3402</v>
      </c>
      <c r="L7068" t="s">
        <v>6378</v>
      </c>
    </row>
    <row r="7069" spans="1:12">
      <c r="A7069" t="s">
        <v>3403</v>
      </c>
      <c r="B7069" s="1" t="s">
        <v>3404</v>
      </c>
      <c r="F7069">
        <v>1</v>
      </c>
      <c r="G7069" t="str">
        <f>HYPERLINK("http://babel.hathitrust.org/cgi/pt?id=loc.ark:/13960/t1vd7dr6b")</f>
        <v>http://babel.hathitrust.org/cgi/pt?id=loc.ark:/13960/t1vd7dr6b</v>
      </c>
      <c r="H7069" t="str">
        <f>HYPERLINK("http://catalog.hathitrust.org/Record/009558196")</f>
        <v>http://catalog.hathitrust.org/Record/009558196</v>
      </c>
      <c r="J7069" s="1">
        <v>1915</v>
      </c>
      <c r="K7069" t="s">
        <v>17384</v>
      </c>
      <c r="L7069" t="s">
        <v>17385</v>
      </c>
    </row>
    <row r="7070" spans="1:12">
      <c r="A7070" t="s">
        <v>3405</v>
      </c>
      <c r="B7070" s="1" t="s">
        <v>3406</v>
      </c>
      <c r="F7070">
        <v>1</v>
      </c>
      <c r="G7070" t="str">
        <f>HYPERLINK("http://babel.hathitrust.org/cgi/pt?id=loc.ark:/13960/t4rj4z67d")</f>
        <v>http://babel.hathitrust.org/cgi/pt?id=loc.ark:/13960/t4rj4z67d</v>
      </c>
      <c r="H7070" t="str">
        <f>HYPERLINK("http://catalog.hathitrust.org/Record/009559194")</f>
        <v>http://catalog.hathitrust.org/Record/009559194</v>
      </c>
      <c r="J7070" s="1">
        <v>1917</v>
      </c>
      <c r="K7070" t="s">
        <v>3407</v>
      </c>
      <c r="L7070" t="s">
        <v>11886</v>
      </c>
    </row>
    <row r="7071" spans="1:12">
      <c r="A7071" t="s">
        <v>3408</v>
      </c>
      <c r="B7071" s="1" t="s">
        <v>3409</v>
      </c>
      <c r="F7071">
        <v>1</v>
      </c>
      <c r="G7071" t="str">
        <f>HYPERLINK("http://babel.hathitrust.org/cgi/pt?id=loc.ark:/13960/t6834db0x")</f>
        <v>http://babel.hathitrust.org/cgi/pt?id=loc.ark:/13960/t6834db0x</v>
      </c>
      <c r="H7071" t="str">
        <f>HYPERLINK("http://catalog.hathitrust.org/Record/009559316")</f>
        <v>http://catalog.hathitrust.org/Record/009559316</v>
      </c>
      <c r="J7071" s="1">
        <v>1922</v>
      </c>
      <c r="K7071" t="s">
        <v>3410</v>
      </c>
      <c r="L7071" t="s">
        <v>18366</v>
      </c>
    </row>
    <row r="7072" spans="1:12">
      <c r="A7072" t="s">
        <v>3411</v>
      </c>
      <c r="B7072" s="1" t="s">
        <v>3412</v>
      </c>
      <c r="F7072">
        <v>1</v>
      </c>
      <c r="G7072" t="str">
        <f>HYPERLINK("http://babel.hathitrust.org/cgi/pt?id=loc.ark:/13960/t50g4885t")</f>
        <v>http://babel.hathitrust.org/cgi/pt?id=loc.ark:/13960/t50g4885t</v>
      </c>
      <c r="H7072" t="str">
        <f>HYPERLINK("http://catalog.hathitrust.org/Record/009560083")</f>
        <v>http://catalog.hathitrust.org/Record/009560083</v>
      </c>
      <c r="J7072" s="1">
        <v>1900</v>
      </c>
      <c r="K7072" t="s">
        <v>3413</v>
      </c>
      <c r="L7072" t="s">
        <v>10637</v>
      </c>
    </row>
    <row r="7073" spans="1:12">
      <c r="A7073" t="s">
        <v>3414</v>
      </c>
      <c r="B7073" s="1" t="s">
        <v>3415</v>
      </c>
      <c r="E7073">
        <v>1</v>
      </c>
      <c r="G7073" t="str">
        <f>HYPERLINK("http://babel.hathitrust.org/cgi/pt?id=loc.ark:/13960/t2794z85q")</f>
        <v>http://babel.hathitrust.org/cgi/pt?id=loc.ark:/13960/t2794z85q</v>
      </c>
      <c r="H7073" t="str">
        <f>HYPERLINK("http://catalog.hathitrust.org/Record/009561090")</f>
        <v>http://catalog.hathitrust.org/Record/009561090</v>
      </c>
      <c r="J7073" s="1">
        <v>1913</v>
      </c>
      <c r="K7073" t="s">
        <v>3416</v>
      </c>
      <c r="L7073" t="s">
        <v>20467</v>
      </c>
    </row>
    <row r="7074" spans="1:12">
      <c r="A7074" t="s">
        <v>3417</v>
      </c>
      <c r="B7074" s="1" t="s">
        <v>3320</v>
      </c>
      <c r="F7074">
        <v>1</v>
      </c>
      <c r="G7074" t="str">
        <f>HYPERLINK("http://babel.hathitrust.org/cgi/pt?id=loc.ark:/13960/t7xk8sj72")</f>
        <v>http://babel.hathitrust.org/cgi/pt?id=loc.ark:/13960/t7xk8sj72</v>
      </c>
      <c r="H7074" t="str">
        <f>HYPERLINK("http://catalog.hathitrust.org/Record/009561360")</f>
        <v>http://catalog.hathitrust.org/Record/009561360</v>
      </c>
      <c r="J7074" s="1">
        <v>1907</v>
      </c>
      <c r="K7074" t="s">
        <v>3321</v>
      </c>
      <c r="L7074" t="s">
        <v>3322</v>
      </c>
    </row>
    <row r="7075" spans="1:12">
      <c r="A7075" t="s">
        <v>3323</v>
      </c>
      <c r="B7075" s="1" t="s">
        <v>3324</v>
      </c>
      <c r="F7075">
        <v>1</v>
      </c>
      <c r="G7075" t="str">
        <f>HYPERLINK("http://babel.hathitrust.org/cgi/pt?id=loc.ark:/13960/t5t72zv4h")</f>
        <v>http://babel.hathitrust.org/cgi/pt?id=loc.ark:/13960/t5t72zv4h</v>
      </c>
      <c r="H7075" t="str">
        <f>HYPERLINK("http://catalog.hathitrust.org/Record/009562302")</f>
        <v>http://catalog.hathitrust.org/Record/009562302</v>
      </c>
      <c r="J7075" s="1">
        <v>1919</v>
      </c>
      <c r="K7075" t="s">
        <v>3325</v>
      </c>
      <c r="L7075" t="s">
        <v>3326</v>
      </c>
    </row>
    <row r="7076" spans="1:12">
      <c r="A7076" t="s">
        <v>3327</v>
      </c>
      <c r="B7076" s="1" t="s">
        <v>3328</v>
      </c>
      <c r="E7076">
        <v>1</v>
      </c>
      <c r="G7076" t="str">
        <f>HYPERLINK("http://babel.hathitrust.org/cgi/pt?id=loc.ark:/13960/t77s8gm54")</f>
        <v>http://babel.hathitrust.org/cgi/pt?id=loc.ark:/13960/t77s8gm54</v>
      </c>
      <c r="H7076" t="str">
        <f>HYPERLINK("http://catalog.hathitrust.org/Record/009564109")</f>
        <v>http://catalog.hathitrust.org/Record/009564109</v>
      </c>
      <c r="J7076" s="1">
        <v>1848</v>
      </c>
      <c r="K7076" t="s">
        <v>3329</v>
      </c>
      <c r="L7076" t="s">
        <v>3330</v>
      </c>
    </row>
    <row r="7077" spans="1:12">
      <c r="A7077" t="s">
        <v>3331</v>
      </c>
      <c r="B7077" s="1" t="s">
        <v>3332</v>
      </c>
      <c r="F7077">
        <v>1</v>
      </c>
      <c r="G7077" t="str">
        <f>HYPERLINK("http://babel.hathitrust.org/cgi/pt?id=loc.ark:/13960/t4cn7mc2v")</f>
        <v>http://babel.hathitrust.org/cgi/pt?id=loc.ark:/13960/t4cn7mc2v</v>
      </c>
      <c r="H7077" t="str">
        <f>HYPERLINK("http://catalog.hathitrust.org/Record/009564179")</f>
        <v>http://catalog.hathitrust.org/Record/009564179</v>
      </c>
      <c r="J7077" s="1">
        <v>1918</v>
      </c>
      <c r="K7077" t="s">
        <v>3333</v>
      </c>
      <c r="L7077" t="s">
        <v>3334</v>
      </c>
    </row>
    <row r="7078" spans="1:12">
      <c r="A7078" t="s">
        <v>3335</v>
      </c>
      <c r="B7078" s="1" t="s">
        <v>3336</v>
      </c>
      <c r="F7078">
        <v>1</v>
      </c>
      <c r="G7078" t="str">
        <f>HYPERLINK("http://babel.hathitrust.org/cgi/pt?id=loc.ark:/13960/t50g45t48")</f>
        <v>http://babel.hathitrust.org/cgi/pt?id=loc.ark:/13960/t50g45t48</v>
      </c>
      <c r="H7078" t="str">
        <f>HYPERLINK("http://catalog.hathitrust.org/Record/009565468")</f>
        <v>http://catalog.hathitrust.org/Record/009565468</v>
      </c>
      <c r="J7078" s="1">
        <v>1914</v>
      </c>
      <c r="K7078" t="s">
        <v>20343</v>
      </c>
      <c r="L7078" t="s">
        <v>3337</v>
      </c>
    </row>
    <row r="7079" spans="1:12">
      <c r="A7079" t="s">
        <v>3338</v>
      </c>
      <c r="B7079" s="1" t="s">
        <v>3339</v>
      </c>
      <c r="E7079">
        <v>1</v>
      </c>
      <c r="G7079" t="str">
        <f>HYPERLINK("http://babel.hathitrust.org/cgi/pt?id=loc.ark:/13960/t73v0233w")</f>
        <v>http://babel.hathitrust.org/cgi/pt?id=loc.ark:/13960/t73v0233w</v>
      </c>
      <c r="H7079" t="str">
        <f>HYPERLINK("http://catalog.hathitrust.org/Record/009565895")</f>
        <v>http://catalog.hathitrust.org/Record/009565895</v>
      </c>
      <c r="J7079" s="1">
        <v>1901</v>
      </c>
      <c r="K7079" t="s">
        <v>3340</v>
      </c>
      <c r="L7079" t="s">
        <v>18982</v>
      </c>
    </row>
    <row r="7080" spans="1:12">
      <c r="A7080" t="s">
        <v>3341</v>
      </c>
      <c r="B7080" s="1" t="s">
        <v>3342</v>
      </c>
      <c r="F7080">
        <v>1</v>
      </c>
      <c r="G7080" t="str">
        <f>HYPERLINK("http://babel.hathitrust.org/cgi/pt?id=loc.ark:/13960/t89g68r9d")</f>
        <v>http://babel.hathitrust.org/cgi/pt?id=loc.ark:/13960/t89g68r9d</v>
      </c>
      <c r="H7080" t="str">
        <f>HYPERLINK("http://catalog.hathitrust.org/Record/009566016")</f>
        <v>http://catalog.hathitrust.org/Record/009566016</v>
      </c>
      <c r="J7080" s="1">
        <v>1894</v>
      </c>
      <c r="K7080" t="s">
        <v>3343</v>
      </c>
      <c r="L7080" t="s">
        <v>3344</v>
      </c>
    </row>
    <row r="7081" spans="1:12">
      <c r="A7081" t="s">
        <v>3345</v>
      </c>
      <c r="B7081" s="1" t="s">
        <v>3346</v>
      </c>
      <c r="F7081">
        <v>1</v>
      </c>
      <c r="G7081" t="str">
        <f>HYPERLINK("http://babel.hathitrust.org/cgi/pt?id=loc.ark:/13960/t1pg2bn5x")</f>
        <v>http://babel.hathitrust.org/cgi/pt?id=loc.ark:/13960/t1pg2bn5x</v>
      </c>
      <c r="H7081" t="str">
        <f>HYPERLINK("http://catalog.hathitrust.org/Record/009567056")</f>
        <v>http://catalog.hathitrust.org/Record/009567056</v>
      </c>
      <c r="J7081" s="1">
        <v>1914</v>
      </c>
      <c r="K7081" t="s">
        <v>3347</v>
      </c>
      <c r="L7081" t="s">
        <v>3348</v>
      </c>
    </row>
    <row r="7082" spans="1:12">
      <c r="A7082" t="s">
        <v>3349</v>
      </c>
      <c r="B7082" s="1" t="s">
        <v>3350</v>
      </c>
      <c r="E7082">
        <v>1</v>
      </c>
      <c r="G7082" t="str">
        <f>HYPERLINK("http://babel.hathitrust.org/cgi/pt?id=loc.ark:/13960/t6h13n801")</f>
        <v>http://babel.hathitrust.org/cgi/pt?id=loc.ark:/13960/t6h13n801</v>
      </c>
      <c r="H7082" t="str">
        <f>HYPERLINK("http://catalog.hathitrust.org/Record/009567126")</f>
        <v>http://catalog.hathitrust.org/Record/009567126</v>
      </c>
      <c r="J7082" s="1">
        <v>1899</v>
      </c>
      <c r="K7082" t="s">
        <v>3351</v>
      </c>
      <c r="L7082" t="s">
        <v>15737</v>
      </c>
    </row>
    <row r="7083" spans="1:12">
      <c r="A7083" t="s">
        <v>3352</v>
      </c>
      <c r="B7083" s="1" t="s">
        <v>3353</v>
      </c>
      <c r="E7083">
        <v>1</v>
      </c>
      <c r="G7083" t="str">
        <f>HYPERLINK("http://babel.hathitrust.org/cgi/pt?id=loc.ark:/13960/t14m9qs8s")</f>
        <v>http://babel.hathitrust.org/cgi/pt?id=loc.ark:/13960/t14m9qs8s</v>
      </c>
      <c r="H7083" t="str">
        <f>HYPERLINK("http://catalog.hathitrust.org/Record/009567872")</f>
        <v>http://catalog.hathitrust.org/Record/009567872</v>
      </c>
      <c r="J7083" s="1">
        <v>1848</v>
      </c>
      <c r="K7083" t="s">
        <v>10178</v>
      </c>
      <c r="L7083" t="s">
        <v>20485</v>
      </c>
    </row>
    <row r="7084" spans="1:12">
      <c r="A7084" t="s">
        <v>3354</v>
      </c>
      <c r="B7084" s="1" t="s">
        <v>3355</v>
      </c>
      <c r="E7084">
        <v>1</v>
      </c>
      <c r="G7084" t="str">
        <f>HYPERLINK("http://babel.hathitrust.org/cgi/pt?id=loc.ark:/13960/t2n596r0q")</f>
        <v>http://babel.hathitrust.org/cgi/pt?id=loc.ark:/13960/t2n596r0q</v>
      </c>
      <c r="H7084" t="str">
        <f>HYPERLINK("http://catalog.hathitrust.org/Record/009568211")</f>
        <v>http://catalog.hathitrust.org/Record/009568211</v>
      </c>
      <c r="J7084" s="1">
        <v>1885</v>
      </c>
      <c r="K7084" t="s">
        <v>20489</v>
      </c>
      <c r="L7084" t="s">
        <v>20485</v>
      </c>
    </row>
    <row r="7085" spans="1:12">
      <c r="A7085" t="s">
        <v>3356</v>
      </c>
      <c r="B7085" s="1" t="s">
        <v>3357</v>
      </c>
      <c r="F7085">
        <v>1</v>
      </c>
      <c r="G7085" t="str">
        <f>HYPERLINK("http://babel.hathitrust.org/cgi/pt?id=loc.ark:/13960/t7pn9x37s")</f>
        <v>http://babel.hathitrust.org/cgi/pt?id=loc.ark:/13960/t7pn9x37s</v>
      </c>
      <c r="H7085" t="str">
        <f>HYPERLINK("http://catalog.hathitrust.org/Record/009569060")</f>
        <v>http://catalog.hathitrust.org/Record/009569060</v>
      </c>
      <c r="J7085" s="1">
        <v>1891</v>
      </c>
      <c r="K7085" t="s">
        <v>3358</v>
      </c>
      <c r="L7085" t="s">
        <v>3359</v>
      </c>
    </row>
    <row r="7086" spans="1:12">
      <c r="A7086" t="s">
        <v>3360</v>
      </c>
      <c r="B7086" s="1" t="s">
        <v>3361</v>
      </c>
      <c r="E7086">
        <v>1</v>
      </c>
      <c r="G7086" t="str">
        <f>HYPERLINK("http://babel.hathitrust.org/cgi/pt?id=loc.ark:/13960/t0qr5b97b")</f>
        <v>http://babel.hathitrust.org/cgi/pt?id=loc.ark:/13960/t0qr5b97b</v>
      </c>
      <c r="H7086" t="str">
        <f>HYPERLINK("http://catalog.hathitrust.org/Record/009569960")</f>
        <v>http://catalog.hathitrust.org/Record/009569960</v>
      </c>
      <c r="J7086" s="1">
        <v>1914</v>
      </c>
      <c r="K7086" t="s">
        <v>20479</v>
      </c>
      <c r="L7086" t="s">
        <v>20467</v>
      </c>
    </row>
    <row r="7087" spans="1:12">
      <c r="A7087" t="s">
        <v>3362</v>
      </c>
      <c r="B7087" s="1" t="s">
        <v>3363</v>
      </c>
      <c r="F7087">
        <v>1</v>
      </c>
      <c r="G7087" t="str">
        <f>HYPERLINK("http://babel.hathitrust.org/cgi/pt?id=loc.ark:/13960/t1mg83b26")</f>
        <v>http://babel.hathitrust.org/cgi/pt?id=loc.ark:/13960/t1mg83b26</v>
      </c>
      <c r="H7087" t="str">
        <f>HYPERLINK("http://catalog.hathitrust.org/Record/009570084")</f>
        <v>http://catalog.hathitrust.org/Record/009570084</v>
      </c>
      <c r="J7087" s="1">
        <v>1893</v>
      </c>
      <c r="K7087" t="s">
        <v>3364</v>
      </c>
      <c r="L7087" t="s">
        <v>3365</v>
      </c>
    </row>
    <row r="7088" spans="1:12">
      <c r="A7088" t="s">
        <v>3366</v>
      </c>
      <c r="B7088" s="1" t="s">
        <v>3367</v>
      </c>
      <c r="F7088">
        <v>1</v>
      </c>
      <c r="G7088" t="str">
        <f>HYPERLINK("http://babel.hathitrust.org/cgi/pt?id=loc.ark:/13960/t5j96rp4h")</f>
        <v>http://babel.hathitrust.org/cgi/pt?id=loc.ark:/13960/t5j96rp4h</v>
      </c>
      <c r="H7088" t="str">
        <f>HYPERLINK("http://catalog.hathitrust.org/Record/009570347")</f>
        <v>http://catalog.hathitrust.org/Record/009570347</v>
      </c>
      <c r="J7088" s="1">
        <v>1915</v>
      </c>
      <c r="K7088" t="s">
        <v>3368</v>
      </c>
      <c r="L7088" t="s">
        <v>16490</v>
      </c>
    </row>
    <row r="7089" spans="1:12">
      <c r="A7089" t="s">
        <v>3369</v>
      </c>
      <c r="B7089" s="1" t="s">
        <v>3370</v>
      </c>
      <c r="E7089">
        <v>1</v>
      </c>
      <c r="G7089" t="str">
        <f>HYPERLINK("http://babel.hathitrust.org/cgi/pt?id=loc.ark:/13960/t5w671405")</f>
        <v>http://babel.hathitrust.org/cgi/pt?id=loc.ark:/13960/t5w671405</v>
      </c>
      <c r="H7089" t="str">
        <f>HYPERLINK("http://catalog.hathitrust.org/Record/009571558")</f>
        <v>http://catalog.hathitrust.org/Record/009571558</v>
      </c>
      <c r="J7089" s="1">
        <v>1891</v>
      </c>
      <c r="K7089" t="s">
        <v>3264</v>
      </c>
      <c r="L7089" t="s">
        <v>3265</v>
      </c>
    </row>
    <row r="7090" spans="1:12">
      <c r="A7090" t="s">
        <v>3266</v>
      </c>
      <c r="B7090" s="1" t="s">
        <v>3267</v>
      </c>
      <c r="F7090">
        <v>1</v>
      </c>
      <c r="G7090" t="str">
        <f>HYPERLINK("http://babel.hathitrust.org/cgi/pt?id=loc.ark:/13960/t9q24d07b")</f>
        <v>http://babel.hathitrust.org/cgi/pt?id=loc.ark:/13960/t9q24d07b</v>
      </c>
      <c r="H7090" t="str">
        <f>HYPERLINK("http://catalog.hathitrust.org/Record/009571783")</f>
        <v>http://catalog.hathitrust.org/Record/009571783</v>
      </c>
      <c r="J7090" s="1">
        <v>1915</v>
      </c>
      <c r="K7090" t="s">
        <v>3268</v>
      </c>
      <c r="L7090" t="s">
        <v>3269</v>
      </c>
    </row>
    <row r="7091" spans="1:12">
      <c r="A7091" t="s">
        <v>3270</v>
      </c>
      <c r="B7091" s="1" t="s">
        <v>3271</v>
      </c>
      <c r="F7091">
        <v>1</v>
      </c>
      <c r="G7091" t="str">
        <f>HYPERLINK("http://babel.hathitrust.org/cgi/pt?id=loc.ark:/13960/t39z9mn89")</f>
        <v>http://babel.hathitrust.org/cgi/pt?id=loc.ark:/13960/t39z9mn89</v>
      </c>
      <c r="H7091" t="str">
        <f>HYPERLINK("http://catalog.hathitrust.org/Record/009572079")</f>
        <v>http://catalog.hathitrust.org/Record/009572079</v>
      </c>
      <c r="J7091" s="1">
        <v>1902</v>
      </c>
      <c r="K7091" t="s">
        <v>3272</v>
      </c>
      <c r="L7091" t="s">
        <v>3273</v>
      </c>
    </row>
    <row r="7092" spans="1:12">
      <c r="A7092" t="s">
        <v>3274</v>
      </c>
      <c r="B7092" s="1" t="s">
        <v>3275</v>
      </c>
      <c r="F7092">
        <v>1</v>
      </c>
      <c r="G7092" t="str">
        <f>HYPERLINK("http://babel.hathitrust.org/cgi/pt?id=loc.ark:/13960/t39z9s71m")</f>
        <v>http://babel.hathitrust.org/cgi/pt?id=loc.ark:/13960/t39z9s71m</v>
      </c>
      <c r="H7092" t="str">
        <f>HYPERLINK("http://catalog.hathitrust.org/Record/009572117")</f>
        <v>http://catalog.hathitrust.org/Record/009572117</v>
      </c>
      <c r="J7092" s="1">
        <v>1917</v>
      </c>
      <c r="K7092" t="s">
        <v>3276</v>
      </c>
      <c r="L7092" t="s">
        <v>3334</v>
      </c>
    </row>
    <row r="7093" spans="1:12">
      <c r="A7093" t="s">
        <v>3277</v>
      </c>
      <c r="B7093" s="1" t="s">
        <v>3278</v>
      </c>
      <c r="E7093">
        <v>1</v>
      </c>
      <c r="G7093" t="str">
        <f>HYPERLINK("http://babel.hathitrust.org/cgi/pt?id=loc.ark:/13960/t40s0bs46")</f>
        <v>http://babel.hathitrust.org/cgi/pt?id=loc.ark:/13960/t40s0bs46</v>
      </c>
      <c r="H7093" t="str">
        <f>HYPERLINK("http://catalog.hathitrust.org/Record/009574184")</f>
        <v>http://catalog.hathitrust.org/Record/009574184</v>
      </c>
      <c r="J7093" s="1">
        <v>1904</v>
      </c>
      <c r="K7093" t="s">
        <v>20479</v>
      </c>
      <c r="L7093" t="s">
        <v>20467</v>
      </c>
    </row>
    <row r="7094" spans="1:12">
      <c r="A7094" t="s">
        <v>3279</v>
      </c>
      <c r="B7094" s="1" t="s">
        <v>3280</v>
      </c>
      <c r="F7094">
        <v>1</v>
      </c>
      <c r="G7094" t="str">
        <f>HYPERLINK("http://babel.hathitrust.org/cgi/pt?id=loc.ark:/13960/t7pn9vc24")</f>
        <v>http://babel.hathitrust.org/cgi/pt?id=loc.ark:/13960/t7pn9vc24</v>
      </c>
      <c r="H7094" t="str">
        <f>HYPERLINK("http://catalog.hathitrust.org/Record/009574695")</f>
        <v>http://catalog.hathitrust.org/Record/009574695</v>
      </c>
      <c r="J7094" s="1">
        <v>1834</v>
      </c>
      <c r="K7094" t="s">
        <v>16209</v>
      </c>
      <c r="L7094" t="s">
        <v>16210</v>
      </c>
    </row>
    <row r="7095" spans="1:12">
      <c r="A7095" t="s">
        <v>3281</v>
      </c>
      <c r="B7095" s="1" t="s">
        <v>3282</v>
      </c>
      <c r="E7095">
        <v>1</v>
      </c>
      <c r="G7095" t="str">
        <f>HYPERLINK("http://babel.hathitrust.org/cgi/pt?id=loc.ark:/13960/t4sj22b0m")</f>
        <v>http://babel.hathitrust.org/cgi/pt?id=loc.ark:/13960/t4sj22b0m</v>
      </c>
      <c r="H7095" t="str">
        <f>HYPERLINK("http://catalog.hathitrust.org/Record/009575270")</f>
        <v>http://catalog.hathitrust.org/Record/009575270</v>
      </c>
      <c r="J7095" s="1">
        <v>1899</v>
      </c>
      <c r="K7095" t="s">
        <v>20476</v>
      </c>
      <c r="L7095" t="s">
        <v>20467</v>
      </c>
    </row>
    <row r="7096" spans="1:12">
      <c r="A7096" t="s">
        <v>3283</v>
      </c>
      <c r="B7096" s="1" t="s">
        <v>3284</v>
      </c>
      <c r="E7096">
        <v>1</v>
      </c>
      <c r="G7096" t="str">
        <f>HYPERLINK("http://babel.hathitrust.org/cgi/pt?id=loc.ark:/13960/t75t4537v")</f>
        <v>http://babel.hathitrust.org/cgi/pt?id=loc.ark:/13960/t75t4537v</v>
      </c>
      <c r="H7096" t="str">
        <f>HYPERLINK("http://catalog.hathitrust.org/Record/009575985")</f>
        <v>http://catalog.hathitrust.org/Record/009575985</v>
      </c>
      <c r="J7096" s="1">
        <v>1896</v>
      </c>
      <c r="K7096" t="s">
        <v>3285</v>
      </c>
      <c r="L7096" t="s">
        <v>20467</v>
      </c>
    </row>
    <row r="7097" spans="1:12">
      <c r="A7097" t="s">
        <v>3286</v>
      </c>
      <c r="B7097" s="1" t="s">
        <v>3287</v>
      </c>
      <c r="F7097">
        <v>1</v>
      </c>
      <c r="G7097" t="str">
        <f>HYPERLINK("http://babel.hathitrust.org/cgi/pt?id=loc.ark:/13960/t9d51cw09")</f>
        <v>http://babel.hathitrust.org/cgi/pt?id=loc.ark:/13960/t9d51cw09</v>
      </c>
      <c r="H7097" t="str">
        <f>HYPERLINK("http://catalog.hathitrust.org/Record/009577126")</f>
        <v>http://catalog.hathitrust.org/Record/009577126</v>
      </c>
      <c r="J7097" s="1">
        <v>1896</v>
      </c>
      <c r="K7097" t="s">
        <v>3288</v>
      </c>
    </row>
    <row r="7098" spans="1:12">
      <c r="A7098" t="s">
        <v>3289</v>
      </c>
      <c r="B7098" s="1" t="s">
        <v>3290</v>
      </c>
      <c r="F7098">
        <v>1</v>
      </c>
      <c r="G7098" t="str">
        <f>HYPERLINK("http://babel.hathitrust.org/cgi/pt?id=loc.ark:/13960/t3jw8tt3q")</f>
        <v>http://babel.hathitrust.org/cgi/pt?id=loc.ark:/13960/t3jw8tt3q</v>
      </c>
      <c r="H7098" t="str">
        <f>HYPERLINK("http://catalog.hathitrust.org/Record/009577188")</f>
        <v>http://catalog.hathitrust.org/Record/009577188</v>
      </c>
      <c r="J7098" s="1">
        <v>1889</v>
      </c>
      <c r="K7098" t="s">
        <v>3291</v>
      </c>
    </row>
    <row r="7099" spans="1:12">
      <c r="A7099" t="s">
        <v>3292</v>
      </c>
      <c r="B7099" s="1" t="s">
        <v>3293</v>
      </c>
      <c r="F7099">
        <v>1</v>
      </c>
      <c r="G7099" t="str">
        <f>HYPERLINK("http://babel.hathitrust.org/cgi/pt?id=loc.ark:/13960/t8z89px45")</f>
        <v>http://babel.hathitrust.org/cgi/pt?id=loc.ark:/13960/t8z89px45</v>
      </c>
      <c r="H7099" t="str">
        <f>HYPERLINK("http://catalog.hathitrust.org/Record/009577503")</f>
        <v>http://catalog.hathitrust.org/Record/009577503</v>
      </c>
      <c r="J7099" s="1">
        <v>1905</v>
      </c>
      <c r="K7099" t="s">
        <v>3294</v>
      </c>
      <c r="L7099" t="s">
        <v>3295</v>
      </c>
    </row>
    <row r="7100" spans="1:12">
      <c r="A7100" t="s">
        <v>3296</v>
      </c>
      <c r="B7100" s="1" t="s">
        <v>3297</v>
      </c>
      <c r="F7100">
        <v>1</v>
      </c>
      <c r="G7100" t="str">
        <f>HYPERLINK("http://babel.hathitrust.org/cgi/pt?id=loc.ark:/13960/t6543b991")</f>
        <v>http://babel.hathitrust.org/cgi/pt?id=loc.ark:/13960/t6543b991</v>
      </c>
      <c r="H7100" t="str">
        <f>HYPERLINK("http://catalog.hathitrust.org/Record/009577663")</f>
        <v>http://catalog.hathitrust.org/Record/009577663</v>
      </c>
      <c r="J7100" s="1">
        <v>1921</v>
      </c>
      <c r="K7100" t="s">
        <v>3298</v>
      </c>
      <c r="L7100" t="s">
        <v>3299</v>
      </c>
    </row>
    <row r="7101" spans="1:12">
      <c r="A7101" t="s">
        <v>3300</v>
      </c>
      <c r="B7101" s="1" t="s">
        <v>3301</v>
      </c>
      <c r="E7101">
        <v>1</v>
      </c>
      <c r="G7101" t="str">
        <f>HYPERLINK("http://babel.hathitrust.org/cgi/pt?id=loc.ark:/13960/t06w9vp67")</f>
        <v>http://babel.hathitrust.org/cgi/pt?id=loc.ark:/13960/t06w9vp67</v>
      </c>
      <c r="H7101" t="str">
        <f>HYPERLINK("http://catalog.hathitrust.org/Record/009578451")</f>
        <v>http://catalog.hathitrust.org/Record/009578451</v>
      </c>
      <c r="J7101" s="1">
        <v>1803</v>
      </c>
      <c r="K7101" t="s">
        <v>3302</v>
      </c>
      <c r="L7101" t="s">
        <v>19860</v>
      </c>
    </row>
    <row r="7102" spans="1:12">
      <c r="A7102" t="s">
        <v>3303</v>
      </c>
      <c r="B7102" s="1" t="s">
        <v>3304</v>
      </c>
      <c r="F7102">
        <v>1</v>
      </c>
      <c r="G7102" t="str">
        <f>HYPERLINK("http://babel.hathitrust.org/cgi/pt?id=loc.ark:/13960/t9z03km7k")</f>
        <v>http://babel.hathitrust.org/cgi/pt?id=loc.ark:/13960/t9z03km7k</v>
      </c>
      <c r="H7102" t="str">
        <f>HYPERLINK("http://catalog.hathitrust.org/Record/009578485")</f>
        <v>http://catalog.hathitrust.org/Record/009578485</v>
      </c>
      <c r="J7102" s="1">
        <v>1866</v>
      </c>
      <c r="K7102" t="s">
        <v>3305</v>
      </c>
    </row>
    <row r="7103" spans="1:12">
      <c r="A7103" t="s">
        <v>3306</v>
      </c>
      <c r="B7103" s="1" t="s">
        <v>3307</v>
      </c>
      <c r="E7103">
        <v>1</v>
      </c>
      <c r="G7103" t="str">
        <f>HYPERLINK("http://babel.hathitrust.org/cgi/pt?id=loc.ark:/13960/t9s18hp0z")</f>
        <v>http://babel.hathitrust.org/cgi/pt?id=loc.ark:/13960/t9s18hp0z</v>
      </c>
      <c r="H7103" t="str">
        <f>HYPERLINK("http://catalog.hathitrust.org/Record/009578570")</f>
        <v>http://catalog.hathitrust.org/Record/009578570</v>
      </c>
      <c r="J7103" s="1">
        <v>1896</v>
      </c>
      <c r="K7103" t="s">
        <v>3308</v>
      </c>
      <c r="L7103" t="s">
        <v>3309</v>
      </c>
    </row>
    <row r="7104" spans="1:12">
      <c r="A7104" t="s">
        <v>3310</v>
      </c>
      <c r="B7104" s="1" t="s">
        <v>3311</v>
      </c>
      <c r="F7104">
        <v>1</v>
      </c>
      <c r="G7104" t="str">
        <f>HYPERLINK("http://babel.hathitrust.org/cgi/pt?id=loc.ark:/13960/t1qf96q9q")</f>
        <v>http://babel.hathitrust.org/cgi/pt?id=loc.ark:/13960/t1qf96q9q</v>
      </c>
      <c r="H7104" t="str">
        <f>HYPERLINK("http://catalog.hathitrust.org/Record/009579014")</f>
        <v>http://catalog.hathitrust.org/Record/009579014</v>
      </c>
      <c r="J7104" s="1">
        <v>1912</v>
      </c>
      <c r="K7104" t="s">
        <v>3312</v>
      </c>
      <c r="L7104" t="s">
        <v>3313</v>
      </c>
    </row>
    <row r="7105" spans="1:12">
      <c r="A7105" t="s">
        <v>3314</v>
      </c>
      <c r="B7105" s="1" t="s">
        <v>3315</v>
      </c>
      <c r="E7105">
        <v>1</v>
      </c>
      <c r="G7105" t="str">
        <f>HYPERLINK("http://babel.hathitrust.org/cgi/pt?id=loc.ark:/13960/t2m62929q")</f>
        <v>http://babel.hathitrust.org/cgi/pt?id=loc.ark:/13960/t2m62929q</v>
      </c>
      <c r="H7105" t="str">
        <f>HYPERLINK("http://catalog.hathitrust.org/Record/009581639")</f>
        <v>http://catalog.hathitrust.org/Record/009581639</v>
      </c>
      <c r="J7105" s="1">
        <v>1920</v>
      </c>
      <c r="K7105" t="s">
        <v>3316</v>
      </c>
      <c r="L7105" t="s">
        <v>20467</v>
      </c>
    </row>
    <row r="7106" spans="1:12">
      <c r="A7106" t="s">
        <v>3317</v>
      </c>
      <c r="B7106" s="1" t="s">
        <v>3318</v>
      </c>
      <c r="E7106">
        <v>1</v>
      </c>
      <c r="G7106" t="str">
        <f>HYPERLINK("http://babel.hathitrust.org/cgi/pt?id=loc.ark:/13960/t96696f4v")</f>
        <v>http://babel.hathitrust.org/cgi/pt?id=loc.ark:/13960/t96696f4v</v>
      </c>
      <c r="H7106" t="str">
        <f>HYPERLINK("http://catalog.hathitrust.org/Record/009583758")</f>
        <v>http://catalog.hathitrust.org/Record/009583758</v>
      </c>
      <c r="J7106" s="1">
        <v>1914</v>
      </c>
      <c r="K7106" t="s">
        <v>15500</v>
      </c>
      <c r="L7106" t="s">
        <v>15501</v>
      </c>
    </row>
    <row r="7107" spans="1:12">
      <c r="A7107" t="s">
        <v>3319</v>
      </c>
      <c r="B7107" s="1" t="s">
        <v>3208</v>
      </c>
      <c r="E7107">
        <v>1</v>
      </c>
      <c r="G7107" t="str">
        <f>HYPERLINK("http://babel.hathitrust.org/cgi/pt?id=loc.ark:/13960/t9m33b60v")</f>
        <v>http://babel.hathitrust.org/cgi/pt?id=loc.ark:/13960/t9m33b60v</v>
      </c>
      <c r="H7107" t="str">
        <f>HYPERLINK("http://catalog.hathitrust.org/Record/009584156")</f>
        <v>http://catalog.hathitrust.org/Record/009584156</v>
      </c>
      <c r="J7107" s="1">
        <v>1880</v>
      </c>
      <c r="K7107" t="s">
        <v>3209</v>
      </c>
      <c r="L7107" t="s">
        <v>3210</v>
      </c>
    </row>
    <row r="7108" spans="1:12">
      <c r="A7108" t="s">
        <v>3211</v>
      </c>
      <c r="B7108" s="1" t="s">
        <v>3212</v>
      </c>
      <c r="F7108">
        <v>1</v>
      </c>
      <c r="G7108" t="str">
        <f>HYPERLINK("http://babel.hathitrust.org/cgi/pt?id=loc.ark:/13960/t73v01t0f")</f>
        <v>http://babel.hathitrust.org/cgi/pt?id=loc.ark:/13960/t73v01t0f</v>
      </c>
      <c r="H7108" t="str">
        <f>HYPERLINK("http://catalog.hathitrust.org/Record/009584284")</f>
        <v>http://catalog.hathitrust.org/Record/009584284</v>
      </c>
      <c r="J7108" s="1">
        <v>1877</v>
      </c>
      <c r="K7108" t="s">
        <v>3213</v>
      </c>
      <c r="L7108" t="s">
        <v>3214</v>
      </c>
    </row>
    <row r="7109" spans="1:12">
      <c r="A7109" t="s">
        <v>3215</v>
      </c>
      <c r="B7109" s="1" t="s">
        <v>3216</v>
      </c>
      <c r="F7109">
        <v>1</v>
      </c>
      <c r="G7109" t="str">
        <f>HYPERLINK("http://babel.hathitrust.org/cgi/pt?id=loc.ark:/13960/t8rb7nh6d")</f>
        <v>http://babel.hathitrust.org/cgi/pt?id=loc.ark:/13960/t8rb7nh6d</v>
      </c>
      <c r="H7109" t="str">
        <f>HYPERLINK("http://catalog.hathitrust.org/Record/009584984")</f>
        <v>http://catalog.hathitrust.org/Record/009584984</v>
      </c>
      <c r="J7109" s="1">
        <v>1922</v>
      </c>
      <c r="K7109" t="s">
        <v>13177</v>
      </c>
      <c r="L7109" t="s">
        <v>13178</v>
      </c>
    </row>
    <row r="7110" spans="1:12">
      <c r="A7110" t="s">
        <v>3217</v>
      </c>
      <c r="B7110" s="1" t="s">
        <v>3218</v>
      </c>
      <c r="F7110">
        <v>1</v>
      </c>
      <c r="G7110" t="str">
        <f>HYPERLINK("http://babel.hathitrust.org/cgi/pt?id=loc.ark:/13960/t62524c04")</f>
        <v>http://babel.hathitrust.org/cgi/pt?id=loc.ark:/13960/t62524c04</v>
      </c>
      <c r="H7110" t="str">
        <f>HYPERLINK("http://catalog.hathitrust.org/Record/009585374")</f>
        <v>http://catalog.hathitrust.org/Record/009585374</v>
      </c>
      <c r="J7110" s="1">
        <v>1921</v>
      </c>
      <c r="K7110" t="s">
        <v>3219</v>
      </c>
      <c r="L7110" t="s">
        <v>3220</v>
      </c>
    </row>
    <row r="7111" spans="1:12">
      <c r="A7111" t="s">
        <v>3221</v>
      </c>
      <c r="B7111" s="1" t="s">
        <v>3222</v>
      </c>
      <c r="E7111">
        <v>1</v>
      </c>
      <c r="G7111" t="str">
        <f>HYPERLINK("http://babel.hathitrust.org/cgi/pt?id=loc.ark:/13960/t4th9674g")</f>
        <v>http://babel.hathitrust.org/cgi/pt?id=loc.ark:/13960/t4th9674g</v>
      </c>
      <c r="H7111" t="str">
        <f>HYPERLINK("http://catalog.hathitrust.org/Record/009585578")</f>
        <v>http://catalog.hathitrust.org/Record/009585578</v>
      </c>
      <c r="J7111" s="1">
        <v>1869</v>
      </c>
      <c r="K7111" t="s">
        <v>3223</v>
      </c>
      <c r="L7111" t="s">
        <v>3224</v>
      </c>
    </row>
    <row r="7112" spans="1:12">
      <c r="A7112" t="s">
        <v>3225</v>
      </c>
      <c r="B7112" s="1" t="s">
        <v>3226</v>
      </c>
      <c r="F7112">
        <v>1</v>
      </c>
      <c r="G7112" t="str">
        <f>HYPERLINK("http://babel.hathitrust.org/cgi/pt?id=loc.ark:/13960/t65436v1p")</f>
        <v>http://babel.hathitrust.org/cgi/pt?id=loc.ark:/13960/t65436v1p</v>
      </c>
      <c r="H7112" t="str">
        <f>HYPERLINK("http://catalog.hathitrust.org/Record/009586290")</f>
        <v>http://catalog.hathitrust.org/Record/009586290</v>
      </c>
      <c r="J7112" s="1">
        <v>1914</v>
      </c>
      <c r="K7112" t="s">
        <v>3227</v>
      </c>
      <c r="L7112" t="s">
        <v>3228</v>
      </c>
    </row>
    <row r="7113" spans="1:12">
      <c r="A7113" t="s">
        <v>3229</v>
      </c>
      <c r="B7113" s="1" t="s">
        <v>3230</v>
      </c>
      <c r="D7113">
        <v>1</v>
      </c>
      <c r="G7113" t="str">
        <f>HYPERLINK("http://babel.hathitrust.org/cgi/pt?id=loc.ark:/13960/t8df7985k")</f>
        <v>http://babel.hathitrust.org/cgi/pt?id=loc.ark:/13960/t8df7985k</v>
      </c>
      <c r="H7113" t="str">
        <f>HYPERLINK("http://catalog.hathitrust.org/Record/009586656")</f>
        <v>http://catalog.hathitrust.org/Record/009586656</v>
      </c>
      <c r="J7113" s="1">
        <v>1849</v>
      </c>
      <c r="K7113" t="s">
        <v>3231</v>
      </c>
      <c r="L7113" t="s">
        <v>10475</v>
      </c>
    </row>
    <row r="7114" spans="1:12">
      <c r="A7114" t="s">
        <v>3232</v>
      </c>
      <c r="B7114" s="1" t="s">
        <v>3233</v>
      </c>
      <c r="F7114">
        <v>1</v>
      </c>
      <c r="G7114" t="str">
        <f>HYPERLINK("http://babel.hathitrust.org/cgi/pt?id=loc.ark:/13960/t2v41bn9v")</f>
        <v>http://babel.hathitrust.org/cgi/pt?id=loc.ark:/13960/t2v41bn9v</v>
      </c>
      <c r="H7114" t="str">
        <f>HYPERLINK("http://catalog.hathitrust.org/Record/009586835")</f>
        <v>http://catalog.hathitrust.org/Record/009586835</v>
      </c>
      <c r="J7114" s="1">
        <v>1900</v>
      </c>
      <c r="K7114" t="s">
        <v>3234</v>
      </c>
      <c r="L7114" t="s">
        <v>20331</v>
      </c>
    </row>
    <row r="7115" spans="1:12">
      <c r="A7115" t="s">
        <v>3235</v>
      </c>
      <c r="B7115" s="1" t="s">
        <v>3236</v>
      </c>
      <c r="D7115">
        <v>1</v>
      </c>
      <c r="G7115" t="str">
        <f>HYPERLINK("http://babel.hathitrust.org/cgi/pt?id=loc.ark:/13960/t4qj81138")</f>
        <v>http://babel.hathitrust.org/cgi/pt?id=loc.ark:/13960/t4qj81138</v>
      </c>
      <c r="H7115" t="str">
        <f>HYPERLINK("http://catalog.hathitrust.org/Record/009587339")</f>
        <v>http://catalog.hathitrust.org/Record/009587339</v>
      </c>
      <c r="J7115" s="1">
        <v>1900</v>
      </c>
      <c r="K7115" t="s">
        <v>3237</v>
      </c>
      <c r="L7115" t="s">
        <v>19408</v>
      </c>
    </row>
    <row r="7116" spans="1:12">
      <c r="A7116" t="s">
        <v>3238</v>
      </c>
      <c r="B7116" s="1" t="s">
        <v>3239</v>
      </c>
      <c r="F7116">
        <v>1</v>
      </c>
      <c r="G7116" t="str">
        <f>HYPERLINK("http://babel.hathitrust.org/cgi/pt?id=loc.ark:/13960/t8nc6gc91")</f>
        <v>http://babel.hathitrust.org/cgi/pt?id=loc.ark:/13960/t8nc6gc91</v>
      </c>
      <c r="H7116" t="str">
        <f>HYPERLINK("http://catalog.hathitrust.org/Record/009587520")</f>
        <v>http://catalog.hathitrust.org/Record/009587520</v>
      </c>
      <c r="J7116" s="1">
        <v>1914</v>
      </c>
      <c r="K7116" t="s">
        <v>3670</v>
      </c>
      <c r="L7116" t="s">
        <v>17281</v>
      </c>
    </row>
    <row r="7117" spans="1:12">
      <c r="A7117" t="s">
        <v>3240</v>
      </c>
      <c r="B7117" s="1" t="s">
        <v>3241</v>
      </c>
      <c r="E7117">
        <v>1</v>
      </c>
      <c r="G7117" t="str">
        <f>HYPERLINK("http://babel.hathitrust.org/cgi/pt?id=loc.ark:/13960/t7gq7gv7b")</f>
        <v>http://babel.hathitrust.org/cgi/pt?id=loc.ark:/13960/t7gq7gv7b</v>
      </c>
      <c r="H7117" t="str">
        <f>HYPERLINK("http://catalog.hathitrust.org/Record/009588421")</f>
        <v>http://catalog.hathitrust.org/Record/009588421</v>
      </c>
      <c r="J7117" s="1">
        <v>1911</v>
      </c>
      <c r="K7117" t="s">
        <v>3242</v>
      </c>
      <c r="L7117" t="s">
        <v>20467</v>
      </c>
    </row>
    <row r="7118" spans="1:12">
      <c r="A7118" t="s">
        <v>3243</v>
      </c>
      <c r="B7118" s="1" t="s">
        <v>3244</v>
      </c>
      <c r="F7118">
        <v>1</v>
      </c>
      <c r="G7118" t="str">
        <f>HYPERLINK("http://babel.hathitrust.org/cgi/pt?id=loc.ark:/13960/t9x06m70h")</f>
        <v>http://babel.hathitrust.org/cgi/pt?id=loc.ark:/13960/t9x06m70h</v>
      </c>
      <c r="H7118" t="str">
        <f>HYPERLINK("http://catalog.hathitrust.org/Record/009588577")</f>
        <v>http://catalog.hathitrust.org/Record/009588577</v>
      </c>
      <c r="J7118" s="1">
        <v>1910</v>
      </c>
      <c r="K7118" t="s">
        <v>3245</v>
      </c>
      <c r="L7118" t="s">
        <v>3246</v>
      </c>
    </row>
    <row r="7119" spans="1:12">
      <c r="A7119" t="s">
        <v>3247</v>
      </c>
      <c r="B7119" s="1" t="s">
        <v>3248</v>
      </c>
      <c r="E7119">
        <v>1</v>
      </c>
      <c r="G7119" t="str">
        <f>HYPERLINK("http://babel.hathitrust.org/cgi/pt?id=loc.ark:/13960/t0pr8bw2c")</f>
        <v>http://babel.hathitrust.org/cgi/pt?id=loc.ark:/13960/t0pr8bw2c</v>
      </c>
      <c r="H7119" t="str">
        <f>HYPERLINK("http://catalog.hathitrust.org/Record/009589721")</f>
        <v>http://catalog.hathitrust.org/Record/009589721</v>
      </c>
      <c r="J7119" s="1">
        <v>1867</v>
      </c>
      <c r="K7119" t="s">
        <v>17920</v>
      </c>
      <c r="L7119" t="s">
        <v>17914</v>
      </c>
    </row>
    <row r="7120" spans="1:12">
      <c r="A7120" t="s">
        <v>3249</v>
      </c>
      <c r="B7120" s="1" t="s">
        <v>3250</v>
      </c>
      <c r="F7120">
        <v>1</v>
      </c>
      <c r="G7120" t="str">
        <f>HYPERLINK("http://babel.hathitrust.org/cgi/pt?id=loc.ark:/13960/t7qn6mx2k")</f>
        <v>http://babel.hathitrust.org/cgi/pt?id=loc.ark:/13960/t7qn6mx2k</v>
      </c>
      <c r="H7120" t="str">
        <f>HYPERLINK("http://catalog.hathitrust.org/Record/009589805")</f>
        <v>http://catalog.hathitrust.org/Record/009589805</v>
      </c>
      <c r="J7120" s="1">
        <v>1916</v>
      </c>
      <c r="K7120" t="s">
        <v>3251</v>
      </c>
      <c r="L7120" t="s">
        <v>15379</v>
      </c>
    </row>
    <row r="7121" spans="1:12">
      <c r="A7121" t="s">
        <v>3252</v>
      </c>
      <c r="B7121" s="1" t="s">
        <v>3253</v>
      </c>
      <c r="F7121">
        <v>1</v>
      </c>
      <c r="G7121" t="str">
        <f>HYPERLINK("http://babel.hathitrust.org/cgi/pt?id=loc.ark:/13960/t3jw8zr4z")</f>
        <v>http://babel.hathitrust.org/cgi/pt?id=loc.ark:/13960/t3jw8zr4z</v>
      </c>
      <c r="H7121" t="str">
        <f>HYPERLINK("http://catalog.hathitrust.org/Record/009589846")</f>
        <v>http://catalog.hathitrust.org/Record/009589846</v>
      </c>
      <c r="J7121" s="1">
        <v>1852</v>
      </c>
      <c r="K7121" t="s">
        <v>3254</v>
      </c>
      <c r="L7121" t="s">
        <v>17631</v>
      </c>
    </row>
    <row r="7122" spans="1:12">
      <c r="A7122" t="s">
        <v>3255</v>
      </c>
      <c r="B7122" s="1" t="s">
        <v>3256</v>
      </c>
      <c r="F7122">
        <v>1</v>
      </c>
      <c r="G7122" t="str">
        <f>HYPERLINK("http://babel.hathitrust.org/cgi/pt?id=loc.ark:/13960/t0ht37886")</f>
        <v>http://babel.hathitrust.org/cgi/pt?id=loc.ark:/13960/t0ht37886</v>
      </c>
      <c r="H7122" t="str">
        <f>HYPERLINK("http://catalog.hathitrust.org/Record/009590882")</f>
        <v>http://catalog.hathitrust.org/Record/009590882</v>
      </c>
      <c r="J7122" s="1">
        <v>1904</v>
      </c>
      <c r="K7122" t="s">
        <v>3257</v>
      </c>
      <c r="L7122" t="s">
        <v>19253</v>
      </c>
    </row>
    <row r="7123" spans="1:12">
      <c r="A7123" t="s">
        <v>3258</v>
      </c>
      <c r="B7123" s="1" t="s">
        <v>3259</v>
      </c>
      <c r="F7123">
        <v>1</v>
      </c>
      <c r="G7123" t="str">
        <f>HYPERLINK("http://babel.hathitrust.org/cgi/pt?id=loc.ark:/13960/t0pr87w62")</f>
        <v>http://babel.hathitrust.org/cgi/pt?id=loc.ark:/13960/t0pr87w62</v>
      </c>
      <c r="H7123" t="str">
        <f>HYPERLINK("http://catalog.hathitrust.org/Record/009590974")</f>
        <v>http://catalog.hathitrust.org/Record/009590974</v>
      </c>
      <c r="J7123" s="1">
        <v>1892</v>
      </c>
      <c r="K7123" t="s">
        <v>3260</v>
      </c>
      <c r="L7123" t="s">
        <v>3261</v>
      </c>
    </row>
    <row r="7124" spans="1:12">
      <c r="A7124" t="s">
        <v>3262</v>
      </c>
      <c r="B7124" s="1" t="s">
        <v>3263</v>
      </c>
      <c r="D7124">
        <v>1</v>
      </c>
      <c r="G7124" t="str">
        <f>HYPERLINK("http://babel.hathitrust.org/cgi/pt?id=loc.ark:/13960/t3st84p34")</f>
        <v>http://babel.hathitrust.org/cgi/pt?id=loc.ark:/13960/t3st84p34</v>
      </c>
      <c r="H7124" t="str">
        <f>HYPERLINK("http://catalog.hathitrust.org/Record/009592607")</f>
        <v>http://catalog.hathitrust.org/Record/009592607</v>
      </c>
      <c r="J7124" s="1">
        <v>1835</v>
      </c>
      <c r="K7124" t="s">
        <v>3147</v>
      </c>
      <c r="L7124" t="s">
        <v>20256</v>
      </c>
    </row>
    <row r="7125" spans="1:12">
      <c r="A7125" t="s">
        <v>3148</v>
      </c>
      <c r="B7125" s="1" t="s">
        <v>3149</v>
      </c>
      <c r="F7125">
        <v>1</v>
      </c>
      <c r="G7125" t="str">
        <f>HYPERLINK("http://babel.hathitrust.org/cgi/pt?id=loc.ark:/13960/t03x8rf6w")</f>
        <v>http://babel.hathitrust.org/cgi/pt?id=loc.ark:/13960/t03x8rf6w</v>
      </c>
      <c r="H7125" t="str">
        <f>HYPERLINK("http://catalog.hathitrust.org/Record/009593233")</f>
        <v>http://catalog.hathitrust.org/Record/009593233</v>
      </c>
      <c r="J7125" s="1">
        <v>1884</v>
      </c>
      <c r="K7125" t="s">
        <v>3150</v>
      </c>
      <c r="L7125" t="s">
        <v>3151</v>
      </c>
    </row>
    <row r="7126" spans="1:12">
      <c r="A7126" t="s">
        <v>3152</v>
      </c>
      <c r="B7126" s="1" t="s">
        <v>3149</v>
      </c>
      <c r="F7126">
        <v>1</v>
      </c>
      <c r="G7126" t="str">
        <f>HYPERLINK("http://babel.hathitrust.org/cgi/pt?id=loc.ark:/13960/t63493w6z")</f>
        <v>http://babel.hathitrust.org/cgi/pt?id=loc.ark:/13960/t63493w6z</v>
      </c>
      <c r="H7126" t="str">
        <f>HYPERLINK("http://catalog.hathitrust.org/Record/009593233")</f>
        <v>http://catalog.hathitrust.org/Record/009593233</v>
      </c>
      <c r="J7126" s="1">
        <v>1884</v>
      </c>
      <c r="K7126" t="s">
        <v>3150</v>
      </c>
      <c r="L7126" t="s">
        <v>3151</v>
      </c>
    </row>
    <row r="7127" spans="1:12">
      <c r="A7127" t="s">
        <v>3153</v>
      </c>
      <c r="B7127" s="1" t="s">
        <v>3154</v>
      </c>
      <c r="F7127">
        <v>1</v>
      </c>
      <c r="G7127" t="str">
        <f>HYPERLINK("http://babel.hathitrust.org/cgi/pt?id=loc.ark:/13960/t22b9gz05")</f>
        <v>http://babel.hathitrust.org/cgi/pt?id=loc.ark:/13960/t22b9gz05</v>
      </c>
      <c r="H7127" t="str">
        <f>HYPERLINK("http://catalog.hathitrust.org/Record/009593476")</f>
        <v>http://catalog.hathitrust.org/Record/009593476</v>
      </c>
      <c r="J7127" s="1">
        <v>1918</v>
      </c>
      <c r="K7127" t="s">
        <v>3155</v>
      </c>
      <c r="L7127" t="s">
        <v>3334</v>
      </c>
    </row>
    <row r="7128" spans="1:12">
      <c r="A7128" t="s">
        <v>3156</v>
      </c>
      <c r="B7128" s="1" t="s">
        <v>3157</v>
      </c>
      <c r="F7128">
        <v>1</v>
      </c>
      <c r="G7128" t="str">
        <f>HYPERLINK("http://babel.hathitrust.org/cgi/pt?id=loc.ark:/13960/t1pg24s8p")</f>
        <v>http://babel.hathitrust.org/cgi/pt?id=loc.ark:/13960/t1pg24s8p</v>
      </c>
      <c r="H7128" t="str">
        <f>HYPERLINK("http://catalog.hathitrust.org/Record/009594005")</f>
        <v>http://catalog.hathitrust.org/Record/009594005</v>
      </c>
      <c r="J7128" s="1">
        <v>1922</v>
      </c>
      <c r="K7128" t="s">
        <v>3158</v>
      </c>
      <c r="L7128" t="s">
        <v>3159</v>
      </c>
    </row>
    <row r="7129" spans="1:12">
      <c r="A7129" t="s">
        <v>3160</v>
      </c>
      <c r="B7129" s="1" t="s">
        <v>3161</v>
      </c>
      <c r="F7129">
        <v>1</v>
      </c>
      <c r="G7129" t="str">
        <f>HYPERLINK("http://babel.hathitrust.org/cgi/pt?id=loc.ark:/13960/t6vx15d1t")</f>
        <v>http://babel.hathitrust.org/cgi/pt?id=loc.ark:/13960/t6vx15d1t</v>
      </c>
      <c r="H7129" t="str">
        <f>HYPERLINK("http://catalog.hathitrust.org/Record/009594749")</f>
        <v>http://catalog.hathitrust.org/Record/009594749</v>
      </c>
      <c r="J7129" s="1">
        <v>1917</v>
      </c>
      <c r="K7129" t="s">
        <v>3162</v>
      </c>
      <c r="L7129" t="s">
        <v>18391</v>
      </c>
    </row>
    <row r="7130" spans="1:12">
      <c r="A7130" t="s">
        <v>3163</v>
      </c>
      <c r="B7130" s="1" t="s">
        <v>3164</v>
      </c>
      <c r="F7130">
        <v>1</v>
      </c>
      <c r="G7130" t="str">
        <f>HYPERLINK("http://babel.hathitrust.org/cgi/pt?id=loc.ark:/13960/t0sq9d378")</f>
        <v>http://babel.hathitrust.org/cgi/pt?id=loc.ark:/13960/t0sq9d378</v>
      </c>
      <c r="H7130" t="str">
        <f>HYPERLINK("http://catalog.hathitrust.org/Record/009594990")</f>
        <v>http://catalog.hathitrust.org/Record/009594990</v>
      </c>
      <c r="J7130" s="1">
        <v>1865</v>
      </c>
      <c r="K7130" t="s">
        <v>3165</v>
      </c>
      <c r="L7130" t="s">
        <v>12940</v>
      </c>
    </row>
    <row r="7131" spans="1:12">
      <c r="A7131" t="s">
        <v>3166</v>
      </c>
      <c r="B7131" s="1" t="s">
        <v>3167</v>
      </c>
      <c r="D7131">
        <v>1</v>
      </c>
      <c r="G7131" t="str">
        <f>HYPERLINK("http://babel.hathitrust.org/cgi/pt?id=loc.ark:/13960/t3gx4tr12")</f>
        <v>http://babel.hathitrust.org/cgi/pt?id=loc.ark:/13960/t3gx4tr12</v>
      </c>
      <c r="H7131" t="str">
        <f>HYPERLINK("http://catalog.hathitrust.org/Record/009595396")</f>
        <v>http://catalog.hathitrust.org/Record/009595396</v>
      </c>
      <c r="J7131" s="1">
        <v>1894</v>
      </c>
      <c r="K7131" t="s">
        <v>3168</v>
      </c>
      <c r="L7131" t="s">
        <v>20416</v>
      </c>
    </row>
    <row r="7132" spans="1:12">
      <c r="A7132" t="s">
        <v>3169</v>
      </c>
      <c r="B7132" s="1" t="s">
        <v>3170</v>
      </c>
      <c r="F7132">
        <v>1</v>
      </c>
      <c r="G7132" t="str">
        <f>HYPERLINK("http://babel.hathitrust.org/cgi/pt?id=loc.ark:/13960/t24b3q00v")</f>
        <v>http://babel.hathitrust.org/cgi/pt?id=loc.ark:/13960/t24b3q00v</v>
      </c>
      <c r="H7132" t="str">
        <f>HYPERLINK("http://catalog.hathitrust.org/Record/009596105")</f>
        <v>http://catalog.hathitrust.org/Record/009596105</v>
      </c>
      <c r="J7132" s="1">
        <v>1912</v>
      </c>
      <c r="K7132" t="s">
        <v>3171</v>
      </c>
      <c r="L7132" t="s">
        <v>3172</v>
      </c>
    </row>
    <row r="7133" spans="1:12">
      <c r="A7133" t="s">
        <v>3173</v>
      </c>
      <c r="B7133" s="1" t="s">
        <v>3174</v>
      </c>
      <c r="F7133">
        <v>1</v>
      </c>
      <c r="G7133" t="str">
        <f>HYPERLINK("http://babel.hathitrust.org/cgi/pt?id=loc.ark:/13960/t0jt08550")</f>
        <v>http://babel.hathitrust.org/cgi/pt?id=loc.ark:/13960/t0jt08550</v>
      </c>
      <c r="H7133" t="str">
        <f>HYPERLINK("http://catalog.hathitrust.org/Record/009596511")</f>
        <v>http://catalog.hathitrust.org/Record/009596511</v>
      </c>
      <c r="J7133" s="1">
        <v>1918</v>
      </c>
      <c r="K7133" t="s">
        <v>14600</v>
      </c>
      <c r="L7133" t="s">
        <v>14601</v>
      </c>
    </row>
    <row r="7134" spans="1:12">
      <c r="A7134" t="s">
        <v>3175</v>
      </c>
      <c r="B7134" s="1" t="s">
        <v>3176</v>
      </c>
      <c r="E7134">
        <v>1</v>
      </c>
      <c r="G7134" t="str">
        <f>HYPERLINK("http://babel.hathitrust.org/cgi/pt?id=loc.ark:/13960/t1fj37n7j")</f>
        <v>http://babel.hathitrust.org/cgi/pt?id=loc.ark:/13960/t1fj37n7j</v>
      </c>
      <c r="H7134" t="str">
        <f>HYPERLINK("http://catalog.hathitrust.org/Record/009597426")</f>
        <v>http://catalog.hathitrust.org/Record/009597426</v>
      </c>
      <c r="J7134" s="1">
        <v>1899</v>
      </c>
      <c r="K7134" t="s">
        <v>3177</v>
      </c>
      <c r="L7134" t="s">
        <v>9882</v>
      </c>
    </row>
    <row r="7135" spans="1:12">
      <c r="A7135" t="s">
        <v>3178</v>
      </c>
      <c r="B7135" s="1" t="s">
        <v>3179</v>
      </c>
      <c r="F7135">
        <v>1</v>
      </c>
      <c r="G7135" t="str">
        <f>HYPERLINK("http://babel.hathitrust.org/cgi/pt?id=loc.ark:/13960/t5s75w068")</f>
        <v>http://babel.hathitrust.org/cgi/pt?id=loc.ark:/13960/t5s75w068</v>
      </c>
      <c r="H7135" t="str">
        <f>HYPERLINK("http://catalog.hathitrust.org/Record/009598662")</f>
        <v>http://catalog.hathitrust.org/Record/009598662</v>
      </c>
      <c r="J7135" s="1">
        <v>1900</v>
      </c>
      <c r="K7135" t="s">
        <v>3180</v>
      </c>
      <c r="L7135" t="s">
        <v>3181</v>
      </c>
    </row>
    <row r="7136" spans="1:12">
      <c r="A7136" t="s">
        <v>3182</v>
      </c>
      <c r="B7136" s="1" t="s">
        <v>3183</v>
      </c>
      <c r="F7136">
        <v>1</v>
      </c>
      <c r="G7136" t="str">
        <f>HYPERLINK("http://babel.hathitrust.org/cgi/pt?id=loc.ark:/13960/t0sq9bg6w")</f>
        <v>http://babel.hathitrust.org/cgi/pt?id=loc.ark:/13960/t0sq9bg6w</v>
      </c>
      <c r="H7136" t="str">
        <f>HYPERLINK("http://catalog.hathitrust.org/Record/009598781")</f>
        <v>http://catalog.hathitrust.org/Record/009598781</v>
      </c>
      <c r="J7136" s="1">
        <v>1917</v>
      </c>
      <c r="K7136" t="s">
        <v>3184</v>
      </c>
      <c r="L7136" t="s">
        <v>3185</v>
      </c>
    </row>
    <row r="7137" spans="1:12">
      <c r="A7137" t="s">
        <v>3186</v>
      </c>
      <c r="B7137" s="1" t="s">
        <v>3187</v>
      </c>
      <c r="F7137">
        <v>1</v>
      </c>
      <c r="G7137" t="str">
        <f>HYPERLINK("http://babel.hathitrust.org/cgi/pt?id=loc.ark:/13960/t98638c3n")</f>
        <v>http://babel.hathitrust.org/cgi/pt?id=loc.ark:/13960/t98638c3n</v>
      </c>
      <c r="H7137" t="str">
        <f>HYPERLINK("http://catalog.hathitrust.org/Record/009599029")</f>
        <v>http://catalog.hathitrust.org/Record/009599029</v>
      </c>
      <c r="J7137" s="1">
        <v>1889</v>
      </c>
      <c r="K7137" t="s">
        <v>3188</v>
      </c>
      <c r="L7137" t="s">
        <v>18385</v>
      </c>
    </row>
    <row r="7138" spans="1:12">
      <c r="A7138" t="s">
        <v>3189</v>
      </c>
      <c r="B7138" s="1" t="s">
        <v>3190</v>
      </c>
      <c r="F7138">
        <v>1</v>
      </c>
      <c r="G7138" t="str">
        <f>HYPERLINK("http://babel.hathitrust.org/cgi/pt?id=loc.ark:/13960/t3fx7tz9f")</f>
        <v>http://babel.hathitrust.org/cgi/pt?id=loc.ark:/13960/t3fx7tz9f</v>
      </c>
      <c r="H7138" t="str">
        <f>HYPERLINK("http://catalog.hathitrust.org/Record/009599274")</f>
        <v>http://catalog.hathitrust.org/Record/009599274</v>
      </c>
      <c r="J7138" s="1">
        <v>1875</v>
      </c>
      <c r="K7138" t="s">
        <v>9991</v>
      </c>
      <c r="L7138" t="s">
        <v>19662</v>
      </c>
    </row>
    <row r="7139" spans="1:12">
      <c r="A7139" t="s">
        <v>3191</v>
      </c>
      <c r="B7139" s="1" t="s">
        <v>3192</v>
      </c>
      <c r="E7139">
        <v>1</v>
      </c>
      <c r="G7139" t="str">
        <f>HYPERLINK("http://babel.hathitrust.org/cgi/pt?id=loc.ark:/13960/t1xd1gj98")</f>
        <v>http://babel.hathitrust.org/cgi/pt?id=loc.ark:/13960/t1xd1gj98</v>
      </c>
      <c r="H7139" t="str">
        <f>HYPERLINK("http://catalog.hathitrust.org/Record/009599692")</f>
        <v>http://catalog.hathitrust.org/Record/009599692</v>
      </c>
      <c r="J7139" s="1">
        <v>1898</v>
      </c>
      <c r="K7139" t="s">
        <v>14742</v>
      </c>
      <c r="L7139" t="s">
        <v>19690</v>
      </c>
    </row>
    <row r="7140" spans="1:12">
      <c r="A7140" t="s">
        <v>3193</v>
      </c>
      <c r="B7140" s="1" t="s">
        <v>3194</v>
      </c>
      <c r="F7140">
        <v>1</v>
      </c>
      <c r="G7140" t="str">
        <f>HYPERLINK("http://babel.hathitrust.org/cgi/pt?id=loc.ark:/13960/t6qz2sf4n")</f>
        <v>http://babel.hathitrust.org/cgi/pt?id=loc.ark:/13960/t6qz2sf4n</v>
      </c>
      <c r="H7140" t="str">
        <f>HYPERLINK("http://catalog.hathitrust.org/Record/009600510")</f>
        <v>http://catalog.hathitrust.org/Record/009600510</v>
      </c>
      <c r="J7140" s="1">
        <v>1824</v>
      </c>
      <c r="K7140" t="s">
        <v>3195</v>
      </c>
      <c r="L7140" t="s">
        <v>3196</v>
      </c>
    </row>
    <row r="7141" spans="1:12">
      <c r="A7141" t="s">
        <v>3197</v>
      </c>
      <c r="B7141" s="1" t="s">
        <v>3198</v>
      </c>
      <c r="F7141">
        <v>1</v>
      </c>
      <c r="G7141" t="str">
        <f>HYPERLINK("http://babel.hathitrust.org/cgi/pt?id=loc.ark:/13960/t92810m9f")</f>
        <v>http://babel.hathitrust.org/cgi/pt?id=loc.ark:/13960/t92810m9f</v>
      </c>
      <c r="H7141" t="str">
        <f>HYPERLINK("http://catalog.hathitrust.org/Record/009601537")</f>
        <v>http://catalog.hathitrust.org/Record/009601537</v>
      </c>
      <c r="J7141" s="1">
        <v>1904</v>
      </c>
      <c r="K7141" t="s">
        <v>3199</v>
      </c>
      <c r="L7141" t="s">
        <v>14141</v>
      </c>
    </row>
    <row r="7142" spans="1:12">
      <c r="A7142" t="s">
        <v>3200</v>
      </c>
      <c r="B7142" s="1" t="s">
        <v>3201</v>
      </c>
      <c r="F7142">
        <v>1</v>
      </c>
      <c r="G7142" t="str">
        <f>HYPERLINK("http://babel.hathitrust.org/cgi/pt?id=loc.ark:/13960/t5db8m49z")</f>
        <v>http://babel.hathitrust.org/cgi/pt?id=loc.ark:/13960/t5db8m49z</v>
      </c>
      <c r="H7142" t="str">
        <f>HYPERLINK("http://catalog.hathitrust.org/Record/009602328")</f>
        <v>http://catalog.hathitrust.org/Record/009602328</v>
      </c>
      <c r="J7142" s="1">
        <v>1916</v>
      </c>
      <c r="K7142" t="s">
        <v>3202</v>
      </c>
      <c r="L7142" t="s">
        <v>18808</v>
      </c>
    </row>
    <row r="7143" spans="1:12">
      <c r="A7143" t="s">
        <v>3203</v>
      </c>
      <c r="B7143" s="1" t="s">
        <v>3204</v>
      </c>
      <c r="F7143">
        <v>1</v>
      </c>
      <c r="G7143" t="str">
        <f>HYPERLINK("http://babel.hathitrust.org/cgi/pt?id=loc.ark:/13960/t71v6856c")</f>
        <v>http://babel.hathitrust.org/cgi/pt?id=loc.ark:/13960/t71v6856c</v>
      </c>
      <c r="H7143" t="str">
        <f>HYPERLINK("http://catalog.hathitrust.org/Record/009604138")</f>
        <v>http://catalog.hathitrust.org/Record/009604138</v>
      </c>
      <c r="J7143" s="1">
        <v>1896</v>
      </c>
      <c r="K7143" t="s">
        <v>3205</v>
      </c>
      <c r="L7143" t="s">
        <v>3206</v>
      </c>
    </row>
    <row r="7144" spans="1:12">
      <c r="A7144" t="s">
        <v>3207</v>
      </c>
      <c r="B7144" s="1" t="s">
        <v>3087</v>
      </c>
      <c r="F7144">
        <v>1</v>
      </c>
      <c r="G7144" t="str">
        <f>HYPERLINK("http://babel.hathitrust.org/cgi/pt?id=loc.ark:/13960/t6xw55h6c")</f>
        <v>http://babel.hathitrust.org/cgi/pt?id=loc.ark:/13960/t6xw55h6c</v>
      </c>
      <c r="H7144" t="str">
        <f>HYPERLINK("http://catalog.hathitrust.org/Record/009604486")</f>
        <v>http://catalog.hathitrust.org/Record/009604486</v>
      </c>
      <c r="J7144" s="1">
        <v>1915</v>
      </c>
      <c r="K7144" t="s">
        <v>3268</v>
      </c>
      <c r="L7144" t="s">
        <v>3088</v>
      </c>
    </row>
    <row r="7145" spans="1:12">
      <c r="A7145" t="s">
        <v>3089</v>
      </c>
      <c r="B7145" s="1" t="s">
        <v>3090</v>
      </c>
      <c r="E7145">
        <v>1</v>
      </c>
      <c r="G7145" t="str">
        <f>HYPERLINK("http://babel.hathitrust.org/cgi/pt?id=loc.ark:/13960/t8hd8hn7x")</f>
        <v>http://babel.hathitrust.org/cgi/pt?id=loc.ark:/13960/t8hd8hn7x</v>
      </c>
      <c r="H7145" t="str">
        <f>HYPERLINK("http://catalog.hathitrust.org/Record/009604692")</f>
        <v>http://catalog.hathitrust.org/Record/009604692</v>
      </c>
      <c r="J7145" s="1">
        <v>1911</v>
      </c>
      <c r="K7145" t="s">
        <v>3091</v>
      </c>
      <c r="L7145" t="s">
        <v>3092</v>
      </c>
    </row>
    <row r="7146" spans="1:12">
      <c r="A7146" t="s">
        <v>3093</v>
      </c>
      <c r="B7146" s="1" t="s">
        <v>3094</v>
      </c>
      <c r="F7146">
        <v>1</v>
      </c>
      <c r="G7146" t="str">
        <f>HYPERLINK("http://babel.hathitrust.org/cgi/pt?id=loc.ark:/13960/t8x92t33z")</f>
        <v>http://babel.hathitrust.org/cgi/pt?id=loc.ark:/13960/t8x92t33z</v>
      </c>
      <c r="H7146" t="str">
        <f>HYPERLINK("http://catalog.hathitrust.org/Record/009605658")</f>
        <v>http://catalog.hathitrust.org/Record/009605658</v>
      </c>
      <c r="J7146" s="1">
        <v>1889</v>
      </c>
      <c r="K7146" t="s">
        <v>3095</v>
      </c>
      <c r="L7146" t="s">
        <v>20831</v>
      </c>
    </row>
    <row r="7147" spans="1:12">
      <c r="A7147" t="s">
        <v>3096</v>
      </c>
      <c r="B7147" s="1" t="s">
        <v>3097</v>
      </c>
      <c r="F7147">
        <v>1</v>
      </c>
      <c r="G7147" t="str">
        <f>HYPERLINK("http://babel.hathitrust.org/cgi/pt?id=loc.ark:/13960/t2q53df8c")</f>
        <v>http://babel.hathitrust.org/cgi/pt?id=loc.ark:/13960/t2q53df8c</v>
      </c>
      <c r="H7147" t="str">
        <f>HYPERLINK("http://catalog.hathitrust.org/Record/009605672")</f>
        <v>http://catalog.hathitrust.org/Record/009605672</v>
      </c>
      <c r="J7147" s="1">
        <v>1914</v>
      </c>
      <c r="K7147" t="s">
        <v>3098</v>
      </c>
      <c r="L7147" t="s">
        <v>3099</v>
      </c>
    </row>
    <row r="7148" spans="1:12">
      <c r="A7148" t="s">
        <v>3100</v>
      </c>
      <c r="B7148" s="1" t="s">
        <v>3101</v>
      </c>
      <c r="E7148">
        <v>1</v>
      </c>
      <c r="F7148">
        <v>1</v>
      </c>
      <c r="G7148" t="str">
        <f>HYPERLINK("http://babel.hathitrust.org/cgi/pt?id=loc.ark:/13960/t6058559v")</f>
        <v>http://babel.hathitrust.org/cgi/pt?id=loc.ark:/13960/t6058559v</v>
      </c>
      <c r="H7148" t="str">
        <f>HYPERLINK("http://catalog.hathitrust.org/Record/009606933")</f>
        <v>http://catalog.hathitrust.org/Record/009606933</v>
      </c>
      <c r="J7148" s="1">
        <v>1922</v>
      </c>
      <c r="K7148" t="s">
        <v>20035</v>
      </c>
      <c r="L7148" t="s">
        <v>20032</v>
      </c>
    </row>
    <row r="7149" spans="1:12">
      <c r="A7149" t="s">
        <v>3102</v>
      </c>
      <c r="B7149" s="1" t="s">
        <v>3103</v>
      </c>
      <c r="F7149">
        <v>1</v>
      </c>
      <c r="G7149" t="str">
        <f>HYPERLINK("http://babel.hathitrust.org/cgi/pt?id=loc.ark:/13960/t1zc8nw8z")</f>
        <v>http://babel.hathitrust.org/cgi/pt?id=loc.ark:/13960/t1zc8nw8z</v>
      </c>
      <c r="H7149" t="str">
        <f>HYPERLINK("http://catalog.hathitrust.org/Record/009607207")</f>
        <v>http://catalog.hathitrust.org/Record/009607207</v>
      </c>
      <c r="J7149" s="1">
        <v>1859</v>
      </c>
      <c r="K7149" t="s">
        <v>16213</v>
      </c>
    </row>
    <row r="7150" spans="1:12">
      <c r="A7150" t="s">
        <v>3104</v>
      </c>
      <c r="B7150" s="1" t="s">
        <v>3105</v>
      </c>
      <c r="E7150">
        <v>1</v>
      </c>
      <c r="G7150" t="str">
        <f>HYPERLINK("http://babel.hathitrust.org/cgi/pt?id=loc.ark:/13960/t8z89t70x")</f>
        <v>http://babel.hathitrust.org/cgi/pt?id=loc.ark:/13960/t8z89t70x</v>
      </c>
      <c r="H7150" t="str">
        <f>HYPERLINK("http://catalog.hathitrust.org/Record/009607610")</f>
        <v>http://catalog.hathitrust.org/Record/009607610</v>
      </c>
      <c r="J7150" s="1">
        <v>1878</v>
      </c>
      <c r="K7150" t="s">
        <v>3106</v>
      </c>
      <c r="L7150" t="s">
        <v>3107</v>
      </c>
    </row>
    <row r="7151" spans="1:12">
      <c r="A7151" t="s">
        <v>3108</v>
      </c>
      <c r="B7151" s="1" t="s">
        <v>3109</v>
      </c>
      <c r="E7151">
        <v>1</v>
      </c>
      <c r="F7151">
        <v>1</v>
      </c>
      <c r="G7151" t="str">
        <f>HYPERLINK("http://babel.hathitrust.org/cgi/pt?id=loc.ark:/13960/t7pn9pt8s")</f>
        <v>http://babel.hathitrust.org/cgi/pt?id=loc.ark:/13960/t7pn9pt8s</v>
      </c>
      <c r="H7151" t="str">
        <f>HYPERLINK("http://catalog.hathitrust.org/Record/009607728")</f>
        <v>http://catalog.hathitrust.org/Record/009607728</v>
      </c>
      <c r="J7151" s="1">
        <v>1912</v>
      </c>
      <c r="K7151" t="s">
        <v>14610</v>
      </c>
      <c r="L7151" t="s">
        <v>17579</v>
      </c>
    </row>
    <row r="7152" spans="1:12">
      <c r="A7152" t="s">
        <v>3110</v>
      </c>
      <c r="B7152" s="1" t="s">
        <v>3111</v>
      </c>
      <c r="F7152">
        <v>1</v>
      </c>
      <c r="G7152" t="str">
        <f>HYPERLINK("http://babel.hathitrust.org/cgi/pt?id=loc.ark:/13960/t8kd2dm44")</f>
        <v>http://babel.hathitrust.org/cgi/pt?id=loc.ark:/13960/t8kd2dm44</v>
      </c>
      <c r="H7152" t="str">
        <f>HYPERLINK("http://catalog.hathitrust.org/Record/009607910")</f>
        <v>http://catalog.hathitrust.org/Record/009607910</v>
      </c>
      <c r="J7152" s="1">
        <v>1892</v>
      </c>
      <c r="K7152" t="s">
        <v>20025</v>
      </c>
      <c r="L7152" t="s">
        <v>20026</v>
      </c>
    </row>
    <row r="7153" spans="1:12">
      <c r="A7153" t="s">
        <v>3112</v>
      </c>
      <c r="B7153" s="1" t="s">
        <v>3113</v>
      </c>
      <c r="E7153">
        <v>1</v>
      </c>
      <c r="G7153" t="str">
        <f>HYPERLINK("http://babel.hathitrust.org/cgi/pt?id=loc.ark:/13960/t2b85qp2q")</f>
        <v>http://babel.hathitrust.org/cgi/pt?id=loc.ark:/13960/t2b85qp2q</v>
      </c>
      <c r="H7153" t="str">
        <f>HYPERLINK("http://catalog.hathitrust.org/Record/009608157")</f>
        <v>http://catalog.hathitrust.org/Record/009608157</v>
      </c>
      <c r="J7153" s="1">
        <v>1903</v>
      </c>
      <c r="K7153" t="s">
        <v>3114</v>
      </c>
      <c r="L7153" t="s">
        <v>3115</v>
      </c>
    </row>
    <row r="7154" spans="1:12">
      <c r="A7154" t="s">
        <v>3116</v>
      </c>
      <c r="B7154" s="1" t="s">
        <v>3117</v>
      </c>
      <c r="F7154">
        <v>1</v>
      </c>
      <c r="G7154" t="str">
        <f>HYPERLINK("http://babel.hathitrust.org/cgi/pt?id=loc.ark:/13960/t23b6jj56")</f>
        <v>http://babel.hathitrust.org/cgi/pt?id=loc.ark:/13960/t23b6jj56</v>
      </c>
      <c r="H7154" t="str">
        <f>HYPERLINK("http://catalog.hathitrust.org/Record/009609231")</f>
        <v>http://catalog.hathitrust.org/Record/009609231</v>
      </c>
      <c r="J7154" s="1">
        <v>1896</v>
      </c>
      <c r="K7154" t="s">
        <v>3118</v>
      </c>
      <c r="L7154" t="s">
        <v>3119</v>
      </c>
    </row>
    <row r="7155" spans="1:12">
      <c r="A7155" t="s">
        <v>3120</v>
      </c>
      <c r="B7155" s="1" t="s">
        <v>3121</v>
      </c>
      <c r="E7155">
        <v>1</v>
      </c>
      <c r="G7155" t="str">
        <f>HYPERLINK("http://babel.hathitrust.org/cgi/pt?id=loc.ark:/13960/t9v12js1j")</f>
        <v>http://babel.hathitrust.org/cgi/pt?id=loc.ark:/13960/t9v12js1j</v>
      </c>
      <c r="H7155" t="str">
        <f>HYPERLINK("http://catalog.hathitrust.org/Record/009609497")</f>
        <v>http://catalog.hathitrust.org/Record/009609497</v>
      </c>
      <c r="J7155" s="1">
        <v>1897</v>
      </c>
      <c r="K7155" t="s">
        <v>3316</v>
      </c>
      <c r="L7155" t="s">
        <v>20467</v>
      </c>
    </row>
    <row r="7156" spans="1:12">
      <c r="A7156" t="s">
        <v>3122</v>
      </c>
      <c r="B7156" s="1" t="s">
        <v>3123</v>
      </c>
      <c r="F7156">
        <v>1</v>
      </c>
      <c r="G7156" t="str">
        <f>HYPERLINK("http://babel.hathitrust.org/cgi/pt?id=loc.ark:/13960/t9r21df7b")</f>
        <v>http://babel.hathitrust.org/cgi/pt?id=loc.ark:/13960/t9r21df7b</v>
      </c>
      <c r="H7156" t="str">
        <f>HYPERLINK("http://catalog.hathitrust.org/Record/009609763")</f>
        <v>http://catalog.hathitrust.org/Record/009609763</v>
      </c>
      <c r="J7156" s="1">
        <v>1912</v>
      </c>
      <c r="K7156" t="s">
        <v>3124</v>
      </c>
      <c r="L7156" t="s">
        <v>3125</v>
      </c>
    </row>
    <row r="7157" spans="1:12">
      <c r="A7157" t="s">
        <v>3126</v>
      </c>
      <c r="B7157" s="1" t="s">
        <v>3127</v>
      </c>
      <c r="E7157">
        <v>1</v>
      </c>
      <c r="G7157" t="str">
        <f>HYPERLINK("http://babel.hathitrust.org/cgi/pt?id=loc.ark:/13960/t20c5gc2q")</f>
        <v>http://babel.hathitrust.org/cgi/pt?id=loc.ark:/13960/t20c5gc2q</v>
      </c>
      <c r="H7157" t="str">
        <f>HYPERLINK("http://catalog.hathitrust.org/Record/009609884")</f>
        <v>http://catalog.hathitrust.org/Record/009609884</v>
      </c>
      <c r="J7157" s="1">
        <v>1911</v>
      </c>
      <c r="K7157" t="s">
        <v>20476</v>
      </c>
      <c r="L7157" t="s">
        <v>20467</v>
      </c>
    </row>
    <row r="7158" spans="1:12">
      <c r="A7158" t="s">
        <v>3128</v>
      </c>
      <c r="B7158" s="1" t="s">
        <v>3129</v>
      </c>
      <c r="E7158">
        <v>1</v>
      </c>
      <c r="G7158" t="str">
        <f>HYPERLINK("http://babel.hathitrust.org/cgi/pt?id=loc.ark:/13960/t7jq1gk8k")</f>
        <v>http://babel.hathitrust.org/cgi/pt?id=loc.ark:/13960/t7jq1gk8k</v>
      </c>
      <c r="H7158" t="str">
        <f>HYPERLINK("http://catalog.hathitrust.org/Record/009610656")</f>
        <v>http://catalog.hathitrust.org/Record/009610656</v>
      </c>
      <c r="J7158" s="1">
        <v>1862</v>
      </c>
      <c r="K7158" t="s">
        <v>3130</v>
      </c>
    </row>
    <row r="7159" spans="1:12">
      <c r="A7159" t="s">
        <v>3131</v>
      </c>
      <c r="B7159" s="1" t="s">
        <v>3132</v>
      </c>
      <c r="F7159">
        <v>1</v>
      </c>
      <c r="G7159" t="str">
        <f>HYPERLINK("http://babel.hathitrust.org/cgi/pt?id=uc1.b4040424")</f>
        <v>http://babel.hathitrust.org/cgi/pt?id=uc1.b4040424</v>
      </c>
      <c r="H7159" t="str">
        <f>HYPERLINK("http://catalog.hathitrust.org/Record/009623166")</f>
        <v>http://catalog.hathitrust.org/Record/009623166</v>
      </c>
      <c r="J7159" s="1">
        <v>1941</v>
      </c>
      <c r="K7159" t="s">
        <v>3133</v>
      </c>
      <c r="L7159" t="s">
        <v>3134</v>
      </c>
    </row>
    <row r="7160" spans="1:12">
      <c r="A7160" t="s">
        <v>3135</v>
      </c>
      <c r="B7160" s="1" t="s">
        <v>3136</v>
      </c>
      <c r="F7160">
        <v>1</v>
      </c>
      <c r="G7160" t="str">
        <f>HYPERLINK("http://babel.hathitrust.org/cgi/pt?id=uc1.b4040433")</f>
        <v>http://babel.hathitrust.org/cgi/pt?id=uc1.b4040433</v>
      </c>
      <c r="H7160" t="str">
        <f>HYPERLINK("http://catalog.hathitrust.org/Record/009623171")</f>
        <v>http://catalog.hathitrust.org/Record/009623171</v>
      </c>
      <c r="I7160" s="1" t="s">
        <v>20916</v>
      </c>
      <c r="J7160" s="1">
        <v>1872</v>
      </c>
      <c r="K7160" t="s">
        <v>3137</v>
      </c>
      <c r="L7160" t="s">
        <v>11936</v>
      </c>
    </row>
    <row r="7161" spans="1:12">
      <c r="A7161" t="s">
        <v>3138</v>
      </c>
      <c r="B7161" s="1" t="s">
        <v>3139</v>
      </c>
      <c r="F7161">
        <v>1</v>
      </c>
      <c r="G7161" t="str">
        <f>HYPERLINK("http://babel.hathitrust.org/cgi/pt?id=uc2.ark:/13960/t3nv9mk70")</f>
        <v>http://babel.hathitrust.org/cgi/pt?id=uc2.ark:/13960/t3nv9mk70</v>
      </c>
      <c r="H7161" t="str">
        <f>HYPERLINK("http://catalog.hathitrust.org/Record/009645196")</f>
        <v>http://catalog.hathitrust.org/Record/009645196</v>
      </c>
      <c r="J7161" s="1">
        <v>1908</v>
      </c>
      <c r="K7161" t="s">
        <v>3140</v>
      </c>
      <c r="L7161" t="s">
        <v>11184</v>
      </c>
    </row>
    <row r="7162" spans="1:12">
      <c r="A7162" t="s">
        <v>3141</v>
      </c>
      <c r="B7162" s="1" t="s">
        <v>3142</v>
      </c>
      <c r="F7162">
        <v>1</v>
      </c>
      <c r="G7162" t="str">
        <f>HYPERLINK("http://babel.hathitrust.org/cgi/pt?id=uc1.b4029347")</f>
        <v>http://babel.hathitrust.org/cgi/pt?id=uc1.b4029347</v>
      </c>
      <c r="H7162" t="str">
        <f>HYPERLINK("http://catalog.hathitrust.org/Record/009645269")</f>
        <v>http://catalog.hathitrust.org/Record/009645269</v>
      </c>
      <c r="J7162" s="1">
        <v>1860</v>
      </c>
      <c r="K7162" t="s">
        <v>3143</v>
      </c>
      <c r="L7162" t="s">
        <v>16039</v>
      </c>
    </row>
    <row r="7163" spans="1:12">
      <c r="A7163" t="s">
        <v>3144</v>
      </c>
      <c r="B7163" s="1" t="s">
        <v>3142</v>
      </c>
      <c r="F7163">
        <v>1</v>
      </c>
      <c r="G7163" t="str">
        <f>HYPERLINK("http://babel.hathitrust.org/cgi/pt?id=uc2.ark:/13960/t9959px8f")</f>
        <v>http://babel.hathitrust.org/cgi/pt?id=uc2.ark:/13960/t9959px8f</v>
      </c>
      <c r="H7163" t="str">
        <f>HYPERLINK("http://catalog.hathitrust.org/Record/009645269")</f>
        <v>http://catalog.hathitrust.org/Record/009645269</v>
      </c>
      <c r="J7163" s="1">
        <v>1860</v>
      </c>
      <c r="K7163" t="s">
        <v>3143</v>
      </c>
      <c r="L7163" t="s">
        <v>16039</v>
      </c>
    </row>
    <row r="7164" spans="1:12">
      <c r="A7164" t="s">
        <v>3145</v>
      </c>
      <c r="B7164" s="1" t="s">
        <v>3146</v>
      </c>
      <c r="E7164">
        <v>1</v>
      </c>
      <c r="G7164" t="str">
        <f>HYPERLINK("http://babel.hathitrust.org/cgi/pt?id=ucm.5318747345")</f>
        <v>http://babel.hathitrust.org/cgi/pt?id=ucm.5318747345</v>
      </c>
      <c r="H7164" t="str">
        <f>HYPERLINK("http://catalog.hathitrust.org/Record/009651714")</f>
        <v>http://catalog.hathitrust.org/Record/009651714</v>
      </c>
      <c r="J7164" s="1">
        <v>1843</v>
      </c>
      <c r="K7164" t="s">
        <v>3033</v>
      </c>
      <c r="L7164" t="s">
        <v>20960</v>
      </c>
    </row>
    <row r="7165" spans="1:12">
      <c r="A7165" t="s">
        <v>3034</v>
      </c>
      <c r="B7165" s="1" t="s">
        <v>3035</v>
      </c>
      <c r="D7165">
        <v>1</v>
      </c>
      <c r="G7165" t="str">
        <f>HYPERLINK("http://babel.hathitrust.org/cgi/pt?id=ucm.5325068688")</f>
        <v>http://babel.hathitrust.org/cgi/pt?id=ucm.5325068688</v>
      </c>
      <c r="H7165" t="str">
        <f>HYPERLINK("http://catalog.hathitrust.org/Record/009653934")</f>
        <v>http://catalog.hathitrust.org/Record/009653934</v>
      </c>
      <c r="I7165" s="1" t="s">
        <v>4700</v>
      </c>
      <c r="J7165" s="1">
        <v>1855</v>
      </c>
      <c r="K7165" t="s">
        <v>13685</v>
      </c>
      <c r="L7165" t="s">
        <v>19446</v>
      </c>
    </row>
    <row r="7166" spans="1:12">
      <c r="A7166" t="s">
        <v>3036</v>
      </c>
      <c r="B7166" s="1" t="s">
        <v>3037</v>
      </c>
      <c r="E7166">
        <v>1</v>
      </c>
      <c r="G7166" t="str">
        <f>HYPERLINK("http://babel.hathitrust.org/cgi/pt?id=ucm.5325079312")</f>
        <v>http://babel.hathitrust.org/cgi/pt?id=ucm.5325079312</v>
      </c>
      <c r="H7166" t="str">
        <f>HYPERLINK("http://catalog.hathitrust.org/Record/009654489")</f>
        <v>http://catalog.hathitrust.org/Record/009654489</v>
      </c>
      <c r="J7166" s="1">
        <v>1853</v>
      </c>
      <c r="K7166" t="s">
        <v>3038</v>
      </c>
      <c r="L7166" t="s">
        <v>18957</v>
      </c>
    </row>
    <row r="7167" spans="1:12">
      <c r="A7167" t="s">
        <v>3039</v>
      </c>
      <c r="B7167" s="1" t="s">
        <v>3040</v>
      </c>
      <c r="C7167">
        <v>1</v>
      </c>
      <c r="E7167">
        <v>1</v>
      </c>
      <c r="F7167">
        <v>1</v>
      </c>
      <c r="G7167" t="str">
        <f>HYPERLINK("http://babel.hathitrust.org/cgi/pt?id=uc2.ark:/13960/t6j106h99")</f>
        <v>http://babel.hathitrust.org/cgi/pt?id=uc2.ark:/13960/t6j106h99</v>
      </c>
      <c r="H7167" t="str">
        <f>HYPERLINK("http://catalog.hathitrust.org/Record/009657349")</f>
        <v>http://catalog.hathitrust.org/Record/009657349</v>
      </c>
      <c r="J7167" s="1">
        <v>1889</v>
      </c>
      <c r="K7167" t="s">
        <v>3041</v>
      </c>
      <c r="L7167" t="s">
        <v>20629</v>
      </c>
    </row>
    <row r="7168" spans="1:12">
      <c r="A7168" t="s">
        <v>3042</v>
      </c>
      <c r="B7168" s="1" t="s">
        <v>3043</v>
      </c>
      <c r="E7168">
        <v>1</v>
      </c>
      <c r="G7168" t="str">
        <f>HYPERLINK("http://babel.hathitrust.org/cgi/pt?id=uc1.b4023243")</f>
        <v>http://babel.hathitrust.org/cgi/pt?id=uc1.b4023243</v>
      </c>
      <c r="H7168" t="str">
        <f>HYPERLINK("http://catalog.hathitrust.org/Record/009657418")</f>
        <v>http://catalog.hathitrust.org/Record/009657418</v>
      </c>
      <c r="J7168" s="1">
        <v>1913</v>
      </c>
      <c r="K7168" t="s">
        <v>3044</v>
      </c>
      <c r="L7168" t="s">
        <v>14826</v>
      </c>
    </row>
    <row r="7169" spans="1:12">
      <c r="A7169" t="s">
        <v>3045</v>
      </c>
      <c r="B7169" s="1" t="s">
        <v>3046</v>
      </c>
      <c r="F7169">
        <v>1</v>
      </c>
      <c r="G7169" t="str">
        <f>HYPERLINK("http://babel.hathitrust.org/cgi/pt?id=uc1.b4021834")</f>
        <v>http://babel.hathitrust.org/cgi/pt?id=uc1.b4021834</v>
      </c>
      <c r="H7169" t="str">
        <f>HYPERLINK("http://catalog.hathitrust.org/Record/009658290")</f>
        <v>http://catalog.hathitrust.org/Record/009658290</v>
      </c>
      <c r="J7169" s="1">
        <v>1878</v>
      </c>
      <c r="K7169" t="s">
        <v>3047</v>
      </c>
      <c r="L7169" t="s">
        <v>10091</v>
      </c>
    </row>
    <row r="7170" spans="1:12">
      <c r="A7170" t="s">
        <v>3048</v>
      </c>
      <c r="B7170" s="1" t="s">
        <v>3046</v>
      </c>
      <c r="F7170">
        <v>1</v>
      </c>
      <c r="G7170" t="str">
        <f>HYPERLINK("http://babel.hathitrust.org/cgi/pt?id=uc2.ark:/13960/t18k7g01b")</f>
        <v>http://babel.hathitrust.org/cgi/pt?id=uc2.ark:/13960/t18k7g01b</v>
      </c>
      <c r="H7170" t="str">
        <f>HYPERLINK("http://catalog.hathitrust.org/Record/009658290")</f>
        <v>http://catalog.hathitrust.org/Record/009658290</v>
      </c>
      <c r="J7170" s="1">
        <v>1878</v>
      </c>
      <c r="K7170" t="s">
        <v>3047</v>
      </c>
      <c r="L7170" t="s">
        <v>10091</v>
      </c>
    </row>
    <row r="7171" spans="1:12">
      <c r="A7171" t="s">
        <v>3049</v>
      </c>
      <c r="B7171" s="1" t="s">
        <v>3050</v>
      </c>
      <c r="F7171">
        <v>1</v>
      </c>
      <c r="G7171" t="str">
        <f>HYPERLINK("http://babel.hathitrust.org/cgi/pt?id=uc1.b4022071")</f>
        <v>http://babel.hathitrust.org/cgi/pt?id=uc1.b4022071</v>
      </c>
      <c r="H7171" t="str">
        <f>HYPERLINK("http://catalog.hathitrust.org/Record/009658369")</f>
        <v>http://catalog.hathitrust.org/Record/009658369</v>
      </c>
      <c r="I7171" s="1" t="s">
        <v>3052</v>
      </c>
      <c r="J7171" s="1">
        <v>1919</v>
      </c>
      <c r="K7171" t="s">
        <v>3051</v>
      </c>
      <c r="L7171" t="s">
        <v>3053</v>
      </c>
    </row>
    <row r="7172" spans="1:12">
      <c r="A7172" t="s">
        <v>3054</v>
      </c>
      <c r="B7172" s="1" t="s">
        <v>3055</v>
      </c>
      <c r="F7172">
        <v>1</v>
      </c>
      <c r="G7172" t="str">
        <f>HYPERLINK("http://babel.hathitrust.org/cgi/pt?id=uc1.b4018779")</f>
        <v>http://babel.hathitrust.org/cgi/pt?id=uc1.b4018779</v>
      </c>
      <c r="H7172" t="str">
        <f>HYPERLINK("http://catalog.hathitrust.org/Record/009658539")</f>
        <v>http://catalog.hathitrust.org/Record/009658539</v>
      </c>
      <c r="J7172" s="1">
        <v>1854</v>
      </c>
      <c r="K7172" t="s">
        <v>3056</v>
      </c>
      <c r="L7172" t="s">
        <v>3057</v>
      </c>
    </row>
    <row r="7173" spans="1:12">
      <c r="A7173" t="s">
        <v>3058</v>
      </c>
      <c r="B7173" s="1" t="s">
        <v>3055</v>
      </c>
      <c r="F7173">
        <v>1</v>
      </c>
      <c r="G7173" t="str">
        <f>HYPERLINK("http://babel.hathitrust.org/cgi/pt?id=uc2.ark:/13960/t8qc05p48")</f>
        <v>http://babel.hathitrust.org/cgi/pt?id=uc2.ark:/13960/t8qc05p48</v>
      </c>
      <c r="H7173" t="str">
        <f>HYPERLINK("http://catalog.hathitrust.org/Record/009658539")</f>
        <v>http://catalog.hathitrust.org/Record/009658539</v>
      </c>
      <c r="J7173" s="1">
        <v>1854</v>
      </c>
      <c r="K7173" t="s">
        <v>3056</v>
      </c>
      <c r="L7173" t="s">
        <v>3057</v>
      </c>
    </row>
    <row r="7174" spans="1:12">
      <c r="A7174" t="s">
        <v>3059</v>
      </c>
      <c r="B7174" s="1" t="s">
        <v>3060</v>
      </c>
      <c r="F7174">
        <v>1</v>
      </c>
      <c r="G7174" t="str">
        <f>HYPERLINK("http://babel.hathitrust.org/cgi/pt?id=uc1.b4020157")</f>
        <v>http://babel.hathitrust.org/cgi/pt?id=uc1.b4020157</v>
      </c>
      <c r="H7174" t="str">
        <f>HYPERLINK("http://catalog.hathitrust.org/Record/009658775")</f>
        <v>http://catalog.hathitrust.org/Record/009658775</v>
      </c>
      <c r="J7174" s="1">
        <v>1849</v>
      </c>
      <c r="K7174" t="s">
        <v>3061</v>
      </c>
      <c r="L7174" t="s">
        <v>3062</v>
      </c>
    </row>
    <row r="7175" spans="1:12">
      <c r="A7175" t="s">
        <v>3063</v>
      </c>
      <c r="B7175" s="1" t="s">
        <v>3060</v>
      </c>
      <c r="F7175">
        <v>1</v>
      </c>
      <c r="G7175" t="str">
        <f>HYPERLINK("http://babel.hathitrust.org/cgi/pt?id=uc2.ark:/13960/t2r49sc7s")</f>
        <v>http://babel.hathitrust.org/cgi/pt?id=uc2.ark:/13960/t2r49sc7s</v>
      </c>
      <c r="H7175" t="str">
        <f>HYPERLINK("http://catalog.hathitrust.org/Record/009658775")</f>
        <v>http://catalog.hathitrust.org/Record/009658775</v>
      </c>
      <c r="J7175" s="1">
        <v>1849</v>
      </c>
      <c r="K7175" t="s">
        <v>3061</v>
      </c>
      <c r="L7175" t="s">
        <v>3062</v>
      </c>
    </row>
    <row r="7176" spans="1:12">
      <c r="A7176" t="s">
        <v>3064</v>
      </c>
      <c r="B7176" s="1" t="s">
        <v>3065</v>
      </c>
      <c r="F7176">
        <v>1</v>
      </c>
      <c r="G7176" t="str">
        <f>HYPERLINK("http://babel.hathitrust.org/cgi/pt?id=uc1.b4016793")</f>
        <v>http://babel.hathitrust.org/cgi/pt?id=uc1.b4016793</v>
      </c>
      <c r="H7176" t="str">
        <f>HYPERLINK("http://catalog.hathitrust.org/Record/009659031")</f>
        <v>http://catalog.hathitrust.org/Record/009659031</v>
      </c>
      <c r="J7176" s="1">
        <v>1922</v>
      </c>
      <c r="K7176" t="s">
        <v>3066</v>
      </c>
      <c r="L7176" t="s">
        <v>3067</v>
      </c>
    </row>
    <row r="7177" spans="1:12">
      <c r="A7177" t="s">
        <v>3068</v>
      </c>
      <c r="B7177" s="1" t="s">
        <v>3065</v>
      </c>
      <c r="F7177">
        <v>1</v>
      </c>
      <c r="G7177" t="str">
        <f>HYPERLINK("http://babel.hathitrust.org/cgi/pt?id=uc2.ark:/13960/t2r49sc3v")</f>
        <v>http://babel.hathitrust.org/cgi/pt?id=uc2.ark:/13960/t2r49sc3v</v>
      </c>
      <c r="H7177" t="str">
        <f>HYPERLINK("http://catalog.hathitrust.org/Record/009659031")</f>
        <v>http://catalog.hathitrust.org/Record/009659031</v>
      </c>
      <c r="J7177" s="1">
        <v>1922</v>
      </c>
      <c r="K7177" t="s">
        <v>3066</v>
      </c>
      <c r="L7177" t="s">
        <v>3067</v>
      </c>
    </row>
    <row r="7178" spans="1:12">
      <c r="A7178" t="s">
        <v>3069</v>
      </c>
      <c r="B7178" s="1" t="s">
        <v>3070</v>
      </c>
      <c r="F7178">
        <v>1</v>
      </c>
      <c r="G7178" t="str">
        <f>HYPERLINK("http://babel.hathitrust.org/cgi/pt?id=hvd.32044038402723")</f>
        <v>http://babel.hathitrust.org/cgi/pt?id=hvd.32044038402723</v>
      </c>
      <c r="H7178" t="str">
        <f>HYPERLINK("http://catalog.hathitrust.org/Record/009659290")</f>
        <v>http://catalog.hathitrust.org/Record/009659290</v>
      </c>
      <c r="J7178" s="1">
        <v>1848</v>
      </c>
      <c r="K7178" t="s">
        <v>3071</v>
      </c>
      <c r="L7178" t="s">
        <v>3072</v>
      </c>
    </row>
    <row r="7179" spans="1:12">
      <c r="A7179" t="s">
        <v>3073</v>
      </c>
      <c r="B7179" s="1" t="s">
        <v>3070</v>
      </c>
      <c r="F7179">
        <v>1</v>
      </c>
      <c r="G7179" t="str">
        <f>HYPERLINK("http://babel.hathitrust.org/cgi/pt?id=hvd.hn2cfe")</f>
        <v>http://babel.hathitrust.org/cgi/pt?id=hvd.hn2cfe</v>
      </c>
      <c r="H7179" t="str">
        <f>HYPERLINK("http://catalog.hathitrust.org/Record/009659290")</f>
        <v>http://catalog.hathitrust.org/Record/009659290</v>
      </c>
      <c r="J7179" s="1">
        <v>1848</v>
      </c>
      <c r="K7179" t="s">
        <v>3071</v>
      </c>
      <c r="L7179" t="s">
        <v>3072</v>
      </c>
    </row>
    <row r="7180" spans="1:12">
      <c r="A7180" t="s">
        <v>3074</v>
      </c>
      <c r="B7180" s="1" t="s">
        <v>3070</v>
      </c>
      <c r="F7180">
        <v>1</v>
      </c>
      <c r="G7180" t="str">
        <f>HYPERLINK("http://babel.hathitrust.org/cgi/pt?id=uc2.ark:/13960/t5q81g30z")</f>
        <v>http://babel.hathitrust.org/cgi/pt?id=uc2.ark:/13960/t5q81g30z</v>
      </c>
      <c r="H7180" t="str">
        <f>HYPERLINK("http://catalog.hathitrust.org/Record/009659290")</f>
        <v>http://catalog.hathitrust.org/Record/009659290</v>
      </c>
      <c r="J7180" s="1">
        <v>1848</v>
      </c>
      <c r="K7180" t="s">
        <v>3071</v>
      </c>
      <c r="L7180" t="s">
        <v>3072</v>
      </c>
    </row>
    <row r="7181" spans="1:12">
      <c r="A7181" t="s">
        <v>3075</v>
      </c>
      <c r="B7181" s="1" t="s">
        <v>3076</v>
      </c>
      <c r="F7181">
        <v>1</v>
      </c>
      <c r="G7181" t="str">
        <f>HYPERLINK("http://babel.hathitrust.org/cgi/pt?id=uc1.b4013499")</f>
        <v>http://babel.hathitrust.org/cgi/pt?id=uc1.b4013499</v>
      </c>
      <c r="H7181" t="str">
        <f>HYPERLINK("http://catalog.hathitrust.org/Record/009667896")</f>
        <v>http://catalog.hathitrust.org/Record/009667896</v>
      </c>
      <c r="J7181" s="1">
        <v>1852</v>
      </c>
      <c r="K7181" t="s">
        <v>3077</v>
      </c>
      <c r="L7181" t="s">
        <v>5573</v>
      </c>
    </row>
    <row r="7182" spans="1:12">
      <c r="A7182" t="s">
        <v>3078</v>
      </c>
      <c r="B7182" s="1" t="s">
        <v>3076</v>
      </c>
      <c r="F7182">
        <v>1</v>
      </c>
      <c r="G7182" t="str">
        <f>HYPERLINK("http://babel.hathitrust.org/cgi/pt?id=uc2.ark:/13960/t84j0nh86")</f>
        <v>http://babel.hathitrust.org/cgi/pt?id=uc2.ark:/13960/t84j0nh86</v>
      </c>
      <c r="H7182" t="str">
        <f>HYPERLINK("http://catalog.hathitrust.org/Record/009667896")</f>
        <v>http://catalog.hathitrust.org/Record/009667896</v>
      </c>
      <c r="J7182" s="1">
        <v>1852</v>
      </c>
      <c r="K7182" t="s">
        <v>3077</v>
      </c>
      <c r="L7182" t="s">
        <v>5573</v>
      </c>
    </row>
    <row r="7183" spans="1:12">
      <c r="A7183" t="s">
        <v>3079</v>
      </c>
      <c r="B7183" s="1" t="s">
        <v>3080</v>
      </c>
      <c r="F7183">
        <v>1</v>
      </c>
      <c r="G7183" t="str">
        <f>HYPERLINK("http://babel.hathitrust.org/cgi/pt?id=njp.32101080065772")</f>
        <v>http://babel.hathitrust.org/cgi/pt?id=njp.32101080065772</v>
      </c>
      <c r="H7183" t="str">
        <f>HYPERLINK("http://catalog.hathitrust.org/Record/009675774")</f>
        <v>http://catalog.hathitrust.org/Record/009675774</v>
      </c>
      <c r="I7183" s="1" t="s">
        <v>20799</v>
      </c>
      <c r="J7183" s="1">
        <v>1803</v>
      </c>
      <c r="K7183" t="s">
        <v>4682</v>
      </c>
      <c r="L7183" t="s">
        <v>20086</v>
      </c>
    </row>
    <row r="7184" spans="1:12">
      <c r="A7184" t="s">
        <v>3081</v>
      </c>
      <c r="B7184" s="1" t="s">
        <v>3080</v>
      </c>
      <c r="F7184">
        <v>1</v>
      </c>
      <c r="G7184" t="str">
        <f>HYPERLINK("http://babel.hathitrust.org/cgi/pt?id=njp.32101080065780")</f>
        <v>http://babel.hathitrust.org/cgi/pt?id=njp.32101080065780</v>
      </c>
      <c r="H7184" t="str">
        <f>HYPERLINK("http://catalog.hathitrust.org/Record/009675774")</f>
        <v>http://catalog.hathitrust.org/Record/009675774</v>
      </c>
      <c r="I7184" s="1" t="s">
        <v>20796</v>
      </c>
      <c r="J7184" s="1">
        <v>1803</v>
      </c>
      <c r="K7184" t="s">
        <v>4682</v>
      </c>
      <c r="L7184" t="s">
        <v>20086</v>
      </c>
    </row>
    <row r="7185" spans="1:12">
      <c r="A7185" t="s">
        <v>3082</v>
      </c>
      <c r="B7185" s="1" t="s">
        <v>3083</v>
      </c>
      <c r="F7185">
        <v>1</v>
      </c>
      <c r="G7185" t="str">
        <f>HYPERLINK("http://babel.hathitrust.org/cgi/pt?id=inu.30000104324383")</f>
        <v>http://babel.hathitrust.org/cgi/pt?id=inu.30000104324383</v>
      </c>
      <c r="H7185" t="str">
        <f>HYPERLINK("http://catalog.hathitrust.org/Record/009685623")</f>
        <v>http://catalog.hathitrust.org/Record/009685623</v>
      </c>
      <c r="J7185" s="1">
        <v>1893</v>
      </c>
      <c r="K7185" t="s">
        <v>3084</v>
      </c>
    </row>
    <row r="7186" spans="1:12">
      <c r="A7186" t="s">
        <v>3085</v>
      </c>
      <c r="B7186" s="1" t="s">
        <v>3086</v>
      </c>
      <c r="F7186">
        <v>1</v>
      </c>
      <c r="G7186" t="str">
        <f>HYPERLINK("http://babel.hathitrust.org/cgi/pt?id=inu.30000099965620")</f>
        <v>http://babel.hathitrust.org/cgi/pt?id=inu.30000099965620</v>
      </c>
      <c r="H7186" t="str">
        <f>HYPERLINK("http://catalog.hathitrust.org/Record/009685927")</f>
        <v>http://catalog.hathitrust.org/Record/009685927</v>
      </c>
      <c r="J7186" s="1">
        <v>1876</v>
      </c>
      <c r="K7186" t="s">
        <v>2991</v>
      </c>
      <c r="L7186" t="s">
        <v>2992</v>
      </c>
    </row>
    <row r="7187" spans="1:12">
      <c r="A7187" t="s">
        <v>2993</v>
      </c>
      <c r="B7187" s="1" t="s">
        <v>2994</v>
      </c>
      <c r="F7187">
        <v>1</v>
      </c>
      <c r="G7187" t="str">
        <f>HYPERLINK("http://babel.hathitrust.org/cgi/pt?id=inu.30000099952560")</f>
        <v>http://babel.hathitrust.org/cgi/pt?id=inu.30000099952560</v>
      </c>
      <c r="H7187" t="str">
        <f>HYPERLINK("http://catalog.hathitrust.org/Record/009685929")</f>
        <v>http://catalog.hathitrust.org/Record/009685929</v>
      </c>
      <c r="J7187" s="1">
        <v>1888</v>
      </c>
      <c r="K7187" t="s">
        <v>2995</v>
      </c>
      <c r="L7187" t="s">
        <v>2996</v>
      </c>
    </row>
    <row r="7188" spans="1:12">
      <c r="A7188" t="s">
        <v>2997</v>
      </c>
      <c r="B7188" s="1" t="s">
        <v>2998</v>
      </c>
      <c r="E7188">
        <v>1</v>
      </c>
      <c r="G7188" t="str">
        <f>HYPERLINK("http://babel.hathitrust.org/cgi/pt?id=uc1.b3999938")</f>
        <v>http://babel.hathitrust.org/cgi/pt?id=uc1.b3999938</v>
      </c>
      <c r="H7188" t="str">
        <f>HYPERLINK("http://catalog.hathitrust.org/Record/009692486")</f>
        <v>http://catalog.hathitrust.org/Record/009692486</v>
      </c>
      <c r="I7188" s="1" t="s">
        <v>20916</v>
      </c>
      <c r="J7188" s="1">
        <v>1915</v>
      </c>
      <c r="K7188" t="s">
        <v>18847</v>
      </c>
      <c r="L7188" t="s">
        <v>18848</v>
      </c>
    </row>
    <row r="7189" spans="1:12">
      <c r="A7189" t="s">
        <v>2999</v>
      </c>
      <c r="B7189" s="1" t="s">
        <v>3000</v>
      </c>
      <c r="F7189">
        <v>1</v>
      </c>
      <c r="G7189" t="str">
        <f>HYPERLINK("http://babel.hathitrust.org/cgi/pt?id=wu.89099896706")</f>
        <v>http://babel.hathitrust.org/cgi/pt?id=wu.89099896706</v>
      </c>
      <c r="H7189" t="str">
        <f>HYPERLINK("http://catalog.hathitrust.org/Record/009698235")</f>
        <v>http://catalog.hathitrust.org/Record/009698235</v>
      </c>
      <c r="J7189" s="1">
        <v>1837</v>
      </c>
      <c r="K7189" t="s">
        <v>3001</v>
      </c>
      <c r="L7189" t="s">
        <v>7585</v>
      </c>
    </row>
    <row r="7190" spans="1:12">
      <c r="A7190" t="s">
        <v>3002</v>
      </c>
      <c r="B7190" s="1" t="s">
        <v>3003</v>
      </c>
      <c r="F7190">
        <v>1</v>
      </c>
      <c r="G7190" t="str">
        <f>HYPERLINK("http://babel.hathitrust.org/cgi/pt?id=wu.89099897324")</f>
        <v>http://babel.hathitrust.org/cgi/pt?id=wu.89099897324</v>
      </c>
      <c r="H7190" t="str">
        <f>HYPERLINK("http://catalog.hathitrust.org/Record/009698245")</f>
        <v>http://catalog.hathitrust.org/Record/009698245</v>
      </c>
      <c r="I7190" s="1" t="s">
        <v>20916</v>
      </c>
      <c r="J7190" s="1">
        <v>1831</v>
      </c>
      <c r="K7190" t="s">
        <v>3004</v>
      </c>
      <c r="L7190" t="s">
        <v>11681</v>
      </c>
    </row>
    <row r="7191" spans="1:12">
      <c r="A7191" t="s">
        <v>3005</v>
      </c>
      <c r="B7191" s="1" t="s">
        <v>3006</v>
      </c>
      <c r="F7191">
        <v>1</v>
      </c>
      <c r="G7191" t="str">
        <f>HYPERLINK("http://babel.hathitrust.org/cgi/pt?id=wu.89099894214")</f>
        <v>http://babel.hathitrust.org/cgi/pt?id=wu.89099894214</v>
      </c>
      <c r="H7191" t="str">
        <f>HYPERLINK("http://catalog.hathitrust.org/Record/009699232")</f>
        <v>http://catalog.hathitrust.org/Record/009699232</v>
      </c>
      <c r="J7191" s="1">
        <v>1858</v>
      </c>
      <c r="K7191" t="s">
        <v>12219</v>
      </c>
      <c r="L7191" t="s">
        <v>12718</v>
      </c>
    </row>
    <row r="7192" spans="1:12">
      <c r="A7192" t="s">
        <v>3007</v>
      </c>
      <c r="B7192" s="1" t="s">
        <v>3008</v>
      </c>
      <c r="F7192">
        <v>1</v>
      </c>
      <c r="G7192" t="str">
        <f>HYPERLINK("http://babel.hathitrust.org/cgi/pt?id=nnc2.ark:/13960/t54f2jp07")</f>
        <v>http://babel.hathitrust.org/cgi/pt?id=nnc2.ark:/13960/t54f2jp07</v>
      </c>
      <c r="H7192" t="str">
        <f>HYPERLINK("http://catalog.hathitrust.org/Record/009703949")</f>
        <v>http://catalog.hathitrust.org/Record/009703949</v>
      </c>
      <c r="I7192" s="1">
        <v>1916</v>
      </c>
      <c r="J7192" s="1">
        <v>1916</v>
      </c>
      <c r="K7192" t="s">
        <v>3009</v>
      </c>
      <c r="L7192" t="s">
        <v>16739</v>
      </c>
    </row>
    <row r="7193" spans="1:12">
      <c r="A7193" t="s">
        <v>3010</v>
      </c>
      <c r="B7193" s="1" t="s">
        <v>3011</v>
      </c>
      <c r="F7193">
        <v>1</v>
      </c>
      <c r="G7193" t="str">
        <f>HYPERLINK("http://babel.hathitrust.org/cgi/pt?id=nnc2.ark:/13960/t08w43850")</f>
        <v>http://babel.hathitrust.org/cgi/pt?id=nnc2.ark:/13960/t08w43850</v>
      </c>
      <c r="H7193" t="str">
        <f>HYPERLINK("http://catalog.hathitrust.org/Record/009704489")</f>
        <v>http://catalog.hathitrust.org/Record/009704489</v>
      </c>
      <c r="I7193" s="1">
        <v>1880</v>
      </c>
      <c r="J7193" s="1">
        <v>1880</v>
      </c>
      <c r="K7193" t="s">
        <v>3012</v>
      </c>
      <c r="L7193" t="s">
        <v>3013</v>
      </c>
    </row>
    <row r="7194" spans="1:12">
      <c r="A7194" t="s">
        <v>3014</v>
      </c>
      <c r="B7194" s="1" t="s">
        <v>3015</v>
      </c>
      <c r="F7194">
        <v>1</v>
      </c>
      <c r="G7194" t="str">
        <f>HYPERLINK("http://babel.hathitrust.org/cgi/pt?id=nnc2.ark:/13960/t4wh3bq38")</f>
        <v>http://babel.hathitrust.org/cgi/pt?id=nnc2.ark:/13960/t4wh3bq38</v>
      </c>
      <c r="H7194" t="str">
        <f>HYPERLINK("http://catalog.hathitrust.org/Record/009704506")</f>
        <v>http://catalog.hathitrust.org/Record/009704506</v>
      </c>
      <c r="I7194" s="1">
        <v>1885</v>
      </c>
      <c r="J7194" s="1">
        <v>1885</v>
      </c>
      <c r="K7194" t="s">
        <v>3016</v>
      </c>
      <c r="L7194" t="s">
        <v>3017</v>
      </c>
    </row>
    <row r="7195" spans="1:12">
      <c r="A7195" t="s">
        <v>3018</v>
      </c>
      <c r="B7195" s="1" t="s">
        <v>3019</v>
      </c>
      <c r="F7195">
        <v>1</v>
      </c>
      <c r="G7195" t="str">
        <f>HYPERLINK("http://babel.hathitrust.org/cgi/pt?id=nnc2.ark:/13960/t39z9tx5x")</f>
        <v>http://babel.hathitrust.org/cgi/pt?id=nnc2.ark:/13960/t39z9tx5x</v>
      </c>
      <c r="H7195" t="str">
        <f>HYPERLINK("http://catalog.hathitrust.org/Record/009704995")</f>
        <v>http://catalog.hathitrust.org/Record/009704995</v>
      </c>
      <c r="I7195" s="1">
        <v>1900</v>
      </c>
      <c r="J7195" s="1">
        <v>1900</v>
      </c>
      <c r="K7195" t="s">
        <v>3020</v>
      </c>
      <c r="L7195" t="s">
        <v>3021</v>
      </c>
    </row>
    <row r="7196" spans="1:12">
      <c r="A7196" t="s">
        <v>3022</v>
      </c>
      <c r="B7196" s="1" t="s">
        <v>3023</v>
      </c>
      <c r="D7196">
        <v>1</v>
      </c>
      <c r="G7196" t="str">
        <f>HYPERLINK("http://babel.hathitrust.org/cgi/pt?id=hvd.32044054765623")</f>
        <v>http://babel.hathitrust.org/cgi/pt?id=hvd.32044054765623</v>
      </c>
      <c r="H7196" t="str">
        <f>HYPERLINK("http://catalog.hathitrust.org/Record/009706109")</f>
        <v>http://catalog.hathitrust.org/Record/009706109</v>
      </c>
      <c r="J7196" s="1">
        <v>1802</v>
      </c>
      <c r="K7196" t="s">
        <v>3024</v>
      </c>
      <c r="L7196" t="s">
        <v>6479</v>
      </c>
    </row>
    <row r="7197" spans="1:12">
      <c r="A7197" t="s">
        <v>3025</v>
      </c>
      <c r="B7197" s="1" t="s">
        <v>3026</v>
      </c>
      <c r="D7197">
        <v>1</v>
      </c>
      <c r="G7197" t="str">
        <f>HYPERLINK("http://babel.hathitrust.org/cgi/pt?id=hvd.hxkcgn")</f>
        <v>http://babel.hathitrust.org/cgi/pt?id=hvd.hxkcgn</v>
      </c>
      <c r="H7197" t="str">
        <f>HYPERLINK("http://catalog.hathitrust.org/Record/009706179")</f>
        <v>http://catalog.hathitrust.org/Record/009706179</v>
      </c>
      <c r="J7197" s="1">
        <v>1773</v>
      </c>
      <c r="K7197" t="s">
        <v>3027</v>
      </c>
      <c r="L7197" t="s">
        <v>20086</v>
      </c>
    </row>
    <row r="7198" spans="1:12">
      <c r="A7198" t="s">
        <v>3028</v>
      </c>
      <c r="B7198" s="1" t="s">
        <v>3029</v>
      </c>
      <c r="D7198">
        <v>1</v>
      </c>
      <c r="G7198" t="str">
        <f>HYPERLINK("http://babel.hathitrust.org/cgi/pt?id=hvd.hxg8hy")</f>
        <v>http://babel.hathitrust.org/cgi/pt?id=hvd.hxg8hy</v>
      </c>
      <c r="H7198" t="str">
        <f>HYPERLINK("http://catalog.hathitrust.org/Record/009706434")</f>
        <v>http://catalog.hathitrust.org/Record/009706434</v>
      </c>
      <c r="J7198" s="1">
        <v>1801</v>
      </c>
      <c r="K7198" t="s">
        <v>3030</v>
      </c>
      <c r="L7198" t="s">
        <v>9109</v>
      </c>
    </row>
    <row r="7199" spans="1:12">
      <c r="A7199" t="s">
        <v>3031</v>
      </c>
      <c r="B7199" s="1" t="s">
        <v>3032</v>
      </c>
      <c r="F7199">
        <v>1</v>
      </c>
      <c r="G7199" t="str">
        <f>HYPERLINK("http://babel.hathitrust.org/cgi/pt?id=hvd.32044038404083")</f>
        <v>http://babel.hathitrust.org/cgi/pt?id=hvd.32044038404083</v>
      </c>
      <c r="H7199" t="str">
        <f>HYPERLINK("http://catalog.hathitrust.org/Record/009707133")</f>
        <v>http://catalog.hathitrust.org/Record/009707133</v>
      </c>
      <c r="J7199" s="1">
        <v>1809</v>
      </c>
      <c r="K7199" t="s">
        <v>2948</v>
      </c>
      <c r="L7199" t="s">
        <v>20043</v>
      </c>
    </row>
    <row r="7200" spans="1:12">
      <c r="A7200" t="s">
        <v>2949</v>
      </c>
      <c r="B7200" s="1" t="s">
        <v>3032</v>
      </c>
      <c r="F7200">
        <v>1</v>
      </c>
      <c r="G7200" t="str">
        <f>HYPERLINK("http://babel.hathitrust.org/cgi/pt?id=hvd.32044038404091")</f>
        <v>http://babel.hathitrust.org/cgi/pt?id=hvd.32044038404091</v>
      </c>
      <c r="H7200" t="str">
        <f>HYPERLINK("http://catalog.hathitrust.org/Record/009707133")</f>
        <v>http://catalog.hathitrust.org/Record/009707133</v>
      </c>
      <c r="J7200" s="1">
        <v>1809</v>
      </c>
      <c r="K7200" t="s">
        <v>2948</v>
      </c>
      <c r="L7200" t="s">
        <v>20043</v>
      </c>
    </row>
    <row r="7201" spans="1:12">
      <c r="A7201" t="s">
        <v>2950</v>
      </c>
      <c r="B7201" s="1" t="s">
        <v>3032</v>
      </c>
      <c r="F7201">
        <v>1</v>
      </c>
      <c r="G7201" t="str">
        <f>HYPERLINK("http://babel.hathitrust.org/cgi/pt?id=hvd.32044038404109")</f>
        <v>http://babel.hathitrust.org/cgi/pt?id=hvd.32044038404109</v>
      </c>
      <c r="H7201" t="str">
        <f>HYPERLINK("http://catalog.hathitrust.org/Record/009707133")</f>
        <v>http://catalog.hathitrust.org/Record/009707133</v>
      </c>
      <c r="J7201" s="1">
        <v>1809</v>
      </c>
      <c r="K7201" t="s">
        <v>2948</v>
      </c>
      <c r="L7201" t="s">
        <v>20043</v>
      </c>
    </row>
    <row r="7202" spans="1:12">
      <c r="A7202" t="s">
        <v>2951</v>
      </c>
      <c r="B7202" s="1" t="s">
        <v>2952</v>
      </c>
      <c r="D7202">
        <v>1</v>
      </c>
      <c r="G7202" t="str">
        <f>HYPERLINK("http://babel.hathitrust.org/cgi/pt?id=hvd.hxjgci")</f>
        <v>http://babel.hathitrust.org/cgi/pt?id=hvd.hxjgci</v>
      </c>
      <c r="H7202" t="str">
        <f>HYPERLINK("http://catalog.hathitrust.org/Record/009707381")</f>
        <v>http://catalog.hathitrust.org/Record/009707381</v>
      </c>
      <c r="I7202" s="1" t="s">
        <v>20916</v>
      </c>
      <c r="J7202" s="1">
        <v>1820</v>
      </c>
      <c r="K7202" t="s">
        <v>19693</v>
      </c>
      <c r="L7202" t="s">
        <v>19694</v>
      </c>
    </row>
    <row r="7203" spans="1:12">
      <c r="A7203" t="s">
        <v>2953</v>
      </c>
      <c r="B7203" s="1" t="s">
        <v>2952</v>
      </c>
      <c r="D7203">
        <v>1</v>
      </c>
      <c r="G7203" t="str">
        <f>HYPERLINK("http://babel.hathitrust.org/cgi/pt?id=hvd.hxjgcj")</f>
        <v>http://babel.hathitrust.org/cgi/pt?id=hvd.hxjgcj</v>
      </c>
      <c r="H7203" t="str">
        <f>HYPERLINK("http://catalog.hathitrust.org/Record/009707381")</f>
        <v>http://catalog.hathitrust.org/Record/009707381</v>
      </c>
      <c r="I7203" s="1" t="s">
        <v>20755</v>
      </c>
      <c r="J7203" s="1">
        <v>1820</v>
      </c>
      <c r="K7203" t="s">
        <v>19693</v>
      </c>
      <c r="L7203" t="s">
        <v>19694</v>
      </c>
    </row>
    <row r="7204" spans="1:12">
      <c r="A7204" t="s">
        <v>2954</v>
      </c>
      <c r="B7204" s="1" t="s">
        <v>2952</v>
      </c>
      <c r="D7204">
        <v>1</v>
      </c>
      <c r="G7204" t="str">
        <f>HYPERLINK("http://babel.hathitrust.org/cgi/pt?id=hvd.hxjgck")</f>
        <v>http://babel.hathitrust.org/cgi/pt?id=hvd.hxjgck</v>
      </c>
      <c r="H7204" t="str">
        <f>HYPERLINK("http://catalog.hathitrust.org/Record/009707381")</f>
        <v>http://catalog.hathitrust.org/Record/009707381</v>
      </c>
      <c r="I7204" s="1" t="s">
        <v>20920</v>
      </c>
      <c r="J7204" s="1">
        <v>1820</v>
      </c>
      <c r="K7204" t="s">
        <v>19693</v>
      </c>
      <c r="L7204" t="s">
        <v>19694</v>
      </c>
    </row>
    <row r="7205" spans="1:12">
      <c r="A7205" t="s">
        <v>2955</v>
      </c>
      <c r="B7205" s="1" t="s">
        <v>2956</v>
      </c>
      <c r="F7205">
        <v>1</v>
      </c>
      <c r="G7205" t="str">
        <f>HYPERLINK("http://babel.hathitrust.org/cgi/pt?id=hvd.32044102787207")</f>
        <v>http://babel.hathitrust.org/cgi/pt?id=hvd.32044102787207</v>
      </c>
      <c r="H7205" t="str">
        <f>HYPERLINK("http://catalog.hathitrust.org/Record/009707423")</f>
        <v>http://catalog.hathitrust.org/Record/009707423</v>
      </c>
      <c r="J7205" s="1">
        <v>1801</v>
      </c>
      <c r="K7205" t="s">
        <v>2957</v>
      </c>
      <c r="L7205" t="s">
        <v>2958</v>
      </c>
    </row>
    <row r="7206" spans="1:12">
      <c r="A7206" t="s">
        <v>2959</v>
      </c>
      <c r="B7206" s="1" t="s">
        <v>2956</v>
      </c>
      <c r="F7206">
        <v>1</v>
      </c>
      <c r="G7206" t="str">
        <f>HYPERLINK("http://babel.hathitrust.org/cgi/pt?id=hvd.32044102787215")</f>
        <v>http://babel.hathitrust.org/cgi/pt?id=hvd.32044102787215</v>
      </c>
      <c r="H7206" t="str">
        <f>HYPERLINK("http://catalog.hathitrust.org/Record/009707423")</f>
        <v>http://catalog.hathitrust.org/Record/009707423</v>
      </c>
      <c r="J7206" s="1">
        <v>1801</v>
      </c>
      <c r="K7206" t="s">
        <v>2957</v>
      </c>
      <c r="L7206" t="s">
        <v>2958</v>
      </c>
    </row>
    <row r="7207" spans="1:12">
      <c r="A7207" t="s">
        <v>2960</v>
      </c>
      <c r="B7207" s="1" t="s">
        <v>2961</v>
      </c>
      <c r="D7207">
        <v>1</v>
      </c>
      <c r="G7207" t="str">
        <f>HYPERLINK("http://babel.hathitrust.org/cgi/pt?id=hvd.hwjlql")</f>
        <v>http://babel.hathitrust.org/cgi/pt?id=hvd.hwjlql</v>
      </c>
      <c r="H7207" t="str">
        <f>HYPERLINK("http://catalog.hathitrust.org/Record/009707495")</f>
        <v>http://catalog.hathitrust.org/Record/009707495</v>
      </c>
      <c r="J7207" s="1">
        <v>1821</v>
      </c>
      <c r="K7207" t="s">
        <v>2962</v>
      </c>
      <c r="L7207" t="s">
        <v>8633</v>
      </c>
    </row>
    <row r="7208" spans="1:12">
      <c r="A7208" t="s">
        <v>2963</v>
      </c>
      <c r="B7208" s="1" t="s">
        <v>2964</v>
      </c>
      <c r="D7208">
        <v>1</v>
      </c>
      <c r="G7208" t="str">
        <f>HYPERLINK("http://babel.hathitrust.org/cgi/pt?id=hvd.hnjin7")</f>
        <v>http://babel.hathitrust.org/cgi/pt?id=hvd.hnjin7</v>
      </c>
      <c r="H7208" t="str">
        <f>HYPERLINK("http://catalog.hathitrust.org/Record/009707566")</f>
        <v>http://catalog.hathitrust.org/Record/009707566</v>
      </c>
      <c r="J7208" s="1">
        <v>1816</v>
      </c>
      <c r="K7208" t="s">
        <v>2965</v>
      </c>
      <c r="L7208" t="s">
        <v>7860</v>
      </c>
    </row>
    <row r="7209" spans="1:12">
      <c r="A7209" t="s">
        <v>2966</v>
      </c>
      <c r="B7209" s="1" t="s">
        <v>2967</v>
      </c>
      <c r="E7209">
        <v>1</v>
      </c>
      <c r="F7209">
        <v>1</v>
      </c>
      <c r="G7209" t="str">
        <f>HYPERLINK("http://babel.hathitrust.org/cgi/pt?id=hvd.hxg8hz")</f>
        <v>http://babel.hathitrust.org/cgi/pt?id=hvd.hxg8hz</v>
      </c>
      <c r="H7209" t="str">
        <f>HYPERLINK("http://catalog.hathitrust.org/Record/009707567")</f>
        <v>http://catalog.hathitrust.org/Record/009707567</v>
      </c>
      <c r="J7209" s="1">
        <v>1816</v>
      </c>
      <c r="K7209" t="s">
        <v>2968</v>
      </c>
      <c r="L7209" t="s">
        <v>7860</v>
      </c>
    </row>
    <row r="7210" spans="1:12">
      <c r="A7210" t="s">
        <v>2969</v>
      </c>
      <c r="B7210" s="1" t="s">
        <v>2970</v>
      </c>
      <c r="E7210">
        <v>1</v>
      </c>
      <c r="F7210">
        <v>1</v>
      </c>
      <c r="G7210" t="str">
        <f>HYPERLINK("http://babel.hathitrust.org/cgi/pt?id=hvd.hn5zcb")</f>
        <v>http://babel.hathitrust.org/cgi/pt?id=hvd.hn5zcb</v>
      </c>
      <c r="H7210" t="str">
        <f>HYPERLINK("http://catalog.hathitrust.org/Record/009708041")</f>
        <v>http://catalog.hathitrust.org/Record/009708041</v>
      </c>
      <c r="J7210" s="1">
        <v>1819</v>
      </c>
      <c r="K7210" t="s">
        <v>8061</v>
      </c>
      <c r="L7210" t="s">
        <v>20297</v>
      </c>
    </row>
    <row r="7211" spans="1:12">
      <c r="A7211" t="s">
        <v>2971</v>
      </c>
      <c r="B7211" s="1" t="s">
        <v>2972</v>
      </c>
      <c r="F7211">
        <v>1</v>
      </c>
      <c r="G7211" t="str">
        <f>HYPERLINK("http://babel.hathitrust.org/cgi/pt?id=hvd.32044102845880")</f>
        <v>http://babel.hathitrust.org/cgi/pt?id=hvd.32044102845880</v>
      </c>
      <c r="H7211" t="str">
        <f>HYPERLINK("http://catalog.hathitrust.org/Record/009708156")</f>
        <v>http://catalog.hathitrust.org/Record/009708156</v>
      </c>
      <c r="J7211" s="1">
        <v>1818</v>
      </c>
      <c r="K7211" t="s">
        <v>2973</v>
      </c>
      <c r="L7211" t="s">
        <v>19694</v>
      </c>
    </row>
    <row r="7212" spans="1:12">
      <c r="A7212" t="s">
        <v>2974</v>
      </c>
      <c r="B7212" s="1" t="s">
        <v>2975</v>
      </c>
      <c r="D7212">
        <v>1</v>
      </c>
      <c r="G7212" t="str">
        <f>HYPERLINK("http://babel.hathitrust.org/cgi/pt?id=hvd.hxkch7")</f>
        <v>http://babel.hathitrust.org/cgi/pt?id=hvd.hxkch7</v>
      </c>
      <c r="H7212" t="str">
        <f>HYPERLINK("http://catalog.hathitrust.org/Record/009708188")</f>
        <v>http://catalog.hathitrust.org/Record/009708188</v>
      </c>
      <c r="I7212" s="1" t="s">
        <v>19820</v>
      </c>
      <c r="J7212" s="1">
        <v>1783</v>
      </c>
      <c r="K7212" t="s">
        <v>2976</v>
      </c>
      <c r="L7212" t="s">
        <v>20086</v>
      </c>
    </row>
    <row r="7213" spans="1:12">
      <c r="A7213" t="s">
        <v>2977</v>
      </c>
      <c r="B7213" s="1" t="s">
        <v>2978</v>
      </c>
      <c r="D7213">
        <v>1</v>
      </c>
      <c r="G7213" t="str">
        <f>HYPERLINK("http://babel.hathitrust.org/cgi/pt?id=hvd.hxkcgf")</f>
        <v>http://babel.hathitrust.org/cgi/pt?id=hvd.hxkcgf</v>
      </c>
      <c r="H7213" t="str">
        <f>HYPERLINK("http://catalog.hathitrust.org/Record/009708190")</f>
        <v>http://catalog.hathitrust.org/Record/009708190</v>
      </c>
      <c r="J7213" s="1">
        <v>1797</v>
      </c>
      <c r="K7213" t="s">
        <v>7634</v>
      </c>
      <c r="L7213" t="s">
        <v>20086</v>
      </c>
    </row>
    <row r="7214" spans="1:12">
      <c r="A7214" t="s">
        <v>2979</v>
      </c>
      <c r="B7214" s="1" t="s">
        <v>2980</v>
      </c>
      <c r="D7214">
        <v>1</v>
      </c>
      <c r="G7214" t="str">
        <f>HYPERLINK("http://babel.hathitrust.org/cgi/pt?id=hvd.hxkcgr")</f>
        <v>http://babel.hathitrust.org/cgi/pt?id=hvd.hxkcgr</v>
      </c>
      <c r="H7214" t="str">
        <f>HYPERLINK("http://catalog.hathitrust.org/Record/009708194")</f>
        <v>http://catalog.hathitrust.org/Record/009708194</v>
      </c>
      <c r="J7214" s="1">
        <v>1812</v>
      </c>
      <c r="K7214" t="s">
        <v>2981</v>
      </c>
      <c r="L7214" t="s">
        <v>20086</v>
      </c>
    </row>
    <row r="7215" spans="1:12">
      <c r="A7215" t="s">
        <v>2982</v>
      </c>
      <c r="B7215" s="1" t="s">
        <v>2983</v>
      </c>
      <c r="F7215">
        <v>1</v>
      </c>
      <c r="G7215" t="str">
        <f>HYPERLINK("http://babel.hathitrust.org/cgi/pt?id=hvd.hxjf7c")</f>
        <v>http://babel.hathitrust.org/cgi/pt?id=hvd.hxjf7c</v>
      </c>
      <c r="H7215" t="str">
        <f>HYPERLINK("http://catalog.hathitrust.org/Record/009708320")</f>
        <v>http://catalog.hathitrust.org/Record/009708320</v>
      </c>
      <c r="I7215" s="1" t="s">
        <v>2985</v>
      </c>
      <c r="J7215" s="1">
        <v>1800</v>
      </c>
      <c r="K7215" t="s">
        <v>2984</v>
      </c>
      <c r="L7215" t="s">
        <v>2986</v>
      </c>
    </row>
    <row r="7216" spans="1:12">
      <c r="A7216" t="s">
        <v>2987</v>
      </c>
      <c r="B7216" s="1" t="s">
        <v>2983</v>
      </c>
      <c r="F7216">
        <v>1</v>
      </c>
      <c r="G7216" t="str">
        <f>HYPERLINK("http://babel.hathitrust.org/cgi/pt?id=hvd.hxjf7d")</f>
        <v>http://babel.hathitrust.org/cgi/pt?id=hvd.hxjf7d</v>
      </c>
      <c r="H7216" t="str">
        <f>HYPERLINK("http://catalog.hathitrust.org/Record/009708320")</f>
        <v>http://catalog.hathitrust.org/Record/009708320</v>
      </c>
      <c r="I7216" s="1" t="s">
        <v>2988</v>
      </c>
      <c r="J7216" s="1">
        <v>1800</v>
      </c>
      <c r="K7216" t="s">
        <v>2984</v>
      </c>
      <c r="L7216" t="s">
        <v>2986</v>
      </c>
    </row>
    <row r="7217" spans="1:12">
      <c r="A7217" t="s">
        <v>2989</v>
      </c>
      <c r="B7217" s="1" t="s">
        <v>2990</v>
      </c>
      <c r="F7217">
        <v>1</v>
      </c>
      <c r="G7217" t="str">
        <f>HYPERLINK("http://babel.hathitrust.org/cgi/pt?id=hvd.32044097056733")</f>
        <v>http://babel.hathitrust.org/cgi/pt?id=hvd.32044097056733</v>
      </c>
      <c r="H7217" t="str">
        <f>HYPERLINK("http://catalog.hathitrust.org/Record/009708580")</f>
        <v>http://catalog.hathitrust.org/Record/009708580</v>
      </c>
      <c r="J7217" s="1">
        <v>1819</v>
      </c>
      <c r="K7217" t="s">
        <v>2929</v>
      </c>
      <c r="L7217" t="s">
        <v>20043</v>
      </c>
    </row>
    <row r="7218" spans="1:12">
      <c r="A7218" t="s">
        <v>2930</v>
      </c>
      <c r="B7218" s="1" t="s">
        <v>2931</v>
      </c>
      <c r="D7218">
        <v>1</v>
      </c>
      <c r="G7218" t="str">
        <f>HYPERLINK("http://babel.hathitrust.org/cgi/pt?id=hvd.32044097056717")</f>
        <v>http://babel.hathitrust.org/cgi/pt?id=hvd.32044097056717</v>
      </c>
      <c r="H7218" t="str">
        <f>HYPERLINK("http://catalog.hathitrust.org/Record/009708585")</f>
        <v>http://catalog.hathitrust.org/Record/009708585</v>
      </c>
      <c r="J7218" s="1">
        <v>1818</v>
      </c>
      <c r="K7218" t="s">
        <v>2932</v>
      </c>
      <c r="L7218" t="s">
        <v>20043</v>
      </c>
    </row>
    <row r="7219" spans="1:12">
      <c r="A7219" t="s">
        <v>2933</v>
      </c>
      <c r="B7219" s="1" t="s">
        <v>2934</v>
      </c>
      <c r="D7219">
        <v>1</v>
      </c>
      <c r="G7219" t="str">
        <f>HYPERLINK("http://babel.hathitrust.org/cgi/pt?id=hvd.32044097056709")</f>
        <v>http://babel.hathitrust.org/cgi/pt?id=hvd.32044097056709</v>
      </c>
      <c r="H7219" t="str">
        <f>HYPERLINK("http://catalog.hathitrust.org/Record/009708586")</f>
        <v>http://catalog.hathitrust.org/Record/009708586</v>
      </c>
      <c r="J7219" s="1">
        <v>1817</v>
      </c>
      <c r="K7219" t="s">
        <v>2929</v>
      </c>
      <c r="L7219" t="s">
        <v>20043</v>
      </c>
    </row>
    <row r="7220" spans="1:12">
      <c r="A7220" t="s">
        <v>2935</v>
      </c>
      <c r="B7220" s="1" t="s">
        <v>2936</v>
      </c>
      <c r="D7220">
        <v>1</v>
      </c>
      <c r="G7220" t="str">
        <f>HYPERLINK("http://babel.hathitrust.org/cgi/pt?id=hvd.hwsiep")</f>
        <v>http://babel.hathitrust.org/cgi/pt?id=hvd.hwsiep</v>
      </c>
      <c r="H7220" t="str">
        <f>HYPERLINK("http://catalog.hathitrust.org/Record/009708590")</f>
        <v>http://catalog.hathitrust.org/Record/009708590</v>
      </c>
      <c r="J7220" s="1">
        <v>1806</v>
      </c>
      <c r="K7220" t="s">
        <v>2937</v>
      </c>
      <c r="L7220" t="s">
        <v>20086</v>
      </c>
    </row>
    <row r="7221" spans="1:12">
      <c r="A7221" t="s">
        <v>2938</v>
      </c>
      <c r="B7221" s="1" t="s">
        <v>2939</v>
      </c>
      <c r="F7221">
        <v>1</v>
      </c>
      <c r="G7221" t="str">
        <f>HYPERLINK("http://babel.hathitrust.org/cgi/pt?id=hvd.32044097056642")</f>
        <v>http://babel.hathitrust.org/cgi/pt?id=hvd.32044097056642</v>
      </c>
      <c r="H7221" t="str">
        <f>HYPERLINK("http://catalog.hathitrust.org/Record/009708847")</f>
        <v>http://catalog.hathitrust.org/Record/009708847</v>
      </c>
      <c r="J7221" s="1">
        <v>1814</v>
      </c>
      <c r="K7221" t="s">
        <v>2940</v>
      </c>
      <c r="L7221" t="s">
        <v>2941</v>
      </c>
    </row>
    <row r="7222" spans="1:12">
      <c r="A7222" t="s">
        <v>2942</v>
      </c>
      <c r="B7222" s="1" t="s">
        <v>2943</v>
      </c>
      <c r="F7222">
        <v>1</v>
      </c>
      <c r="G7222" t="str">
        <f>HYPERLINK("http://babel.hathitrust.org/cgi/pt?id=hvd.32044097056527")</f>
        <v>http://babel.hathitrust.org/cgi/pt?id=hvd.32044097056527</v>
      </c>
      <c r="H7222" t="str">
        <f>HYPERLINK("http://catalog.hathitrust.org/Record/009708970")</f>
        <v>http://catalog.hathitrust.org/Record/009708970</v>
      </c>
      <c r="J7222" s="1">
        <v>1803</v>
      </c>
      <c r="K7222" t="s">
        <v>2944</v>
      </c>
      <c r="L7222" t="s">
        <v>2945</v>
      </c>
    </row>
    <row r="7223" spans="1:12">
      <c r="A7223" t="s">
        <v>2946</v>
      </c>
      <c r="B7223" s="1" t="s">
        <v>2947</v>
      </c>
      <c r="F7223">
        <v>1</v>
      </c>
      <c r="G7223" t="str">
        <f>HYPERLINK("http://babel.hathitrust.org/cgi/pt?id=hvd.hn2ghn")</f>
        <v>http://babel.hathitrust.org/cgi/pt?id=hvd.hn2ghn</v>
      </c>
      <c r="H7223" t="str">
        <f>HYPERLINK("http://catalog.hathitrust.org/Record/009709197")</f>
        <v>http://catalog.hathitrust.org/Record/009709197</v>
      </c>
      <c r="J7223" s="1">
        <v>1796</v>
      </c>
      <c r="K7223" t="s">
        <v>2897</v>
      </c>
    </row>
    <row r="7224" spans="1:12">
      <c r="A7224" t="s">
        <v>2898</v>
      </c>
      <c r="B7224" s="1" t="s">
        <v>2899</v>
      </c>
      <c r="F7224">
        <v>1</v>
      </c>
      <c r="G7224" t="str">
        <f>HYPERLINK("http://babel.hathitrust.org/cgi/pt?id=hvd.hxjgch")</f>
        <v>http://babel.hathitrust.org/cgi/pt?id=hvd.hxjgch</v>
      </c>
      <c r="H7224" t="str">
        <f>HYPERLINK("http://catalog.hathitrust.org/Record/009709201")</f>
        <v>http://catalog.hathitrust.org/Record/009709201</v>
      </c>
      <c r="J7224" s="1">
        <v>1759</v>
      </c>
      <c r="K7224" t="s">
        <v>2900</v>
      </c>
      <c r="L7224" t="s">
        <v>19518</v>
      </c>
    </row>
    <row r="7225" spans="1:12">
      <c r="A7225" t="s">
        <v>2901</v>
      </c>
      <c r="B7225" s="1" t="s">
        <v>2902</v>
      </c>
      <c r="F7225">
        <v>1</v>
      </c>
      <c r="G7225" t="str">
        <f>HYPERLINK("http://babel.hathitrust.org/cgi/pt?id=hvd.32044086912813")</f>
        <v>http://babel.hathitrust.org/cgi/pt?id=hvd.32044086912813</v>
      </c>
      <c r="H7225" t="str">
        <f>HYPERLINK("http://catalog.hathitrust.org/Record/009709403")</f>
        <v>http://catalog.hathitrust.org/Record/009709403</v>
      </c>
      <c r="J7225" s="1">
        <v>1818</v>
      </c>
      <c r="K7225" t="s">
        <v>2903</v>
      </c>
      <c r="L7225" t="s">
        <v>2904</v>
      </c>
    </row>
    <row r="7226" spans="1:12">
      <c r="A7226" t="s">
        <v>2905</v>
      </c>
      <c r="B7226" s="1" t="s">
        <v>2906</v>
      </c>
      <c r="D7226">
        <v>1</v>
      </c>
      <c r="G7226" t="str">
        <f>HYPERLINK("http://babel.hathitrust.org/cgi/pt?id=hvd.hxq4fb")</f>
        <v>http://babel.hathitrust.org/cgi/pt?id=hvd.hxq4fb</v>
      </c>
      <c r="H7226" t="str">
        <f>HYPERLINK("http://catalog.hathitrust.org/Record/009709964")</f>
        <v>http://catalog.hathitrust.org/Record/009709964</v>
      </c>
      <c r="I7226" s="1" t="s">
        <v>21018</v>
      </c>
      <c r="J7226" s="1">
        <v>1809</v>
      </c>
      <c r="K7226" t="s">
        <v>2907</v>
      </c>
      <c r="L7226" t="s">
        <v>20275</v>
      </c>
    </row>
    <row r="7227" spans="1:12">
      <c r="A7227" t="s">
        <v>2908</v>
      </c>
      <c r="B7227" s="1" t="s">
        <v>2909</v>
      </c>
      <c r="F7227">
        <v>1</v>
      </c>
      <c r="G7227" t="str">
        <f>HYPERLINK("http://babel.hathitrust.org/cgi/pt?id=hvd.hn38jl")</f>
        <v>http://babel.hathitrust.org/cgi/pt?id=hvd.hn38jl</v>
      </c>
      <c r="H7227" t="str">
        <f>HYPERLINK("http://catalog.hathitrust.org/Record/009711478")</f>
        <v>http://catalog.hathitrust.org/Record/009711478</v>
      </c>
      <c r="J7227" s="1">
        <v>1821</v>
      </c>
      <c r="K7227" t="s">
        <v>2910</v>
      </c>
      <c r="L7227" t="s">
        <v>2911</v>
      </c>
    </row>
    <row r="7228" spans="1:12">
      <c r="A7228" t="s">
        <v>2912</v>
      </c>
      <c r="B7228" s="1" t="s">
        <v>2913</v>
      </c>
      <c r="C7228">
        <v>1</v>
      </c>
      <c r="G7228" t="str">
        <f>HYPERLINK("http://babel.hathitrust.org/cgi/pt?id=hvd.hn1ky1")</f>
        <v>http://babel.hathitrust.org/cgi/pt?id=hvd.hn1ky1</v>
      </c>
      <c r="H7228" t="str">
        <f>HYPERLINK("http://catalog.hathitrust.org/Record/009711520")</f>
        <v>http://catalog.hathitrust.org/Record/009711520</v>
      </c>
      <c r="J7228" s="1">
        <v>1799</v>
      </c>
      <c r="K7228" t="s">
        <v>2914</v>
      </c>
      <c r="L7228" t="s">
        <v>20312</v>
      </c>
    </row>
    <row r="7229" spans="1:12">
      <c r="A7229" t="s">
        <v>2915</v>
      </c>
      <c r="B7229" s="1" t="s">
        <v>2916</v>
      </c>
      <c r="D7229">
        <v>1</v>
      </c>
      <c r="G7229" t="str">
        <f>HYPERLINK("http://babel.hathitrust.org/cgi/pt?id=hvd.hxjhxp")</f>
        <v>http://babel.hathitrust.org/cgi/pt?id=hvd.hxjhxp</v>
      </c>
      <c r="H7229" t="str">
        <f>HYPERLINK("http://catalog.hathitrust.org/Record/009712174")</f>
        <v>http://catalog.hathitrust.org/Record/009712174</v>
      </c>
      <c r="J7229" s="1">
        <v>1806</v>
      </c>
      <c r="K7229" t="s">
        <v>2917</v>
      </c>
      <c r="L7229" t="s">
        <v>6864</v>
      </c>
    </row>
    <row r="7230" spans="1:12">
      <c r="A7230" t="s">
        <v>2918</v>
      </c>
      <c r="B7230" s="1" t="s">
        <v>2919</v>
      </c>
      <c r="E7230">
        <v>1</v>
      </c>
      <c r="G7230" t="str">
        <f>HYPERLINK("http://babel.hathitrust.org/cgi/pt?id=hvd.hn5ih4")</f>
        <v>http://babel.hathitrust.org/cgi/pt?id=hvd.hn5ih4</v>
      </c>
      <c r="H7230" t="str">
        <f>HYPERLINK("http://catalog.hathitrust.org/Record/009715028")</f>
        <v>http://catalog.hathitrust.org/Record/009715028</v>
      </c>
      <c r="J7230" s="1">
        <v>1806</v>
      </c>
      <c r="K7230" t="s">
        <v>2920</v>
      </c>
      <c r="L7230" t="s">
        <v>20960</v>
      </c>
    </row>
    <row r="7231" spans="1:12">
      <c r="A7231" t="s">
        <v>2921</v>
      </c>
      <c r="B7231" s="1" t="s">
        <v>2922</v>
      </c>
      <c r="E7231">
        <v>1</v>
      </c>
      <c r="F7231">
        <v>1</v>
      </c>
      <c r="G7231" t="str">
        <f>HYPERLINK("http://babel.hathitrust.org/cgi/pt?id=hvd.hw22iv")</f>
        <v>http://babel.hathitrust.org/cgi/pt?id=hvd.hw22iv</v>
      </c>
      <c r="H7231" t="str">
        <f>HYPERLINK("http://catalog.hathitrust.org/Record/009715029")</f>
        <v>http://catalog.hathitrust.org/Record/009715029</v>
      </c>
      <c r="J7231" s="1">
        <v>1809</v>
      </c>
      <c r="K7231" t="s">
        <v>2923</v>
      </c>
      <c r="L7231" t="s">
        <v>20960</v>
      </c>
    </row>
    <row r="7232" spans="1:12">
      <c r="A7232" t="s">
        <v>2924</v>
      </c>
      <c r="B7232" s="1" t="s">
        <v>2925</v>
      </c>
      <c r="E7232">
        <v>1</v>
      </c>
      <c r="G7232" t="str">
        <f>HYPERLINK("http://babel.hathitrust.org/cgi/pt?id=hvd.hwp1hq")</f>
        <v>http://babel.hathitrust.org/cgi/pt?id=hvd.hwp1hq</v>
      </c>
      <c r="H7232" t="str">
        <f>HYPERLINK("http://catalog.hathitrust.org/Record/009716615")</f>
        <v>http://catalog.hathitrust.org/Record/009716615</v>
      </c>
      <c r="J7232" s="1">
        <v>1831</v>
      </c>
      <c r="K7232" t="s">
        <v>2926</v>
      </c>
      <c r="L7232" t="s">
        <v>13226</v>
      </c>
    </row>
    <row r="7233" spans="1:12">
      <c r="A7233" t="s">
        <v>2927</v>
      </c>
      <c r="B7233" s="1" t="s">
        <v>2928</v>
      </c>
      <c r="F7233">
        <v>1</v>
      </c>
      <c r="G7233" t="str">
        <f>HYPERLINK("http://babel.hathitrust.org/cgi/pt?id=hvd.32044077947968")</f>
        <v>http://babel.hathitrust.org/cgi/pt?id=hvd.32044077947968</v>
      </c>
      <c r="H7233" t="str">
        <f>HYPERLINK("http://catalog.hathitrust.org/Record/009716716")</f>
        <v>http://catalog.hathitrust.org/Record/009716716</v>
      </c>
      <c r="J7233" s="1">
        <v>1823</v>
      </c>
      <c r="K7233" t="s">
        <v>2858</v>
      </c>
      <c r="L7233" t="s">
        <v>19375</v>
      </c>
    </row>
    <row r="7234" spans="1:12">
      <c r="A7234" t="s">
        <v>2859</v>
      </c>
      <c r="B7234" s="1" t="s">
        <v>2928</v>
      </c>
      <c r="F7234">
        <v>1</v>
      </c>
      <c r="G7234" t="str">
        <f>HYPERLINK("http://babel.hathitrust.org/cgi/pt?id=hvd.32044085096584")</f>
        <v>http://babel.hathitrust.org/cgi/pt?id=hvd.32044085096584</v>
      </c>
      <c r="H7234" t="str">
        <f>HYPERLINK("http://catalog.hathitrust.org/Record/009716716")</f>
        <v>http://catalog.hathitrust.org/Record/009716716</v>
      </c>
      <c r="J7234" s="1">
        <v>1823</v>
      </c>
      <c r="K7234" t="s">
        <v>2858</v>
      </c>
      <c r="L7234" t="s">
        <v>19375</v>
      </c>
    </row>
    <row r="7235" spans="1:12">
      <c r="A7235" t="s">
        <v>2860</v>
      </c>
      <c r="B7235" s="1" t="s">
        <v>2861</v>
      </c>
      <c r="F7235">
        <v>1</v>
      </c>
      <c r="G7235" t="str">
        <f>HYPERLINK("http://babel.hathitrust.org/cgi/pt?id=hvd.hwjlqw")</f>
        <v>http://babel.hathitrust.org/cgi/pt?id=hvd.hwjlqw</v>
      </c>
      <c r="H7235" t="str">
        <f>HYPERLINK("http://catalog.hathitrust.org/Record/009716844")</f>
        <v>http://catalog.hathitrust.org/Record/009716844</v>
      </c>
      <c r="J7235" s="1">
        <v>1824</v>
      </c>
      <c r="K7235" t="s">
        <v>2862</v>
      </c>
      <c r="L7235" t="s">
        <v>12679</v>
      </c>
    </row>
    <row r="7236" spans="1:12">
      <c r="A7236" t="s">
        <v>2863</v>
      </c>
      <c r="B7236" s="1" t="s">
        <v>2864</v>
      </c>
      <c r="F7236">
        <v>1</v>
      </c>
      <c r="G7236" t="str">
        <f>HYPERLINK("http://babel.hathitrust.org/cgi/pt?id=hvd.32044097075451")</f>
        <v>http://babel.hathitrust.org/cgi/pt?id=hvd.32044097075451</v>
      </c>
      <c r="H7236" t="str">
        <f>HYPERLINK("http://catalog.hathitrust.org/Record/009717733")</f>
        <v>http://catalog.hathitrust.org/Record/009717733</v>
      </c>
      <c r="J7236" s="1">
        <v>1832</v>
      </c>
      <c r="K7236" t="s">
        <v>2865</v>
      </c>
      <c r="L7236" t="s">
        <v>20043</v>
      </c>
    </row>
    <row r="7237" spans="1:12">
      <c r="A7237" t="s">
        <v>2866</v>
      </c>
      <c r="B7237" s="1" t="s">
        <v>2867</v>
      </c>
      <c r="F7237">
        <v>1</v>
      </c>
      <c r="G7237" t="str">
        <f>HYPERLINK("http://babel.hathitrust.org/cgi/pt?id=hvd.hwjlqy")</f>
        <v>http://babel.hathitrust.org/cgi/pt?id=hvd.hwjlqy</v>
      </c>
      <c r="H7237" t="str">
        <f>HYPERLINK("http://catalog.hathitrust.org/Record/009718029")</f>
        <v>http://catalog.hathitrust.org/Record/009718029</v>
      </c>
      <c r="J7237" s="1">
        <v>1826</v>
      </c>
      <c r="K7237" t="s">
        <v>2868</v>
      </c>
      <c r="L7237" t="s">
        <v>2869</v>
      </c>
    </row>
    <row r="7238" spans="1:12">
      <c r="A7238" t="s">
        <v>2870</v>
      </c>
      <c r="B7238" s="1" t="s">
        <v>2871</v>
      </c>
      <c r="D7238">
        <v>1</v>
      </c>
      <c r="G7238" t="str">
        <f>HYPERLINK("http://babel.hathitrust.org/cgi/pt?id=hvd.hwhiq8")</f>
        <v>http://babel.hathitrust.org/cgi/pt?id=hvd.hwhiq8</v>
      </c>
      <c r="H7238" t="str">
        <f>HYPERLINK("http://catalog.hathitrust.org/Record/009718125")</f>
        <v>http://catalog.hathitrust.org/Record/009718125</v>
      </c>
      <c r="J7238" s="1">
        <v>1824</v>
      </c>
      <c r="K7238" t="s">
        <v>7342</v>
      </c>
      <c r="L7238" t="s">
        <v>19694</v>
      </c>
    </row>
    <row r="7239" spans="1:12">
      <c r="A7239" t="s">
        <v>2872</v>
      </c>
      <c r="B7239" s="1" t="s">
        <v>2873</v>
      </c>
      <c r="F7239">
        <v>1</v>
      </c>
      <c r="G7239" t="str">
        <f>HYPERLINK("http://babel.hathitrust.org/cgi/pt?id=hvd.hn66qy")</f>
        <v>http://babel.hathitrust.org/cgi/pt?id=hvd.hn66qy</v>
      </c>
      <c r="H7239" t="str">
        <f>HYPERLINK("http://catalog.hathitrust.org/Record/009718304")</f>
        <v>http://catalog.hathitrust.org/Record/009718304</v>
      </c>
      <c r="J7239" s="1">
        <v>1823</v>
      </c>
      <c r="K7239" t="s">
        <v>18409</v>
      </c>
      <c r="L7239" t="s">
        <v>18885</v>
      </c>
    </row>
    <row r="7240" spans="1:12">
      <c r="A7240" t="s">
        <v>2874</v>
      </c>
      <c r="B7240" s="1" t="s">
        <v>2873</v>
      </c>
      <c r="F7240">
        <v>1</v>
      </c>
      <c r="G7240" t="str">
        <f>HYPERLINK("http://babel.hathitrust.org/cgi/pt?id=hvd.hwhik5")</f>
        <v>http://babel.hathitrust.org/cgi/pt?id=hvd.hwhik5</v>
      </c>
      <c r="H7240" t="str">
        <f>HYPERLINK("http://catalog.hathitrust.org/Record/009718304")</f>
        <v>http://catalog.hathitrust.org/Record/009718304</v>
      </c>
      <c r="J7240" s="1">
        <v>1823</v>
      </c>
      <c r="K7240" t="s">
        <v>18409</v>
      </c>
      <c r="L7240" t="s">
        <v>18885</v>
      </c>
    </row>
    <row r="7241" spans="1:12">
      <c r="A7241" t="s">
        <v>2875</v>
      </c>
      <c r="B7241" s="1" t="s">
        <v>2876</v>
      </c>
      <c r="F7241">
        <v>1</v>
      </c>
      <c r="G7241" t="str">
        <f>HYPERLINK("http://babel.hathitrust.org/cgi/pt?id=hvd.32044086599156")</f>
        <v>http://babel.hathitrust.org/cgi/pt?id=hvd.32044086599156</v>
      </c>
      <c r="H7241" t="str">
        <f>HYPERLINK("http://catalog.hathitrust.org/Record/009718463")</f>
        <v>http://catalog.hathitrust.org/Record/009718463</v>
      </c>
      <c r="J7241" s="1">
        <v>1833</v>
      </c>
      <c r="K7241" t="s">
        <v>2877</v>
      </c>
      <c r="L7241" t="s">
        <v>2878</v>
      </c>
    </row>
    <row r="7242" spans="1:12">
      <c r="A7242" t="s">
        <v>2879</v>
      </c>
      <c r="B7242" s="1" t="s">
        <v>2876</v>
      </c>
      <c r="F7242">
        <v>1</v>
      </c>
      <c r="G7242" t="str">
        <f>HYPERLINK("http://babel.hathitrust.org/cgi/pt?id=hvd.32044102850997")</f>
        <v>http://babel.hathitrust.org/cgi/pt?id=hvd.32044102850997</v>
      </c>
      <c r="H7242" t="str">
        <f>HYPERLINK("http://catalog.hathitrust.org/Record/009718463")</f>
        <v>http://catalog.hathitrust.org/Record/009718463</v>
      </c>
      <c r="J7242" s="1">
        <v>1833</v>
      </c>
      <c r="K7242" t="s">
        <v>2877</v>
      </c>
      <c r="L7242" t="s">
        <v>2878</v>
      </c>
    </row>
    <row r="7243" spans="1:12">
      <c r="A7243" t="s">
        <v>2880</v>
      </c>
      <c r="B7243" s="1" t="s">
        <v>2881</v>
      </c>
      <c r="F7243">
        <v>1</v>
      </c>
      <c r="G7243" t="str">
        <f>HYPERLINK("http://babel.hathitrust.org/cgi/pt?id=hvd.32044097075444")</f>
        <v>http://babel.hathitrust.org/cgi/pt?id=hvd.32044097075444</v>
      </c>
      <c r="H7243" t="str">
        <f>HYPERLINK("http://catalog.hathitrust.org/Record/009719082")</f>
        <v>http://catalog.hathitrust.org/Record/009719082</v>
      </c>
      <c r="J7243" s="1">
        <v>1832</v>
      </c>
      <c r="K7243" t="s">
        <v>2882</v>
      </c>
      <c r="L7243" t="s">
        <v>15675</v>
      </c>
    </row>
    <row r="7244" spans="1:12">
      <c r="A7244" t="s">
        <v>2883</v>
      </c>
      <c r="B7244" s="1" t="s">
        <v>2884</v>
      </c>
      <c r="D7244">
        <v>1</v>
      </c>
      <c r="G7244" t="str">
        <f>HYPERLINK("http://babel.hathitrust.org/cgi/pt?id=hvd.32044102845815")</f>
        <v>http://babel.hathitrust.org/cgi/pt?id=hvd.32044102845815</v>
      </c>
      <c r="H7244" t="str">
        <f>HYPERLINK("http://catalog.hathitrust.org/Record/009719591")</f>
        <v>http://catalog.hathitrust.org/Record/009719591</v>
      </c>
      <c r="J7244" s="1">
        <v>1831</v>
      </c>
      <c r="K7244" t="s">
        <v>2885</v>
      </c>
      <c r="L7244" t="s">
        <v>19694</v>
      </c>
    </row>
    <row r="7245" spans="1:12">
      <c r="A7245" t="s">
        <v>2886</v>
      </c>
      <c r="B7245" s="1" t="s">
        <v>2887</v>
      </c>
      <c r="F7245">
        <v>1</v>
      </c>
      <c r="G7245" t="str">
        <f>HYPERLINK("http://babel.hathitrust.org/cgi/pt?id=hvd.hn1dl1")</f>
        <v>http://babel.hathitrust.org/cgi/pt?id=hvd.hn1dl1</v>
      </c>
      <c r="H7245" t="str">
        <f>HYPERLINK("http://catalog.hathitrust.org/Record/009719594")</f>
        <v>http://catalog.hathitrust.org/Record/009719594</v>
      </c>
      <c r="J7245" s="1">
        <v>1822</v>
      </c>
      <c r="K7245" t="s">
        <v>2888</v>
      </c>
      <c r="L7245" t="s">
        <v>19694</v>
      </c>
    </row>
    <row r="7246" spans="1:12">
      <c r="A7246" t="s">
        <v>2889</v>
      </c>
      <c r="B7246" s="1" t="s">
        <v>2890</v>
      </c>
      <c r="D7246">
        <v>1</v>
      </c>
      <c r="G7246" t="str">
        <f>HYPERLINK("http://babel.hathitrust.org/cgi/pt?id=hvd.hxjgc9")</f>
        <v>http://babel.hathitrust.org/cgi/pt?id=hvd.hxjgc9</v>
      </c>
      <c r="H7246" t="str">
        <f>HYPERLINK("http://catalog.hathitrust.org/Record/009719628")</f>
        <v>http://catalog.hathitrust.org/Record/009719628</v>
      </c>
      <c r="J7246" s="1">
        <v>1827</v>
      </c>
      <c r="K7246" t="s">
        <v>2891</v>
      </c>
      <c r="L7246" t="s">
        <v>20086</v>
      </c>
    </row>
    <row r="7247" spans="1:12">
      <c r="A7247" t="s">
        <v>2892</v>
      </c>
      <c r="B7247" s="1" t="s">
        <v>2893</v>
      </c>
      <c r="D7247">
        <v>1</v>
      </c>
      <c r="G7247" t="str">
        <f>HYPERLINK("http://babel.hathitrust.org/cgi/pt?id=hvd.hx5g8i")</f>
        <v>http://babel.hathitrust.org/cgi/pt?id=hvd.hx5g8i</v>
      </c>
      <c r="H7247" t="str">
        <f>HYPERLINK("http://catalog.hathitrust.org/Record/009719630")</f>
        <v>http://catalog.hathitrust.org/Record/009719630</v>
      </c>
      <c r="J7247" s="1">
        <v>1827</v>
      </c>
      <c r="K7247" t="s">
        <v>2894</v>
      </c>
      <c r="L7247" t="s">
        <v>20086</v>
      </c>
    </row>
    <row r="7248" spans="1:12">
      <c r="A7248" t="s">
        <v>2895</v>
      </c>
      <c r="B7248" s="1" t="s">
        <v>2896</v>
      </c>
      <c r="D7248">
        <v>1</v>
      </c>
      <c r="G7248" t="str">
        <f>HYPERLINK("http://babel.hathitrust.org/cgi/pt?id=hvd.hwkff5")</f>
        <v>http://babel.hathitrust.org/cgi/pt?id=hvd.hwkff5</v>
      </c>
      <c r="H7248" t="str">
        <f>HYPERLINK("http://catalog.hathitrust.org/Record/009719638")</f>
        <v>http://catalog.hathitrust.org/Record/009719638</v>
      </c>
      <c r="J7248" s="1">
        <v>1825</v>
      </c>
      <c r="K7248" t="s">
        <v>2824</v>
      </c>
      <c r="L7248" t="s">
        <v>20086</v>
      </c>
    </row>
    <row r="7249" spans="1:12">
      <c r="A7249" t="s">
        <v>2825</v>
      </c>
      <c r="B7249" s="1" t="s">
        <v>2826</v>
      </c>
      <c r="D7249">
        <v>1</v>
      </c>
      <c r="G7249" t="str">
        <f>HYPERLINK("http://babel.hathitrust.org/cgi/pt?id=hvd.hwkfeh")</f>
        <v>http://babel.hathitrust.org/cgi/pt?id=hvd.hwkfeh</v>
      </c>
      <c r="H7249" t="str">
        <f>HYPERLINK("http://catalog.hathitrust.org/Record/009719646")</f>
        <v>http://catalog.hathitrust.org/Record/009719646</v>
      </c>
      <c r="I7249" s="1" t="s">
        <v>20916</v>
      </c>
      <c r="J7249" s="1">
        <v>1822</v>
      </c>
      <c r="K7249" t="s">
        <v>2827</v>
      </c>
      <c r="L7249" t="s">
        <v>20086</v>
      </c>
    </row>
    <row r="7250" spans="1:12">
      <c r="A7250" t="s">
        <v>2828</v>
      </c>
      <c r="B7250" s="1" t="s">
        <v>2826</v>
      </c>
      <c r="D7250">
        <v>1</v>
      </c>
      <c r="G7250" t="str">
        <f>HYPERLINK("http://babel.hathitrust.org/cgi/pt?id=hvd.hwkff7")</f>
        <v>http://babel.hathitrust.org/cgi/pt?id=hvd.hwkff7</v>
      </c>
      <c r="H7250" t="str">
        <f>HYPERLINK("http://catalog.hathitrust.org/Record/009719646")</f>
        <v>http://catalog.hathitrust.org/Record/009719646</v>
      </c>
      <c r="I7250" s="1" t="s">
        <v>20755</v>
      </c>
      <c r="J7250" s="1">
        <v>1822</v>
      </c>
      <c r="K7250" t="s">
        <v>2827</v>
      </c>
      <c r="L7250" t="s">
        <v>20086</v>
      </c>
    </row>
    <row r="7251" spans="1:12">
      <c r="A7251" t="s">
        <v>2829</v>
      </c>
      <c r="B7251" s="1" t="s">
        <v>2826</v>
      </c>
      <c r="F7251">
        <v>1</v>
      </c>
      <c r="G7251" t="str">
        <f>HYPERLINK("http://babel.hathitrust.org/cgi/pt?id=ien.35556006732523")</f>
        <v>http://babel.hathitrust.org/cgi/pt?id=ien.35556006732523</v>
      </c>
      <c r="H7251" t="str">
        <f>HYPERLINK("http://catalog.hathitrust.org/Record/009719646")</f>
        <v>http://catalog.hathitrust.org/Record/009719646</v>
      </c>
      <c r="J7251" s="1">
        <v>1822</v>
      </c>
      <c r="K7251" t="s">
        <v>2827</v>
      </c>
      <c r="L7251" t="s">
        <v>20086</v>
      </c>
    </row>
    <row r="7252" spans="1:12">
      <c r="A7252" t="s">
        <v>2830</v>
      </c>
      <c r="B7252" s="1" t="s">
        <v>2831</v>
      </c>
      <c r="F7252">
        <v>1</v>
      </c>
      <c r="G7252" t="str">
        <f>HYPERLINK("http://babel.hathitrust.org/cgi/pt?id=hvd.32044097058416")</f>
        <v>http://babel.hathitrust.org/cgi/pt?id=hvd.32044097058416</v>
      </c>
      <c r="H7252" t="str">
        <f>HYPERLINK("http://catalog.hathitrust.org/Record/009719760")</f>
        <v>http://catalog.hathitrust.org/Record/009719760</v>
      </c>
      <c r="J7252" s="1">
        <v>1827</v>
      </c>
      <c r="K7252" t="s">
        <v>2832</v>
      </c>
      <c r="L7252" t="s">
        <v>5868</v>
      </c>
    </row>
    <row r="7253" spans="1:12">
      <c r="A7253" t="s">
        <v>2833</v>
      </c>
      <c r="B7253" s="1" t="s">
        <v>2834</v>
      </c>
      <c r="F7253">
        <v>1</v>
      </c>
      <c r="G7253" t="str">
        <f>HYPERLINK("http://babel.hathitrust.org/cgi/pt?id=hvd.32044097075519")</f>
        <v>http://babel.hathitrust.org/cgi/pt?id=hvd.32044097075519</v>
      </c>
      <c r="H7253" t="str">
        <f>HYPERLINK("http://catalog.hathitrust.org/Record/009719803")</f>
        <v>http://catalog.hathitrust.org/Record/009719803</v>
      </c>
      <c r="J7253" s="1">
        <v>1833</v>
      </c>
      <c r="K7253" t="s">
        <v>2835</v>
      </c>
      <c r="L7253" t="s">
        <v>15675</v>
      </c>
    </row>
    <row r="7254" spans="1:12">
      <c r="A7254" t="s">
        <v>2836</v>
      </c>
      <c r="B7254" s="1" t="s">
        <v>2837</v>
      </c>
      <c r="F7254">
        <v>1</v>
      </c>
      <c r="G7254" t="str">
        <f>HYPERLINK("http://babel.hathitrust.org/cgi/pt?id=hvd.32044102845823")</f>
        <v>http://babel.hathitrust.org/cgi/pt?id=hvd.32044102845823</v>
      </c>
      <c r="H7254" t="str">
        <f>HYPERLINK("http://catalog.hathitrust.org/Record/009720182")</f>
        <v>http://catalog.hathitrust.org/Record/009720182</v>
      </c>
      <c r="J7254" s="1">
        <v>1831</v>
      </c>
      <c r="K7254" t="s">
        <v>2838</v>
      </c>
      <c r="L7254" t="s">
        <v>2839</v>
      </c>
    </row>
    <row r="7255" spans="1:12">
      <c r="A7255" t="s">
        <v>2840</v>
      </c>
      <c r="B7255" s="1" t="s">
        <v>2841</v>
      </c>
      <c r="F7255">
        <v>1</v>
      </c>
      <c r="G7255" t="str">
        <f>HYPERLINK("http://babel.hathitrust.org/cgi/pt?id=hvd.32044097057491")</f>
        <v>http://babel.hathitrust.org/cgi/pt?id=hvd.32044097057491</v>
      </c>
      <c r="H7255" t="str">
        <f>HYPERLINK("http://catalog.hathitrust.org/Record/009720328")</f>
        <v>http://catalog.hathitrust.org/Record/009720328</v>
      </c>
      <c r="J7255" s="1">
        <v>1826</v>
      </c>
      <c r="K7255" t="s">
        <v>12162</v>
      </c>
      <c r="L7255" t="s">
        <v>20043</v>
      </c>
    </row>
    <row r="7256" spans="1:12">
      <c r="A7256" t="s">
        <v>2842</v>
      </c>
      <c r="B7256" s="1" t="s">
        <v>2843</v>
      </c>
      <c r="D7256">
        <v>1</v>
      </c>
      <c r="G7256" t="str">
        <f>HYPERLINK("http://babel.hathitrust.org/cgi/pt?id=hvd.32044097075410")</f>
        <v>http://babel.hathitrust.org/cgi/pt?id=hvd.32044097075410</v>
      </c>
      <c r="H7256" t="str">
        <f>HYPERLINK("http://catalog.hathitrust.org/Record/009720329")</f>
        <v>http://catalog.hathitrust.org/Record/009720329</v>
      </c>
      <c r="J7256" s="1">
        <v>1828</v>
      </c>
      <c r="K7256" t="s">
        <v>2844</v>
      </c>
      <c r="L7256" t="s">
        <v>20043</v>
      </c>
    </row>
    <row r="7257" spans="1:12">
      <c r="A7257" t="s">
        <v>2845</v>
      </c>
      <c r="B7257" s="1" t="s">
        <v>2846</v>
      </c>
      <c r="D7257">
        <v>1</v>
      </c>
      <c r="G7257" t="str">
        <f>HYPERLINK("http://babel.hathitrust.org/cgi/pt?id=hvd.32044097056840")</f>
        <v>http://babel.hathitrust.org/cgi/pt?id=hvd.32044097056840</v>
      </c>
      <c r="H7257" t="str">
        <f>HYPERLINK("http://catalog.hathitrust.org/Record/009720330")</f>
        <v>http://catalog.hathitrust.org/Record/009720330</v>
      </c>
      <c r="J7257" s="1">
        <v>1823</v>
      </c>
      <c r="K7257" t="s">
        <v>2847</v>
      </c>
      <c r="L7257" t="s">
        <v>20043</v>
      </c>
    </row>
    <row r="7258" spans="1:12">
      <c r="A7258" t="s">
        <v>2848</v>
      </c>
      <c r="B7258" s="1" t="s">
        <v>2849</v>
      </c>
      <c r="D7258">
        <v>1</v>
      </c>
      <c r="G7258" t="str">
        <f>HYPERLINK("http://babel.hathitrust.org/cgi/pt?id=hvd.hx6hbz")</f>
        <v>http://babel.hathitrust.org/cgi/pt?id=hvd.hx6hbz</v>
      </c>
      <c r="H7258" t="str">
        <f>HYPERLINK("http://catalog.hathitrust.org/Record/009720336")</f>
        <v>http://catalog.hathitrust.org/Record/009720336</v>
      </c>
      <c r="J7258" s="1">
        <v>1823</v>
      </c>
      <c r="K7258" t="s">
        <v>2850</v>
      </c>
    </row>
    <row r="7259" spans="1:12">
      <c r="A7259" t="s">
        <v>2851</v>
      </c>
      <c r="B7259" s="1" t="s">
        <v>2852</v>
      </c>
      <c r="E7259">
        <v>1</v>
      </c>
      <c r="G7259" t="str">
        <f>HYPERLINK("http://babel.hathitrust.org/cgi/pt?id=hvd.32044097057525")</f>
        <v>http://babel.hathitrust.org/cgi/pt?id=hvd.32044097057525</v>
      </c>
      <c r="H7259" t="str">
        <f>HYPERLINK("http://catalog.hathitrust.org/Record/009720392")</f>
        <v>http://catalog.hathitrust.org/Record/009720392</v>
      </c>
      <c r="J7259" s="1">
        <v>1825</v>
      </c>
      <c r="K7259" t="s">
        <v>5909</v>
      </c>
      <c r="L7259" t="s">
        <v>20043</v>
      </c>
    </row>
    <row r="7260" spans="1:12">
      <c r="A7260" t="s">
        <v>2853</v>
      </c>
      <c r="B7260" s="1" t="s">
        <v>2854</v>
      </c>
      <c r="F7260">
        <v>1</v>
      </c>
      <c r="G7260" t="str">
        <f>HYPERLINK("http://babel.hathitrust.org/cgi/pt?id=hvd.32044097058523")</f>
        <v>http://babel.hathitrust.org/cgi/pt?id=hvd.32044097058523</v>
      </c>
      <c r="H7260" t="str">
        <f>HYPERLINK("http://catalog.hathitrust.org/Record/009720501")</f>
        <v>http://catalog.hathitrust.org/Record/009720501</v>
      </c>
      <c r="J7260" s="1">
        <v>1829</v>
      </c>
      <c r="K7260" t="s">
        <v>2855</v>
      </c>
    </row>
    <row r="7261" spans="1:12">
      <c r="A7261" t="s">
        <v>2856</v>
      </c>
      <c r="B7261" s="1" t="s">
        <v>2857</v>
      </c>
      <c r="F7261">
        <v>1</v>
      </c>
      <c r="G7261" t="str">
        <f>HYPERLINK("http://babel.hathitrust.org/cgi/pt?id=hvd.32044102850880")</f>
        <v>http://babel.hathitrust.org/cgi/pt?id=hvd.32044102850880</v>
      </c>
      <c r="H7261" t="str">
        <f>HYPERLINK("http://catalog.hathitrust.org/Record/009720550")</f>
        <v>http://catalog.hathitrust.org/Record/009720550</v>
      </c>
      <c r="J7261" s="1">
        <v>1828</v>
      </c>
      <c r="K7261" t="s">
        <v>2790</v>
      </c>
      <c r="L7261" t="s">
        <v>8550</v>
      </c>
    </row>
    <row r="7262" spans="1:12">
      <c r="A7262" t="s">
        <v>2791</v>
      </c>
      <c r="B7262" s="1" t="s">
        <v>2792</v>
      </c>
      <c r="E7262">
        <v>1</v>
      </c>
      <c r="F7262">
        <v>1</v>
      </c>
      <c r="G7262" t="str">
        <f>HYPERLINK("http://babel.hathitrust.org/cgi/pt?id=hvd.32044097075592")</f>
        <v>http://babel.hathitrust.org/cgi/pt?id=hvd.32044097075592</v>
      </c>
      <c r="H7262" t="str">
        <f>HYPERLINK("http://catalog.hathitrust.org/Record/009720701")</f>
        <v>http://catalog.hathitrust.org/Record/009720701</v>
      </c>
      <c r="J7262" s="1">
        <v>1834</v>
      </c>
      <c r="K7262" t="s">
        <v>2793</v>
      </c>
      <c r="L7262" t="s">
        <v>11681</v>
      </c>
    </row>
    <row r="7263" spans="1:12">
      <c r="A7263" t="s">
        <v>2794</v>
      </c>
      <c r="B7263" s="1" t="s">
        <v>2795</v>
      </c>
      <c r="F7263">
        <v>1</v>
      </c>
      <c r="G7263" t="str">
        <f>HYPERLINK("http://babel.hathitrust.org/cgi/pt?id=hvd.hwpaef")</f>
        <v>http://babel.hathitrust.org/cgi/pt?id=hvd.hwpaef</v>
      </c>
      <c r="H7263" t="str">
        <f>HYPERLINK("http://catalog.hathitrust.org/Record/009720782")</f>
        <v>http://catalog.hathitrust.org/Record/009720782</v>
      </c>
      <c r="I7263" s="1">
        <v>1</v>
      </c>
      <c r="J7263" s="1">
        <v>1823</v>
      </c>
      <c r="K7263" t="s">
        <v>2796</v>
      </c>
      <c r="L7263" t="s">
        <v>17516</v>
      </c>
    </row>
    <row r="7264" spans="1:12">
      <c r="A7264" t="s">
        <v>2797</v>
      </c>
      <c r="B7264" s="1" t="s">
        <v>2795</v>
      </c>
      <c r="F7264">
        <v>1</v>
      </c>
      <c r="G7264" t="str">
        <f>HYPERLINK("http://babel.hathitrust.org/cgi/pt?id=hvd.hwpaeg")</f>
        <v>http://babel.hathitrust.org/cgi/pt?id=hvd.hwpaeg</v>
      </c>
      <c r="H7264" t="str">
        <f>HYPERLINK("http://catalog.hathitrust.org/Record/009720782")</f>
        <v>http://catalog.hathitrust.org/Record/009720782</v>
      </c>
      <c r="I7264" s="1">
        <v>2</v>
      </c>
      <c r="J7264" s="1">
        <v>1823</v>
      </c>
      <c r="K7264" t="s">
        <v>2796</v>
      </c>
      <c r="L7264" t="s">
        <v>17516</v>
      </c>
    </row>
    <row r="7265" spans="1:12">
      <c r="A7265" t="s">
        <v>2798</v>
      </c>
      <c r="B7265" s="1" t="s">
        <v>2795</v>
      </c>
      <c r="F7265">
        <v>1</v>
      </c>
      <c r="G7265" t="str">
        <f>HYPERLINK("http://babel.hathitrust.org/cgi/pt?id=hvd.hwpaeh")</f>
        <v>http://babel.hathitrust.org/cgi/pt?id=hvd.hwpaeh</v>
      </c>
      <c r="H7265" t="str">
        <f>HYPERLINK("http://catalog.hathitrust.org/Record/009720782")</f>
        <v>http://catalog.hathitrust.org/Record/009720782</v>
      </c>
      <c r="I7265" s="1">
        <v>3</v>
      </c>
      <c r="J7265" s="1">
        <v>1823</v>
      </c>
      <c r="K7265" t="s">
        <v>2796</v>
      </c>
      <c r="L7265" t="s">
        <v>17516</v>
      </c>
    </row>
    <row r="7266" spans="1:12">
      <c r="A7266" t="s">
        <v>2799</v>
      </c>
      <c r="B7266" s="1" t="s">
        <v>2795</v>
      </c>
      <c r="F7266">
        <v>1</v>
      </c>
      <c r="G7266" t="str">
        <f>HYPERLINK("http://babel.hathitrust.org/cgi/pt?id=hvd.hwpaei")</f>
        <v>http://babel.hathitrust.org/cgi/pt?id=hvd.hwpaei</v>
      </c>
      <c r="H7266" t="str">
        <f>HYPERLINK("http://catalog.hathitrust.org/Record/009720782")</f>
        <v>http://catalog.hathitrust.org/Record/009720782</v>
      </c>
      <c r="I7266" s="1">
        <v>4</v>
      </c>
      <c r="J7266" s="1">
        <v>1823</v>
      </c>
      <c r="K7266" t="s">
        <v>2796</v>
      </c>
      <c r="L7266" t="s">
        <v>17516</v>
      </c>
    </row>
    <row r="7267" spans="1:12">
      <c r="A7267" t="s">
        <v>2800</v>
      </c>
      <c r="B7267" s="1" t="s">
        <v>2801</v>
      </c>
      <c r="F7267">
        <v>1</v>
      </c>
      <c r="G7267" t="str">
        <f>HYPERLINK("http://babel.hathitrust.org/cgi/pt?id=hvd.32044038405387")</f>
        <v>http://babel.hathitrust.org/cgi/pt?id=hvd.32044038405387</v>
      </c>
      <c r="H7267" t="str">
        <f>HYPERLINK("http://catalog.hathitrust.org/Record/009720832")</f>
        <v>http://catalog.hathitrust.org/Record/009720832</v>
      </c>
      <c r="J7267" s="1">
        <v>1828</v>
      </c>
      <c r="K7267" t="s">
        <v>12678</v>
      </c>
      <c r="L7267" t="s">
        <v>12679</v>
      </c>
    </row>
    <row r="7268" spans="1:12">
      <c r="A7268" t="s">
        <v>2802</v>
      </c>
      <c r="B7268" s="1" t="s">
        <v>2801</v>
      </c>
      <c r="F7268">
        <v>1</v>
      </c>
      <c r="G7268" t="str">
        <f>HYPERLINK("http://babel.hathitrust.org/cgi/pt?id=hvd.32044102845799")</f>
        <v>http://babel.hathitrust.org/cgi/pt?id=hvd.32044102845799</v>
      </c>
      <c r="H7268" t="str">
        <f>HYPERLINK("http://catalog.hathitrust.org/Record/009720832")</f>
        <v>http://catalog.hathitrust.org/Record/009720832</v>
      </c>
      <c r="J7268" s="1">
        <v>1828</v>
      </c>
      <c r="K7268" t="s">
        <v>12678</v>
      </c>
      <c r="L7268" t="s">
        <v>12679</v>
      </c>
    </row>
    <row r="7269" spans="1:12">
      <c r="A7269" t="s">
        <v>2803</v>
      </c>
      <c r="B7269" s="1" t="s">
        <v>2804</v>
      </c>
      <c r="F7269">
        <v>1</v>
      </c>
      <c r="G7269" t="str">
        <f>HYPERLINK("http://babel.hathitrust.org/cgi/pt?id=hvd.hwnqcq")</f>
        <v>http://babel.hathitrust.org/cgi/pt?id=hvd.hwnqcq</v>
      </c>
      <c r="H7269" t="str">
        <f>HYPERLINK("http://catalog.hathitrust.org/Record/009720842")</f>
        <v>http://catalog.hathitrust.org/Record/009720842</v>
      </c>
      <c r="J7269" s="1">
        <v>1831</v>
      </c>
      <c r="K7269" t="s">
        <v>11519</v>
      </c>
      <c r="L7269" t="s">
        <v>12679</v>
      </c>
    </row>
    <row r="7270" spans="1:12">
      <c r="A7270" t="s">
        <v>2805</v>
      </c>
      <c r="B7270" s="1" t="s">
        <v>2806</v>
      </c>
      <c r="F7270">
        <v>1</v>
      </c>
      <c r="G7270" t="str">
        <f>HYPERLINK("http://babel.hathitrust.org/cgi/pt?id=hvd.32044102850955")</f>
        <v>http://babel.hathitrust.org/cgi/pt?id=hvd.32044102850955</v>
      </c>
      <c r="H7270" t="str">
        <f>HYPERLINK("http://catalog.hathitrust.org/Record/009720912")</f>
        <v>http://catalog.hathitrust.org/Record/009720912</v>
      </c>
      <c r="J7270" s="1">
        <v>1831</v>
      </c>
      <c r="K7270" t="s">
        <v>7765</v>
      </c>
      <c r="L7270" t="s">
        <v>7766</v>
      </c>
    </row>
    <row r="7271" spans="1:12">
      <c r="A7271" t="s">
        <v>2807</v>
      </c>
      <c r="B7271" s="1" t="s">
        <v>2808</v>
      </c>
      <c r="E7271">
        <v>1</v>
      </c>
      <c r="F7271">
        <v>1</v>
      </c>
      <c r="G7271" t="str">
        <f>HYPERLINK("http://babel.hathitrust.org/cgi/pt?id=hvd.32044097075485")</f>
        <v>http://babel.hathitrust.org/cgi/pt?id=hvd.32044097075485</v>
      </c>
      <c r="H7271" t="str">
        <f>HYPERLINK("http://catalog.hathitrust.org/Record/009720937")</f>
        <v>http://catalog.hathitrust.org/Record/009720937</v>
      </c>
      <c r="J7271" s="1">
        <v>1832</v>
      </c>
      <c r="K7271" t="s">
        <v>2809</v>
      </c>
      <c r="L7271" t="s">
        <v>2810</v>
      </c>
    </row>
    <row r="7272" spans="1:12">
      <c r="A7272" t="s">
        <v>2811</v>
      </c>
      <c r="B7272" s="1" t="s">
        <v>2812</v>
      </c>
      <c r="D7272">
        <v>1</v>
      </c>
      <c r="G7272" t="str">
        <f>HYPERLINK("http://babel.hathitrust.org/cgi/pt?id=hvd.hx5gbg")</f>
        <v>http://babel.hathitrust.org/cgi/pt?id=hvd.hx5gbg</v>
      </c>
      <c r="H7272" t="str">
        <f>HYPERLINK("http://catalog.hathitrust.org/Record/009720958")</f>
        <v>http://catalog.hathitrust.org/Record/009720958</v>
      </c>
      <c r="J7272" s="1">
        <v>1826</v>
      </c>
      <c r="K7272" t="s">
        <v>2813</v>
      </c>
      <c r="L7272" t="s">
        <v>20086</v>
      </c>
    </row>
    <row r="7273" spans="1:12">
      <c r="A7273" t="s">
        <v>2814</v>
      </c>
      <c r="B7273" s="1" t="s">
        <v>2815</v>
      </c>
      <c r="F7273">
        <v>1</v>
      </c>
      <c r="G7273" t="str">
        <f>HYPERLINK("http://babel.hathitrust.org/cgi/pt?id=hvd.32044102875200")</f>
        <v>http://babel.hathitrust.org/cgi/pt?id=hvd.32044102875200</v>
      </c>
      <c r="H7273" t="str">
        <f>HYPERLINK("http://catalog.hathitrust.org/Record/009720968")</f>
        <v>http://catalog.hathitrust.org/Record/009720968</v>
      </c>
      <c r="J7273" s="1">
        <v>1828</v>
      </c>
      <c r="K7273" t="s">
        <v>6836</v>
      </c>
      <c r="L7273" t="s">
        <v>16039</v>
      </c>
    </row>
    <row r="7274" spans="1:12">
      <c r="A7274" t="s">
        <v>2816</v>
      </c>
      <c r="B7274" s="1" t="s">
        <v>2817</v>
      </c>
      <c r="F7274">
        <v>1</v>
      </c>
      <c r="G7274" t="str">
        <f>HYPERLINK("http://babel.hathitrust.org/cgi/pt?id=hvd.32044097075550")</f>
        <v>http://babel.hathitrust.org/cgi/pt?id=hvd.32044097075550</v>
      </c>
      <c r="H7274" t="str">
        <f>HYPERLINK("http://catalog.hathitrust.org/Record/009721076")</f>
        <v>http://catalog.hathitrust.org/Record/009721076</v>
      </c>
      <c r="J7274" s="1">
        <v>1833</v>
      </c>
      <c r="K7274" t="s">
        <v>2818</v>
      </c>
      <c r="L7274" t="s">
        <v>12679</v>
      </c>
    </row>
    <row r="7275" spans="1:12">
      <c r="A7275" t="s">
        <v>2819</v>
      </c>
      <c r="B7275" s="1" t="s">
        <v>2820</v>
      </c>
      <c r="F7275">
        <v>1</v>
      </c>
      <c r="G7275" t="str">
        <f>HYPERLINK("http://babel.hathitrust.org/cgi/pt?id=hvd.hwnqbz")</f>
        <v>http://babel.hathitrust.org/cgi/pt?id=hvd.hwnqbz</v>
      </c>
      <c r="H7275" t="str">
        <f>HYPERLINK("http://catalog.hathitrust.org/Record/009721122")</f>
        <v>http://catalog.hathitrust.org/Record/009721122</v>
      </c>
      <c r="J7275" s="1">
        <v>1830</v>
      </c>
      <c r="K7275" t="s">
        <v>2821</v>
      </c>
      <c r="L7275" t="s">
        <v>19514</v>
      </c>
    </row>
    <row r="7276" spans="1:12">
      <c r="A7276" t="s">
        <v>2822</v>
      </c>
      <c r="B7276" s="1" t="s">
        <v>2823</v>
      </c>
      <c r="F7276">
        <v>1</v>
      </c>
      <c r="G7276" t="str">
        <f>HYPERLINK("http://babel.hathitrust.org/cgi/pt?id=hvd.32044038405411")</f>
        <v>http://babel.hathitrust.org/cgi/pt?id=hvd.32044038405411</v>
      </c>
      <c r="H7276" t="str">
        <f>HYPERLINK("http://catalog.hathitrust.org/Record/009721131")</f>
        <v>http://catalog.hathitrust.org/Record/009721131</v>
      </c>
      <c r="J7276" s="1">
        <v>1830</v>
      </c>
      <c r="K7276" t="s">
        <v>2767</v>
      </c>
      <c r="L7276" t="s">
        <v>19514</v>
      </c>
    </row>
    <row r="7277" spans="1:12">
      <c r="A7277" t="s">
        <v>2768</v>
      </c>
      <c r="B7277" s="1" t="s">
        <v>2769</v>
      </c>
      <c r="F7277">
        <v>1</v>
      </c>
      <c r="G7277" t="str">
        <f>HYPERLINK("http://babel.hathitrust.org/cgi/pt?id=hvd.hwsk6d")</f>
        <v>http://babel.hathitrust.org/cgi/pt?id=hvd.hwsk6d</v>
      </c>
      <c r="H7277" t="str">
        <f>HYPERLINK("http://catalog.hathitrust.org/Record/009721608")</f>
        <v>http://catalog.hathitrust.org/Record/009721608</v>
      </c>
      <c r="J7277" s="1">
        <v>1830</v>
      </c>
      <c r="K7277" t="s">
        <v>2770</v>
      </c>
      <c r="L7277" t="s">
        <v>19514</v>
      </c>
    </row>
    <row r="7278" spans="1:12">
      <c r="A7278" t="s">
        <v>2771</v>
      </c>
      <c r="B7278" s="1" t="s">
        <v>2772</v>
      </c>
      <c r="E7278">
        <v>1</v>
      </c>
      <c r="G7278" t="str">
        <f>HYPERLINK("http://babel.hathitrust.org/cgi/pt?id=hvd.hnjimv")</f>
        <v>http://babel.hathitrust.org/cgi/pt?id=hvd.hnjimv</v>
      </c>
      <c r="H7278" t="str">
        <f>HYPERLINK("http://catalog.hathitrust.org/Record/009721780")</f>
        <v>http://catalog.hathitrust.org/Record/009721780</v>
      </c>
      <c r="J7278" s="1">
        <v>1822</v>
      </c>
      <c r="K7278" t="s">
        <v>2773</v>
      </c>
      <c r="L7278" t="s">
        <v>2774</v>
      </c>
    </row>
    <row r="7279" spans="1:12">
      <c r="A7279" t="s">
        <v>2775</v>
      </c>
      <c r="B7279" s="1" t="s">
        <v>2776</v>
      </c>
      <c r="E7279">
        <v>1</v>
      </c>
      <c r="G7279" t="str">
        <f>HYPERLINK("http://babel.hathitrust.org/cgi/pt?id=hvd.hwp77i")</f>
        <v>http://babel.hathitrust.org/cgi/pt?id=hvd.hwp77i</v>
      </c>
      <c r="H7279" t="str">
        <f>HYPERLINK("http://catalog.hathitrust.org/Record/009721986")</f>
        <v>http://catalog.hathitrust.org/Record/009721986</v>
      </c>
      <c r="I7279" s="1">
        <v>1</v>
      </c>
      <c r="J7279" s="1">
        <v>1834</v>
      </c>
      <c r="K7279" t="s">
        <v>2777</v>
      </c>
      <c r="L7279" t="s">
        <v>19404</v>
      </c>
    </row>
    <row r="7280" spans="1:12">
      <c r="A7280" t="s">
        <v>2778</v>
      </c>
      <c r="B7280" s="1" t="s">
        <v>2776</v>
      </c>
      <c r="E7280">
        <v>1</v>
      </c>
      <c r="G7280" t="str">
        <f>HYPERLINK("http://babel.hathitrust.org/cgi/pt?id=hvd.hwp788")</f>
        <v>http://babel.hathitrust.org/cgi/pt?id=hvd.hwp788</v>
      </c>
      <c r="H7280" t="str">
        <f>HYPERLINK("http://catalog.hathitrust.org/Record/009721986")</f>
        <v>http://catalog.hathitrust.org/Record/009721986</v>
      </c>
      <c r="I7280" s="1">
        <v>2</v>
      </c>
      <c r="J7280" s="1">
        <v>1834</v>
      </c>
      <c r="K7280" t="s">
        <v>2777</v>
      </c>
      <c r="L7280" t="s">
        <v>19404</v>
      </c>
    </row>
    <row r="7281" spans="1:12">
      <c r="A7281" t="s">
        <v>2779</v>
      </c>
      <c r="B7281" s="1" t="s">
        <v>2780</v>
      </c>
      <c r="F7281">
        <v>1</v>
      </c>
      <c r="G7281" t="str">
        <f>HYPERLINK("http://babel.hathitrust.org/cgi/pt?id=hvd.32044074355850")</f>
        <v>http://babel.hathitrust.org/cgi/pt?id=hvd.32044074355850</v>
      </c>
      <c r="H7281" t="str">
        <f>HYPERLINK("http://catalog.hathitrust.org/Record/009722048")</f>
        <v>http://catalog.hathitrust.org/Record/009722048</v>
      </c>
      <c r="J7281" s="1">
        <v>1833</v>
      </c>
      <c r="K7281" t="s">
        <v>2781</v>
      </c>
      <c r="L7281" t="s">
        <v>20960</v>
      </c>
    </row>
    <row r="7282" spans="1:12">
      <c r="A7282" t="s">
        <v>2782</v>
      </c>
      <c r="B7282" s="1" t="s">
        <v>2783</v>
      </c>
      <c r="F7282">
        <v>1</v>
      </c>
      <c r="G7282" t="str">
        <f>HYPERLINK("http://babel.hathitrust.org/cgi/pt?id=hvd.hwpa6m")</f>
        <v>http://babel.hathitrust.org/cgi/pt?id=hvd.hwpa6m</v>
      </c>
      <c r="H7282" t="str">
        <f>HYPERLINK("http://catalog.hathitrust.org/Record/009722050")</f>
        <v>http://catalog.hathitrust.org/Record/009722050</v>
      </c>
      <c r="J7282" s="1">
        <v>1824</v>
      </c>
      <c r="K7282" t="s">
        <v>2784</v>
      </c>
      <c r="L7282" t="s">
        <v>20960</v>
      </c>
    </row>
    <row r="7283" spans="1:12">
      <c r="A7283" t="s">
        <v>2785</v>
      </c>
      <c r="B7283" s="1" t="s">
        <v>2786</v>
      </c>
      <c r="E7283">
        <v>1</v>
      </c>
      <c r="G7283" t="str">
        <f>HYPERLINK("http://babel.hathitrust.org/cgi/pt?id=hvd.32044100036904")</f>
        <v>http://babel.hathitrust.org/cgi/pt?id=hvd.32044100036904</v>
      </c>
      <c r="H7283" t="str">
        <f>HYPERLINK("http://catalog.hathitrust.org/Record/009722052")</f>
        <v>http://catalog.hathitrust.org/Record/009722052</v>
      </c>
      <c r="J7283" s="1">
        <v>1826</v>
      </c>
      <c r="K7283" t="s">
        <v>2787</v>
      </c>
      <c r="L7283" t="s">
        <v>20960</v>
      </c>
    </row>
    <row r="7284" spans="1:12">
      <c r="A7284" t="s">
        <v>2788</v>
      </c>
      <c r="B7284" s="1" t="s">
        <v>2789</v>
      </c>
      <c r="F7284">
        <v>1</v>
      </c>
      <c r="G7284" t="str">
        <f>HYPERLINK("http://babel.hathitrust.org/cgi/pt?id=hvd.32044014077572")</f>
        <v>http://babel.hathitrust.org/cgi/pt?id=hvd.32044014077572</v>
      </c>
      <c r="H7284" t="str">
        <f>HYPERLINK("http://catalog.hathitrust.org/Record/009722055")</f>
        <v>http://catalog.hathitrust.org/Record/009722055</v>
      </c>
      <c r="J7284" s="1">
        <v>1823</v>
      </c>
      <c r="K7284" t="s">
        <v>2748</v>
      </c>
      <c r="L7284" t="s">
        <v>20960</v>
      </c>
    </row>
    <row r="7285" spans="1:12">
      <c r="A7285" t="s">
        <v>2749</v>
      </c>
      <c r="B7285" s="1" t="s">
        <v>2750</v>
      </c>
      <c r="E7285">
        <v>1</v>
      </c>
      <c r="F7285">
        <v>1</v>
      </c>
      <c r="G7285" t="str">
        <f>HYPERLINK("http://babel.hathitrust.org/cgi/pt?id=hvd.hw22un")</f>
        <v>http://babel.hathitrust.org/cgi/pt?id=hvd.hw22un</v>
      </c>
      <c r="H7285" t="str">
        <f>HYPERLINK("http://catalog.hathitrust.org/Record/009724091")</f>
        <v>http://catalog.hathitrust.org/Record/009724091</v>
      </c>
      <c r="J7285" s="1">
        <v>1830</v>
      </c>
      <c r="K7285" t="s">
        <v>2751</v>
      </c>
      <c r="L7285" t="s">
        <v>4113</v>
      </c>
    </row>
    <row r="7286" spans="1:12">
      <c r="A7286" t="s">
        <v>2752</v>
      </c>
      <c r="B7286" s="1" t="s">
        <v>2753</v>
      </c>
      <c r="F7286">
        <v>1</v>
      </c>
      <c r="G7286" t="str">
        <f>HYPERLINK("http://babel.hathitrust.org/cgi/pt?id=hvd.hn5wc5")</f>
        <v>http://babel.hathitrust.org/cgi/pt?id=hvd.hn5wc5</v>
      </c>
      <c r="H7286" t="str">
        <f>HYPERLINK("http://catalog.hathitrust.org/Record/009724196")</f>
        <v>http://catalog.hathitrust.org/Record/009724196</v>
      </c>
      <c r="J7286" s="1">
        <v>1833</v>
      </c>
      <c r="K7286" t="s">
        <v>2754</v>
      </c>
      <c r="L7286" t="s">
        <v>2755</v>
      </c>
    </row>
    <row r="7287" spans="1:12">
      <c r="A7287" t="s">
        <v>2756</v>
      </c>
      <c r="B7287" s="1" t="s">
        <v>2757</v>
      </c>
      <c r="F7287">
        <v>1</v>
      </c>
      <c r="G7287" t="str">
        <f>HYPERLINK("http://babel.hathitrust.org/cgi/pt?id=hvd.hn5wz5")</f>
        <v>http://babel.hathitrust.org/cgi/pt?id=hvd.hn5wz5</v>
      </c>
      <c r="H7287" t="str">
        <f>HYPERLINK("http://catalog.hathitrust.org/Record/009724410")</f>
        <v>http://catalog.hathitrust.org/Record/009724410</v>
      </c>
      <c r="J7287" s="1">
        <v>1833</v>
      </c>
      <c r="K7287" t="s">
        <v>2758</v>
      </c>
      <c r="L7287" t="s">
        <v>6845</v>
      </c>
    </row>
    <row r="7288" spans="1:12">
      <c r="A7288" t="s">
        <v>2759</v>
      </c>
      <c r="B7288" s="1" t="s">
        <v>2760</v>
      </c>
      <c r="C7288">
        <v>1</v>
      </c>
      <c r="D7288">
        <v>1</v>
      </c>
      <c r="G7288" t="str">
        <f>HYPERLINK("http://babel.hathitrust.org/cgi/pt?id=hvd.ml14ed")</f>
        <v>http://babel.hathitrust.org/cgi/pt?id=hvd.ml14ed</v>
      </c>
      <c r="H7288" t="str">
        <f>HYPERLINK("http://catalog.hathitrust.org/Record/009725125")</f>
        <v>http://catalog.hathitrust.org/Record/009725125</v>
      </c>
      <c r="J7288" s="1">
        <v>1832</v>
      </c>
      <c r="K7288" t="s">
        <v>2761</v>
      </c>
      <c r="L7288" t="s">
        <v>14485</v>
      </c>
    </row>
    <row r="7289" spans="1:12">
      <c r="A7289" t="s">
        <v>2762</v>
      </c>
      <c r="B7289" s="1" t="s">
        <v>2763</v>
      </c>
      <c r="D7289">
        <v>1</v>
      </c>
      <c r="G7289" t="str">
        <f>HYPERLINK("http://babel.hathitrust.org/cgi/pt?id=hvd.hn5wxw")</f>
        <v>http://babel.hathitrust.org/cgi/pt?id=hvd.hn5wxw</v>
      </c>
      <c r="H7289" t="str">
        <f>HYPERLINK("http://catalog.hathitrust.org/Record/009725652")</f>
        <v>http://catalog.hathitrust.org/Record/009725652</v>
      </c>
      <c r="J7289" s="1">
        <v>1828</v>
      </c>
      <c r="K7289" t="s">
        <v>2764</v>
      </c>
      <c r="L7289" t="s">
        <v>20043</v>
      </c>
    </row>
    <row r="7290" spans="1:12">
      <c r="A7290" t="s">
        <v>2765</v>
      </c>
      <c r="B7290" s="1" t="s">
        <v>2766</v>
      </c>
      <c r="E7290">
        <v>1</v>
      </c>
      <c r="G7290" t="str">
        <f>HYPERLINK("http://babel.hathitrust.org/cgi/pt?id=hvd.hn1dl6")</f>
        <v>http://babel.hathitrust.org/cgi/pt?id=hvd.hn1dl6</v>
      </c>
      <c r="H7290" t="str">
        <f>HYPERLINK("http://catalog.hathitrust.org/Record/009725654")</f>
        <v>http://catalog.hathitrust.org/Record/009725654</v>
      </c>
      <c r="J7290" s="1">
        <v>1824</v>
      </c>
      <c r="K7290" t="s">
        <v>2714</v>
      </c>
      <c r="L7290" t="s">
        <v>20043</v>
      </c>
    </row>
    <row r="7291" spans="1:12">
      <c r="A7291" t="s">
        <v>2715</v>
      </c>
      <c r="B7291" s="1" t="s">
        <v>2716</v>
      </c>
      <c r="E7291">
        <v>1</v>
      </c>
      <c r="G7291" t="str">
        <f>HYPERLINK("http://babel.hathitrust.org/cgi/pt?id=hvd.hn5wj8")</f>
        <v>http://babel.hathitrust.org/cgi/pt?id=hvd.hn5wj8</v>
      </c>
      <c r="H7291" t="str">
        <f>HYPERLINK("http://catalog.hathitrust.org/Record/009725655")</f>
        <v>http://catalog.hathitrust.org/Record/009725655</v>
      </c>
      <c r="J7291" s="1">
        <v>1830</v>
      </c>
      <c r="K7291" t="s">
        <v>2717</v>
      </c>
      <c r="L7291" t="s">
        <v>20043</v>
      </c>
    </row>
    <row r="7292" spans="1:12">
      <c r="A7292" t="s">
        <v>2718</v>
      </c>
      <c r="B7292" s="1" t="s">
        <v>2719</v>
      </c>
      <c r="E7292">
        <v>1</v>
      </c>
      <c r="G7292" t="str">
        <f>HYPERLINK("http://babel.hathitrust.org/cgi/pt?id=hvd.hn1ev5")</f>
        <v>http://babel.hathitrust.org/cgi/pt?id=hvd.hn1ev5</v>
      </c>
      <c r="H7292" t="str">
        <f>HYPERLINK("http://catalog.hathitrust.org/Record/009725662")</f>
        <v>http://catalog.hathitrust.org/Record/009725662</v>
      </c>
      <c r="J7292" s="1">
        <v>1826</v>
      </c>
      <c r="K7292" t="s">
        <v>7487</v>
      </c>
      <c r="L7292" t="s">
        <v>20043</v>
      </c>
    </row>
    <row r="7293" spans="1:12">
      <c r="A7293" t="s">
        <v>2720</v>
      </c>
      <c r="B7293" s="1" t="s">
        <v>2721</v>
      </c>
      <c r="E7293">
        <v>1</v>
      </c>
      <c r="G7293" t="str">
        <f>HYPERLINK("http://babel.hathitrust.org/cgi/pt?id=hvd.32044081368235")</f>
        <v>http://babel.hathitrust.org/cgi/pt?id=hvd.32044081368235</v>
      </c>
      <c r="H7293" t="str">
        <f>HYPERLINK("http://catalog.hathitrust.org/Record/009726924")</f>
        <v>http://catalog.hathitrust.org/Record/009726924</v>
      </c>
      <c r="J7293" s="1">
        <v>1829</v>
      </c>
      <c r="K7293" t="s">
        <v>2722</v>
      </c>
    </row>
    <row r="7294" spans="1:12">
      <c r="A7294" t="s">
        <v>2723</v>
      </c>
      <c r="B7294" s="1" t="s">
        <v>2724</v>
      </c>
      <c r="E7294">
        <v>1</v>
      </c>
      <c r="G7294" t="str">
        <f>HYPERLINK("http://babel.hathitrust.org/cgi/pt?id=hvd.hn5wzt")</f>
        <v>http://babel.hathitrust.org/cgi/pt?id=hvd.hn5wzt</v>
      </c>
      <c r="H7294" t="str">
        <f>HYPERLINK("http://catalog.hathitrust.org/Record/009727162")</f>
        <v>http://catalog.hathitrust.org/Record/009727162</v>
      </c>
      <c r="J7294" s="1">
        <v>1822</v>
      </c>
      <c r="K7294" t="s">
        <v>2725</v>
      </c>
      <c r="L7294" t="s">
        <v>20960</v>
      </c>
    </row>
    <row r="7295" spans="1:12">
      <c r="A7295" t="s">
        <v>2726</v>
      </c>
      <c r="B7295" s="1" t="s">
        <v>2727</v>
      </c>
      <c r="E7295">
        <v>1</v>
      </c>
      <c r="G7295" t="str">
        <f>HYPERLINK("http://babel.hathitrust.org/cgi/pt?id=hvd.hn6f2b")</f>
        <v>http://babel.hathitrust.org/cgi/pt?id=hvd.hn6f2b</v>
      </c>
      <c r="H7295" t="str">
        <f>HYPERLINK("http://catalog.hathitrust.org/Record/009727163")</f>
        <v>http://catalog.hathitrust.org/Record/009727163</v>
      </c>
      <c r="J7295" s="1">
        <v>1828</v>
      </c>
      <c r="K7295" t="s">
        <v>2728</v>
      </c>
      <c r="L7295" t="s">
        <v>20960</v>
      </c>
    </row>
    <row r="7296" spans="1:12">
      <c r="A7296" t="s">
        <v>2729</v>
      </c>
      <c r="B7296" s="1" t="s">
        <v>2730</v>
      </c>
      <c r="F7296">
        <v>1</v>
      </c>
      <c r="G7296" t="str">
        <f>HYPERLINK("http://babel.hathitrust.org/cgi/pt?id=hvd.hn1qbp")</f>
        <v>http://babel.hathitrust.org/cgi/pt?id=hvd.hn1qbp</v>
      </c>
      <c r="H7296" t="str">
        <f>HYPERLINK("http://catalog.hathitrust.org/Record/009727165")</f>
        <v>http://catalog.hathitrust.org/Record/009727165</v>
      </c>
      <c r="J7296" s="1">
        <v>1826</v>
      </c>
      <c r="K7296" t="s">
        <v>2731</v>
      </c>
    </row>
    <row r="7297" spans="1:12">
      <c r="A7297" t="s">
        <v>2732</v>
      </c>
      <c r="B7297" s="1" t="s">
        <v>2733</v>
      </c>
      <c r="F7297">
        <v>1</v>
      </c>
      <c r="G7297" t="str">
        <f>HYPERLINK("http://babel.hathitrust.org/cgi/pt?id=hvd.32044102788544")</f>
        <v>http://babel.hathitrust.org/cgi/pt?id=hvd.32044102788544</v>
      </c>
      <c r="H7297" t="str">
        <f>HYPERLINK("http://catalog.hathitrust.org/Record/009727979")</f>
        <v>http://catalog.hathitrust.org/Record/009727979</v>
      </c>
      <c r="J7297" s="1">
        <v>1830</v>
      </c>
      <c r="K7297" t="s">
        <v>2734</v>
      </c>
      <c r="L7297" t="s">
        <v>2735</v>
      </c>
    </row>
    <row r="7298" spans="1:12">
      <c r="A7298" t="s">
        <v>2736</v>
      </c>
      <c r="B7298" s="1" t="s">
        <v>2737</v>
      </c>
      <c r="F7298">
        <v>1</v>
      </c>
      <c r="G7298" t="str">
        <f>HYPERLINK("http://babel.hathitrust.org/cgi/pt?id=hvd.ah65vx")</f>
        <v>http://babel.hathitrust.org/cgi/pt?id=hvd.ah65vx</v>
      </c>
      <c r="H7298" t="str">
        <f>HYPERLINK("http://catalog.hathitrust.org/Record/009728357")</f>
        <v>http://catalog.hathitrust.org/Record/009728357</v>
      </c>
      <c r="J7298" s="1">
        <v>1841</v>
      </c>
      <c r="K7298" t="s">
        <v>2738</v>
      </c>
      <c r="L7298" t="s">
        <v>4500</v>
      </c>
    </row>
    <row r="7299" spans="1:12">
      <c r="A7299" t="s">
        <v>2739</v>
      </c>
      <c r="B7299" s="1" t="s">
        <v>2740</v>
      </c>
      <c r="F7299">
        <v>1</v>
      </c>
      <c r="G7299" t="str">
        <f>HYPERLINK("http://babel.hathitrust.org/cgi/pt?id=hvd.hwad6a")</f>
        <v>http://babel.hathitrust.org/cgi/pt?id=hvd.hwad6a</v>
      </c>
      <c r="H7299" t="str">
        <f t="shared" ref="H7299:H7321" si="68">HYPERLINK("http://catalog.hathitrust.org/Record/009728592")</f>
        <v>http://catalog.hathitrust.org/Record/009728592</v>
      </c>
      <c r="I7299" s="1" t="s">
        <v>20755</v>
      </c>
      <c r="J7299" s="1">
        <v>1834</v>
      </c>
      <c r="K7299" t="s">
        <v>2741</v>
      </c>
      <c r="L7299" t="s">
        <v>2742</v>
      </c>
    </row>
    <row r="7300" spans="1:12">
      <c r="A7300" t="s">
        <v>2743</v>
      </c>
      <c r="B7300" s="1" t="s">
        <v>2740</v>
      </c>
      <c r="F7300">
        <v>1</v>
      </c>
      <c r="G7300" t="str">
        <f>HYPERLINK("http://babel.hathitrust.org/cgi/pt?id=hvd.hwad6b")</f>
        <v>http://babel.hathitrust.org/cgi/pt?id=hvd.hwad6b</v>
      </c>
      <c r="H7300" t="str">
        <f t="shared" si="68"/>
        <v>http://catalog.hathitrust.org/Record/009728592</v>
      </c>
      <c r="I7300" s="1" t="s">
        <v>20920</v>
      </c>
      <c r="J7300" s="1">
        <v>1834</v>
      </c>
      <c r="K7300" t="s">
        <v>2741</v>
      </c>
      <c r="L7300" t="s">
        <v>2742</v>
      </c>
    </row>
    <row r="7301" spans="1:12">
      <c r="A7301" t="s">
        <v>2744</v>
      </c>
      <c r="B7301" s="1" t="s">
        <v>2740</v>
      </c>
      <c r="F7301">
        <v>1</v>
      </c>
      <c r="G7301" t="str">
        <f>HYPERLINK("http://babel.hathitrust.org/cgi/pt?id=hvd.hwad6c")</f>
        <v>http://babel.hathitrust.org/cgi/pt?id=hvd.hwad6c</v>
      </c>
      <c r="H7301" t="str">
        <f t="shared" si="68"/>
        <v>http://catalog.hathitrust.org/Record/009728592</v>
      </c>
      <c r="I7301" s="1" t="s">
        <v>20679</v>
      </c>
      <c r="J7301" s="1">
        <v>1834</v>
      </c>
      <c r="K7301" t="s">
        <v>2741</v>
      </c>
      <c r="L7301" t="s">
        <v>2742</v>
      </c>
    </row>
    <row r="7302" spans="1:12">
      <c r="A7302" t="s">
        <v>2745</v>
      </c>
      <c r="B7302" s="1" t="s">
        <v>2740</v>
      </c>
      <c r="F7302">
        <v>1</v>
      </c>
      <c r="G7302" t="str">
        <f>HYPERLINK("http://babel.hathitrust.org/cgi/pt?id=hvd.hwad6d")</f>
        <v>http://babel.hathitrust.org/cgi/pt?id=hvd.hwad6d</v>
      </c>
      <c r="H7302" t="str">
        <f t="shared" si="68"/>
        <v>http://catalog.hathitrust.org/Record/009728592</v>
      </c>
      <c r="I7302" s="1" t="s">
        <v>20681</v>
      </c>
      <c r="J7302" s="1">
        <v>1834</v>
      </c>
      <c r="K7302" t="s">
        <v>2741</v>
      </c>
      <c r="L7302" t="s">
        <v>2742</v>
      </c>
    </row>
    <row r="7303" spans="1:12">
      <c r="A7303" t="s">
        <v>2746</v>
      </c>
      <c r="B7303" s="1" t="s">
        <v>2740</v>
      </c>
      <c r="F7303">
        <v>1</v>
      </c>
      <c r="G7303" t="str">
        <f>HYPERLINK("http://babel.hathitrust.org/cgi/pt?id=hvd.hwad6e")</f>
        <v>http://babel.hathitrust.org/cgi/pt?id=hvd.hwad6e</v>
      </c>
      <c r="H7303" t="str">
        <f t="shared" si="68"/>
        <v>http://catalog.hathitrust.org/Record/009728592</v>
      </c>
      <c r="I7303" s="1" t="s">
        <v>21018</v>
      </c>
      <c r="J7303" s="1">
        <v>1834</v>
      </c>
      <c r="K7303" t="s">
        <v>2741</v>
      </c>
      <c r="L7303" t="s">
        <v>2742</v>
      </c>
    </row>
    <row r="7304" spans="1:12">
      <c r="A7304" t="s">
        <v>2747</v>
      </c>
      <c r="B7304" s="1" t="s">
        <v>2740</v>
      </c>
      <c r="F7304">
        <v>1</v>
      </c>
      <c r="G7304" t="str">
        <f>HYPERLINK("http://babel.hathitrust.org/cgi/pt?id=hvd.hwad6f")</f>
        <v>http://babel.hathitrust.org/cgi/pt?id=hvd.hwad6f</v>
      </c>
      <c r="H7304" t="str">
        <f t="shared" si="68"/>
        <v>http://catalog.hathitrust.org/Record/009728592</v>
      </c>
      <c r="I7304" s="1" t="s">
        <v>16577</v>
      </c>
      <c r="J7304" s="1">
        <v>1834</v>
      </c>
      <c r="K7304" t="s">
        <v>2741</v>
      </c>
      <c r="L7304" t="s">
        <v>2742</v>
      </c>
    </row>
    <row r="7305" spans="1:12">
      <c r="A7305" t="s">
        <v>2653</v>
      </c>
      <c r="B7305" s="1" t="s">
        <v>2740</v>
      </c>
      <c r="F7305">
        <v>1</v>
      </c>
      <c r="G7305" t="str">
        <f>HYPERLINK("http://babel.hathitrust.org/cgi/pt?id=hvd.hwad6h")</f>
        <v>http://babel.hathitrust.org/cgi/pt?id=hvd.hwad6h</v>
      </c>
      <c r="H7305" t="str">
        <f t="shared" si="68"/>
        <v>http://catalog.hathitrust.org/Record/009728592</v>
      </c>
      <c r="I7305" s="1" t="s">
        <v>16582</v>
      </c>
      <c r="J7305" s="1">
        <v>1834</v>
      </c>
      <c r="K7305" t="s">
        <v>2741</v>
      </c>
      <c r="L7305" t="s">
        <v>2742</v>
      </c>
    </row>
    <row r="7306" spans="1:12">
      <c r="A7306" t="s">
        <v>2654</v>
      </c>
      <c r="B7306" s="1" t="s">
        <v>2740</v>
      </c>
      <c r="F7306">
        <v>1</v>
      </c>
      <c r="G7306" t="str">
        <f>HYPERLINK("http://babel.hathitrust.org/cgi/pt?id=hvd.hwad6y")</f>
        <v>http://babel.hathitrust.org/cgi/pt?id=hvd.hwad6y</v>
      </c>
      <c r="H7306" t="str">
        <f t="shared" si="68"/>
        <v>http://catalog.hathitrust.org/Record/009728592</v>
      </c>
      <c r="I7306" s="1" t="s">
        <v>16574</v>
      </c>
      <c r="J7306" s="1">
        <v>1834</v>
      </c>
      <c r="K7306" t="s">
        <v>2741</v>
      </c>
      <c r="L7306" t="s">
        <v>2742</v>
      </c>
    </row>
    <row r="7307" spans="1:12">
      <c r="A7307" t="s">
        <v>2655</v>
      </c>
      <c r="B7307" s="1" t="s">
        <v>2740</v>
      </c>
      <c r="F7307">
        <v>1</v>
      </c>
      <c r="G7307" t="str">
        <f>HYPERLINK("http://babel.hathitrust.org/cgi/pt?id=hvd.hwad6z")</f>
        <v>http://babel.hathitrust.org/cgi/pt?id=hvd.hwad6z</v>
      </c>
      <c r="H7307" t="str">
        <f t="shared" si="68"/>
        <v>http://catalog.hathitrust.org/Record/009728592</v>
      </c>
      <c r="I7307" s="1" t="s">
        <v>15066</v>
      </c>
      <c r="J7307" s="1">
        <v>1834</v>
      </c>
      <c r="K7307" t="s">
        <v>2741</v>
      </c>
      <c r="L7307" t="s">
        <v>2742</v>
      </c>
    </row>
    <row r="7308" spans="1:12">
      <c r="A7308" t="s">
        <v>2656</v>
      </c>
      <c r="B7308" s="1" t="s">
        <v>2740</v>
      </c>
      <c r="F7308">
        <v>1</v>
      </c>
      <c r="G7308" t="str">
        <f>HYPERLINK("http://babel.hathitrust.org/cgi/pt?id=hvd.hwad71")</f>
        <v>http://babel.hathitrust.org/cgi/pt?id=hvd.hwad71</v>
      </c>
      <c r="H7308" t="str">
        <f t="shared" si="68"/>
        <v>http://catalog.hathitrust.org/Record/009728592</v>
      </c>
      <c r="I7308" s="1" t="s">
        <v>15072</v>
      </c>
      <c r="J7308" s="1">
        <v>1834</v>
      </c>
      <c r="K7308" t="s">
        <v>2741</v>
      </c>
      <c r="L7308" t="s">
        <v>2742</v>
      </c>
    </row>
    <row r="7309" spans="1:12">
      <c r="A7309" t="s">
        <v>2657</v>
      </c>
      <c r="B7309" s="1" t="s">
        <v>2740</v>
      </c>
      <c r="F7309">
        <v>1</v>
      </c>
      <c r="G7309" t="str">
        <f>HYPERLINK("http://babel.hathitrust.org/cgi/pt?id=hvd.hwad72")</f>
        <v>http://babel.hathitrust.org/cgi/pt?id=hvd.hwad72</v>
      </c>
      <c r="H7309" t="str">
        <f t="shared" si="68"/>
        <v>http://catalog.hathitrust.org/Record/009728592</v>
      </c>
      <c r="I7309" s="1" t="s">
        <v>2658</v>
      </c>
      <c r="J7309" s="1">
        <v>1834</v>
      </c>
      <c r="K7309" t="s">
        <v>2741</v>
      </c>
      <c r="L7309" t="s">
        <v>2742</v>
      </c>
    </row>
    <row r="7310" spans="1:12">
      <c r="A7310" t="s">
        <v>2659</v>
      </c>
      <c r="B7310" s="1" t="s">
        <v>2740</v>
      </c>
      <c r="F7310">
        <v>1</v>
      </c>
      <c r="G7310" t="str">
        <f>HYPERLINK("http://babel.hathitrust.org/cgi/pt?id=hvd.hwad73")</f>
        <v>http://babel.hathitrust.org/cgi/pt?id=hvd.hwad73</v>
      </c>
      <c r="H7310" t="str">
        <f t="shared" si="68"/>
        <v>http://catalog.hathitrust.org/Record/009728592</v>
      </c>
      <c r="I7310" s="1" t="s">
        <v>2660</v>
      </c>
      <c r="J7310" s="1">
        <v>1834</v>
      </c>
      <c r="K7310" t="s">
        <v>2741</v>
      </c>
      <c r="L7310" t="s">
        <v>2742</v>
      </c>
    </row>
    <row r="7311" spans="1:12">
      <c r="A7311" t="s">
        <v>2661</v>
      </c>
      <c r="B7311" s="1" t="s">
        <v>2740</v>
      </c>
      <c r="F7311">
        <v>1</v>
      </c>
      <c r="G7311" t="str">
        <f>HYPERLINK("http://babel.hathitrust.org/cgi/pt?id=hvd.hwad74")</f>
        <v>http://babel.hathitrust.org/cgi/pt?id=hvd.hwad74</v>
      </c>
      <c r="H7311" t="str">
        <f t="shared" si="68"/>
        <v>http://catalog.hathitrust.org/Record/009728592</v>
      </c>
      <c r="I7311" s="1" t="s">
        <v>2662</v>
      </c>
      <c r="J7311" s="1">
        <v>1834</v>
      </c>
      <c r="K7311" t="s">
        <v>2741</v>
      </c>
      <c r="L7311" t="s">
        <v>2742</v>
      </c>
    </row>
    <row r="7312" spans="1:12">
      <c r="A7312" t="s">
        <v>2663</v>
      </c>
      <c r="B7312" s="1" t="s">
        <v>2740</v>
      </c>
      <c r="F7312">
        <v>1</v>
      </c>
      <c r="G7312" t="str">
        <f>HYPERLINK("http://babel.hathitrust.org/cgi/pt?id=hvd.hwad75")</f>
        <v>http://babel.hathitrust.org/cgi/pt?id=hvd.hwad75</v>
      </c>
      <c r="H7312" t="str">
        <f t="shared" si="68"/>
        <v>http://catalog.hathitrust.org/Record/009728592</v>
      </c>
      <c r="I7312" s="1" t="s">
        <v>2664</v>
      </c>
      <c r="J7312" s="1">
        <v>1834</v>
      </c>
      <c r="K7312" t="s">
        <v>2741</v>
      </c>
      <c r="L7312" t="s">
        <v>2742</v>
      </c>
    </row>
    <row r="7313" spans="1:12">
      <c r="A7313" t="s">
        <v>2665</v>
      </c>
      <c r="B7313" s="1" t="s">
        <v>2740</v>
      </c>
      <c r="F7313">
        <v>1</v>
      </c>
      <c r="G7313" t="str">
        <f>HYPERLINK("http://babel.hathitrust.org/cgi/pt?id=hvd.hwad76")</f>
        <v>http://babel.hathitrust.org/cgi/pt?id=hvd.hwad76</v>
      </c>
      <c r="H7313" t="str">
        <f t="shared" si="68"/>
        <v>http://catalog.hathitrust.org/Record/009728592</v>
      </c>
      <c r="I7313" s="1" t="s">
        <v>19163</v>
      </c>
      <c r="J7313" s="1">
        <v>1834</v>
      </c>
      <c r="K7313" t="s">
        <v>2741</v>
      </c>
      <c r="L7313" t="s">
        <v>2742</v>
      </c>
    </row>
    <row r="7314" spans="1:12">
      <c r="A7314" t="s">
        <v>2666</v>
      </c>
      <c r="B7314" s="1" t="s">
        <v>2740</v>
      </c>
      <c r="F7314">
        <v>1</v>
      </c>
      <c r="G7314" t="str">
        <f>HYPERLINK("http://babel.hathitrust.org/cgi/pt?id=hvd.hwad77")</f>
        <v>http://babel.hathitrust.org/cgi/pt?id=hvd.hwad77</v>
      </c>
      <c r="H7314" t="str">
        <f t="shared" si="68"/>
        <v>http://catalog.hathitrust.org/Record/009728592</v>
      </c>
      <c r="I7314" s="1" t="s">
        <v>19165</v>
      </c>
      <c r="J7314" s="1">
        <v>1834</v>
      </c>
      <c r="K7314" t="s">
        <v>2741</v>
      </c>
      <c r="L7314" t="s">
        <v>2742</v>
      </c>
    </row>
    <row r="7315" spans="1:12">
      <c r="A7315" t="s">
        <v>2667</v>
      </c>
      <c r="B7315" s="1" t="s">
        <v>2740</v>
      </c>
      <c r="F7315">
        <v>1</v>
      </c>
      <c r="G7315" t="str">
        <f>HYPERLINK("http://babel.hathitrust.org/cgi/pt?id=hvd.hwad7q")</f>
        <v>http://babel.hathitrust.org/cgi/pt?id=hvd.hwad7q</v>
      </c>
      <c r="H7315" t="str">
        <f t="shared" si="68"/>
        <v>http://catalog.hathitrust.org/Record/009728592</v>
      </c>
      <c r="I7315" s="1" t="s">
        <v>19169</v>
      </c>
      <c r="J7315" s="1">
        <v>1834</v>
      </c>
      <c r="K7315" t="s">
        <v>2741</v>
      </c>
      <c r="L7315" t="s">
        <v>2742</v>
      </c>
    </row>
    <row r="7316" spans="1:12">
      <c r="A7316" t="s">
        <v>2668</v>
      </c>
      <c r="B7316" s="1" t="s">
        <v>2740</v>
      </c>
      <c r="F7316">
        <v>1</v>
      </c>
      <c r="G7316" t="str">
        <f>HYPERLINK("http://babel.hathitrust.org/cgi/pt?id=hvd.hwad7r")</f>
        <v>http://babel.hathitrust.org/cgi/pt?id=hvd.hwad7r</v>
      </c>
      <c r="H7316" t="str">
        <f t="shared" si="68"/>
        <v>http://catalog.hathitrust.org/Record/009728592</v>
      </c>
      <c r="I7316" s="1" t="s">
        <v>2669</v>
      </c>
      <c r="J7316" s="1">
        <v>1834</v>
      </c>
      <c r="K7316" t="s">
        <v>2741</v>
      </c>
      <c r="L7316" t="s">
        <v>2742</v>
      </c>
    </row>
    <row r="7317" spans="1:12">
      <c r="A7317" t="s">
        <v>2670</v>
      </c>
      <c r="B7317" s="1" t="s">
        <v>2740</v>
      </c>
      <c r="F7317">
        <v>1</v>
      </c>
      <c r="G7317" t="str">
        <f>HYPERLINK("http://babel.hathitrust.org/cgi/pt?id=hvd.hwad7s")</f>
        <v>http://babel.hathitrust.org/cgi/pt?id=hvd.hwad7s</v>
      </c>
      <c r="H7317" t="str">
        <f t="shared" si="68"/>
        <v>http://catalog.hathitrust.org/Record/009728592</v>
      </c>
      <c r="I7317" s="1" t="s">
        <v>2671</v>
      </c>
      <c r="J7317" s="1">
        <v>1834</v>
      </c>
      <c r="K7317" t="s">
        <v>2741</v>
      </c>
      <c r="L7317" t="s">
        <v>2742</v>
      </c>
    </row>
    <row r="7318" spans="1:12">
      <c r="A7318" t="s">
        <v>2672</v>
      </c>
      <c r="B7318" s="1" t="s">
        <v>2740</v>
      </c>
      <c r="F7318">
        <v>1</v>
      </c>
      <c r="G7318" t="str">
        <f>HYPERLINK("http://babel.hathitrust.org/cgi/pt?id=hvd.hwad7t")</f>
        <v>http://babel.hathitrust.org/cgi/pt?id=hvd.hwad7t</v>
      </c>
      <c r="H7318" t="str">
        <f t="shared" si="68"/>
        <v>http://catalog.hathitrust.org/Record/009728592</v>
      </c>
      <c r="I7318" s="1" t="s">
        <v>2673</v>
      </c>
      <c r="J7318" s="1">
        <v>1834</v>
      </c>
      <c r="K7318" t="s">
        <v>2741</v>
      </c>
      <c r="L7318" t="s">
        <v>2742</v>
      </c>
    </row>
    <row r="7319" spans="1:12">
      <c r="A7319" t="s">
        <v>2674</v>
      </c>
      <c r="B7319" s="1" t="s">
        <v>2740</v>
      </c>
      <c r="F7319">
        <v>1</v>
      </c>
      <c r="G7319" t="str">
        <f>HYPERLINK("http://babel.hathitrust.org/cgi/pt?id=hvd.hwad7u")</f>
        <v>http://babel.hathitrust.org/cgi/pt?id=hvd.hwad7u</v>
      </c>
      <c r="H7319" t="str">
        <f t="shared" si="68"/>
        <v>http://catalog.hathitrust.org/Record/009728592</v>
      </c>
      <c r="I7319" s="1" t="s">
        <v>2675</v>
      </c>
      <c r="J7319" s="1">
        <v>1834</v>
      </c>
      <c r="K7319" t="s">
        <v>2741</v>
      </c>
      <c r="L7319" t="s">
        <v>2742</v>
      </c>
    </row>
    <row r="7320" spans="1:12">
      <c r="A7320" t="s">
        <v>2676</v>
      </c>
      <c r="B7320" s="1" t="s">
        <v>2740</v>
      </c>
      <c r="F7320">
        <v>1</v>
      </c>
      <c r="G7320" t="str">
        <f>HYPERLINK("http://babel.hathitrust.org/cgi/pt?id=hvd.hwad7v")</f>
        <v>http://babel.hathitrust.org/cgi/pt?id=hvd.hwad7v</v>
      </c>
      <c r="H7320" t="str">
        <f t="shared" si="68"/>
        <v>http://catalog.hathitrust.org/Record/009728592</v>
      </c>
      <c r="I7320" s="1" t="s">
        <v>2677</v>
      </c>
      <c r="J7320" s="1">
        <v>1834</v>
      </c>
      <c r="K7320" t="s">
        <v>2741</v>
      </c>
      <c r="L7320" t="s">
        <v>2742</v>
      </c>
    </row>
    <row r="7321" spans="1:12">
      <c r="A7321" t="s">
        <v>2678</v>
      </c>
      <c r="B7321" s="1" t="s">
        <v>2740</v>
      </c>
      <c r="F7321">
        <v>1</v>
      </c>
      <c r="G7321" t="str">
        <f>HYPERLINK("http://babel.hathitrust.org/cgi/pt?id=hvd.hwad8d")</f>
        <v>http://babel.hathitrust.org/cgi/pt?id=hvd.hwad8d</v>
      </c>
      <c r="H7321" t="str">
        <f t="shared" si="68"/>
        <v>http://catalog.hathitrust.org/Record/009728592</v>
      </c>
      <c r="I7321" s="1" t="s">
        <v>2679</v>
      </c>
      <c r="J7321" s="1">
        <v>1834</v>
      </c>
      <c r="K7321" t="s">
        <v>2741</v>
      </c>
      <c r="L7321" t="s">
        <v>2742</v>
      </c>
    </row>
    <row r="7322" spans="1:12">
      <c r="A7322" t="s">
        <v>2680</v>
      </c>
      <c r="B7322" s="1" t="s">
        <v>2681</v>
      </c>
      <c r="F7322">
        <v>1</v>
      </c>
      <c r="G7322" t="str">
        <f>HYPERLINK("http://babel.hathitrust.org/cgi/pt?id=hvd.hnnuf6")</f>
        <v>http://babel.hathitrust.org/cgi/pt?id=hvd.hnnuf6</v>
      </c>
      <c r="H7322" t="str">
        <f>HYPERLINK("http://catalog.hathitrust.org/Record/009728607")</f>
        <v>http://catalog.hathitrust.org/Record/009728607</v>
      </c>
      <c r="J7322" s="1">
        <v>1841</v>
      </c>
      <c r="K7322" t="s">
        <v>2682</v>
      </c>
      <c r="L7322" t="s">
        <v>19675</v>
      </c>
    </row>
    <row r="7323" spans="1:12">
      <c r="A7323" t="s">
        <v>2683</v>
      </c>
      <c r="B7323" s="1" t="s">
        <v>2684</v>
      </c>
      <c r="F7323">
        <v>1</v>
      </c>
      <c r="G7323" t="str">
        <f>HYPERLINK("http://babel.hathitrust.org/cgi/pt?id=hvd.32044010003440")</f>
        <v>http://babel.hathitrust.org/cgi/pt?id=hvd.32044010003440</v>
      </c>
      <c r="H7323" t="str">
        <f>HYPERLINK("http://catalog.hathitrust.org/Record/009728610")</f>
        <v>http://catalog.hathitrust.org/Record/009728610</v>
      </c>
      <c r="J7323" s="1">
        <v>1843</v>
      </c>
      <c r="K7323" t="s">
        <v>2685</v>
      </c>
    </row>
    <row r="7324" spans="1:12">
      <c r="A7324" t="s">
        <v>2686</v>
      </c>
      <c r="B7324" s="1" t="s">
        <v>2687</v>
      </c>
      <c r="D7324">
        <v>1</v>
      </c>
      <c r="G7324" t="str">
        <f>HYPERLINK("http://babel.hathitrust.org/cgi/pt?id=hvd.ah69fe")</f>
        <v>http://babel.hathitrust.org/cgi/pt?id=hvd.ah69fe</v>
      </c>
      <c r="H7324" t="str">
        <f>HYPERLINK("http://catalog.hathitrust.org/Record/009728728")</f>
        <v>http://catalog.hathitrust.org/Record/009728728</v>
      </c>
      <c r="J7324" s="1">
        <v>1842</v>
      </c>
      <c r="K7324" t="s">
        <v>9889</v>
      </c>
      <c r="L7324" t="s">
        <v>15473</v>
      </c>
    </row>
    <row r="7325" spans="1:12">
      <c r="A7325" t="s">
        <v>2688</v>
      </c>
      <c r="B7325" s="1" t="s">
        <v>2689</v>
      </c>
      <c r="F7325">
        <v>1</v>
      </c>
      <c r="G7325" t="str">
        <f>HYPERLINK("http://babel.hathitrust.org/cgi/pt?id=hvd.32044089057764")</f>
        <v>http://babel.hathitrust.org/cgi/pt?id=hvd.32044089057764</v>
      </c>
      <c r="H7325" t="str">
        <f>HYPERLINK("http://catalog.hathitrust.org/Record/009728834")</f>
        <v>http://catalog.hathitrust.org/Record/009728834</v>
      </c>
      <c r="J7325" s="1">
        <v>1840</v>
      </c>
      <c r="K7325" t="s">
        <v>2690</v>
      </c>
      <c r="L7325" t="s">
        <v>17516</v>
      </c>
    </row>
    <row r="7326" spans="1:12">
      <c r="A7326" t="s">
        <v>2691</v>
      </c>
      <c r="B7326" s="1" t="s">
        <v>2689</v>
      </c>
      <c r="F7326">
        <v>1</v>
      </c>
      <c r="G7326" t="str">
        <f>HYPERLINK("http://babel.hathitrust.org/cgi/pt?id=hvd.hw37ni")</f>
        <v>http://babel.hathitrust.org/cgi/pt?id=hvd.hw37ni</v>
      </c>
      <c r="H7326" t="str">
        <f>HYPERLINK("http://catalog.hathitrust.org/Record/009728834")</f>
        <v>http://catalog.hathitrust.org/Record/009728834</v>
      </c>
      <c r="J7326" s="1">
        <v>1840</v>
      </c>
      <c r="K7326" t="s">
        <v>2690</v>
      </c>
      <c r="L7326" t="s">
        <v>17516</v>
      </c>
    </row>
    <row r="7327" spans="1:12">
      <c r="A7327" t="s">
        <v>2692</v>
      </c>
      <c r="B7327" s="1" t="s">
        <v>2693</v>
      </c>
      <c r="F7327">
        <v>1</v>
      </c>
      <c r="G7327" t="str">
        <f>HYPERLINK("http://babel.hathitrust.org/cgi/pt?id=hvd.32044102845898")</f>
        <v>http://babel.hathitrust.org/cgi/pt?id=hvd.32044102845898</v>
      </c>
      <c r="H7327" t="str">
        <f>HYPERLINK("http://catalog.hathitrust.org/Record/009729298")</f>
        <v>http://catalog.hathitrust.org/Record/009729298</v>
      </c>
      <c r="J7327" s="1">
        <v>1842</v>
      </c>
      <c r="K7327" t="s">
        <v>7117</v>
      </c>
      <c r="L7327" t="s">
        <v>7106</v>
      </c>
    </row>
    <row r="7328" spans="1:12">
      <c r="A7328" t="s">
        <v>2694</v>
      </c>
      <c r="B7328" s="1" t="s">
        <v>2695</v>
      </c>
      <c r="F7328">
        <v>1</v>
      </c>
      <c r="G7328" t="str">
        <f>HYPERLINK("http://babel.hathitrust.org/cgi/pt?id=hvd.32044097075659")</f>
        <v>http://babel.hathitrust.org/cgi/pt?id=hvd.32044097075659</v>
      </c>
      <c r="H7328" t="str">
        <f>HYPERLINK("http://catalog.hathitrust.org/Record/009729637")</f>
        <v>http://catalog.hathitrust.org/Record/009729637</v>
      </c>
      <c r="J7328" s="1">
        <v>1835</v>
      </c>
      <c r="K7328" t="s">
        <v>2696</v>
      </c>
      <c r="L7328" t="s">
        <v>15292</v>
      </c>
    </row>
    <row r="7329" spans="1:12">
      <c r="A7329" t="s">
        <v>2697</v>
      </c>
      <c r="B7329" s="1" t="s">
        <v>2698</v>
      </c>
      <c r="F7329">
        <v>1</v>
      </c>
      <c r="G7329" t="str">
        <f>HYPERLINK("http://babel.hathitrust.org/cgi/pt?id=hvd.32044038404257")</f>
        <v>http://babel.hathitrust.org/cgi/pt?id=hvd.32044038404257</v>
      </c>
      <c r="H7329" t="str">
        <f>HYPERLINK("http://catalog.hathitrust.org/Record/009729689")</f>
        <v>http://catalog.hathitrust.org/Record/009729689</v>
      </c>
      <c r="J7329" s="1">
        <v>1836</v>
      </c>
      <c r="K7329" t="s">
        <v>2699</v>
      </c>
      <c r="L7329" t="s">
        <v>12679</v>
      </c>
    </row>
    <row r="7330" spans="1:12">
      <c r="A7330" t="s">
        <v>2700</v>
      </c>
      <c r="B7330" s="1" t="s">
        <v>2698</v>
      </c>
      <c r="F7330">
        <v>1</v>
      </c>
      <c r="G7330" t="str">
        <f>HYPERLINK("http://babel.hathitrust.org/cgi/pt?id=hvd.hwsk6f")</f>
        <v>http://babel.hathitrust.org/cgi/pt?id=hvd.hwsk6f</v>
      </c>
      <c r="H7330" t="str">
        <f>HYPERLINK("http://catalog.hathitrust.org/Record/009729689")</f>
        <v>http://catalog.hathitrust.org/Record/009729689</v>
      </c>
      <c r="J7330" s="1">
        <v>1836</v>
      </c>
      <c r="K7330" t="s">
        <v>2699</v>
      </c>
      <c r="L7330" t="s">
        <v>12679</v>
      </c>
    </row>
    <row r="7331" spans="1:12">
      <c r="A7331" t="s">
        <v>2701</v>
      </c>
      <c r="B7331" s="1" t="s">
        <v>2702</v>
      </c>
      <c r="F7331">
        <v>1</v>
      </c>
      <c r="G7331" t="str">
        <f>HYPERLINK("http://babel.hathitrust.org/cgi/pt?id=hvd.hn1evq")</f>
        <v>http://babel.hathitrust.org/cgi/pt?id=hvd.hn1evq</v>
      </c>
      <c r="H7331" t="str">
        <f>HYPERLINK("http://catalog.hathitrust.org/Record/009729835")</f>
        <v>http://catalog.hathitrust.org/Record/009729835</v>
      </c>
      <c r="J7331" s="1">
        <v>1838</v>
      </c>
      <c r="K7331" t="s">
        <v>2703</v>
      </c>
      <c r="L7331" t="s">
        <v>2704</v>
      </c>
    </row>
    <row r="7332" spans="1:12">
      <c r="A7332" t="s">
        <v>2705</v>
      </c>
      <c r="B7332" s="1" t="s">
        <v>2706</v>
      </c>
      <c r="F7332">
        <v>1</v>
      </c>
      <c r="G7332" t="str">
        <f>HYPERLINK("http://babel.hathitrust.org/cgi/pt?id=hvd.hwhiua")</f>
        <v>http://babel.hathitrust.org/cgi/pt?id=hvd.hwhiua</v>
      </c>
      <c r="H7332" t="str">
        <f>HYPERLINK("http://catalog.hathitrust.org/Record/009729915")</f>
        <v>http://catalog.hathitrust.org/Record/009729915</v>
      </c>
      <c r="J7332" s="1">
        <v>1836</v>
      </c>
      <c r="K7332" t="s">
        <v>2707</v>
      </c>
      <c r="L7332" t="s">
        <v>20454</v>
      </c>
    </row>
    <row r="7333" spans="1:12">
      <c r="A7333" t="s">
        <v>2708</v>
      </c>
      <c r="B7333" s="1" t="s">
        <v>2709</v>
      </c>
      <c r="F7333">
        <v>1</v>
      </c>
      <c r="G7333" t="str">
        <f>HYPERLINK("http://babel.hathitrust.org/cgi/pt?id=hvd.hwhitm")</f>
        <v>http://babel.hathitrust.org/cgi/pt?id=hvd.hwhitm</v>
      </c>
      <c r="H7333" t="str">
        <f>HYPERLINK("http://catalog.hathitrust.org/Record/009730199")</f>
        <v>http://catalog.hathitrust.org/Record/009730199</v>
      </c>
      <c r="J7333" s="1">
        <v>1845</v>
      </c>
      <c r="K7333" t="s">
        <v>2710</v>
      </c>
      <c r="L7333" t="s">
        <v>13902</v>
      </c>
    </row>
    <row r="7334" spans="1:12">
      <c r="A7334" t="s">
        <v>2711</v>
      </c>
      <c r="B7334" s="1" t="s">
        <v>2709</v>
      </c>
      <c r="F7334">
        <v>1</v>
      </c>
      <c r="G7334" t="str">
        <f>HYPERLINK("http://babel.hathitrust.org/cgi/pt?id=hvd.hwhitn")</f>
        <v>http://babel.hathitrust.org/cgi/pt?id=hvd.hwhitn</v>
      </c>
      <c r="H7334" t="str">
        <f>HYPERLINK("http://catalog.hathitrust.org/Record/009730199")</f>
        <v>http://catalog.hathitrust.org/Record/009730199</v>
      </c>
      <c r="J7334" s="1">
        <v>1845</v>
      </c>
      <c r="K7334" t="s">
        <v>2710</v>
      </c>
      <c r="L7334" t="s">
        <v>13902</v>
      </c>
    </row>
    <row r="7335" spans="1:12">
      <c r="A7335" t="s">
        <v>2712</v>
      </c>
      <c r="B7335" s="1" t="s">
        <v>2713</v>
      </c>
      <c r="F7335">
        <v>1</v>
      </c>
      <c r="G7335" t="str">
        <f>HYPERLINK("http://babel.hathitrust.org/cgi/pt?id=hvd.32044015366610")</f>
        <v>http://babel.hathitrust.org/cgi/pt?id=hvd.32044015366610</v>
      </c>
      <c r="H7335" t="str">
        <f>HYPERLINK("http://catalog.hathitrust.org/Record/009730202")</f>
        <v>http://catalog.hathitrust.org/Record/009730202</v>
      </c>
      <c r="J7335" s="1">
        <v>1845</v>
      </c>
      <c r="K7335" t="s">
        <v>2606</v>
      </c>
      <c r="L7335" t="s">
        <v>11060</v>
      </c>
    </row>
    <row r="7336" spans="1:12">
      <c r="A7336" t="s">
        <v>2607</v>
      </c>
      <c r="B7336" s="1" t="s">
        <v>2713</v>
      </c>
      <c r="F7336">
        <v>1</v>
      </c>
      <c r="G7336" t="str">
        <f>HYPERLINK("http://babel.hathitrust.org/cgi/pt?id=hvd.hwhint")</f>
        <v>http://babel.hathitrust.org/cgi/pt?id=hvd.hwhint</v>
      </c>
      <c r="H7336" t="str">
        <f>HYPERLINK("http://catalog.hathitrust.org/Record/009730202")</f>
        <v>http://catalog.hathitrust.org/Record/009730202</v>
      </c>
      <c r="J7336" s="1">
        <v>1845</v>
      </c>
      <c r="K7336" t="s">
        <v>2606</v>
      </c>
      <c r="L7336" t="s">
        <v>11060</v>
      </c>
    </row>
    <row r="7337" spans="1:12">
      <c r="A7337" t="s">
        <v>2608</v>
      </c>
      <c r="B7337" s="1" t="s">
        <v>2609</v>
      </c>
      <c r="D7337">
        <v>1</v>
      </c>
      <c r="G7337" t="str">
        <f>HYPERLINK("http://babel.hathitrust.org/cgi/pt?id=hvd.32044019805324")</f>
        <v>http://babel.hathitrust.org/cgi/pt?id=hvd.32044019805324</v>
      </c>
      <c r="H7337" t="str">
        <f>HYPERLINK("http://catalog.hathitrust.org/Record/009730377")</f>
        <v>http://catalog.hathitrust.org/Record/009730377</v>
      </c>
      <c r="J7337" s="1">
        <v>1836</v>
      </c>
      <c r="K7337" t="s">
        <v>2610</v>
      </c>
      <c r="L7337" t="s">
        <v>20256</v>
      </c>
    </row>
    <row r="7338" spans="1:12">
      <c r="A7338" t="s">
        <v>2611</v>
      </c>
      <c r="B7338" s="1" t="s">
        <v>2612</v>
      </c>
      <c r="F7338">
        <v>1</v>
      </c>
      <c r="G7338" t="str">
        <f>HYPERLINK("http://babel.hathitrust.org/cgi/pt?id=hvd.hwnqgk")</f>
        <v>http://babel.hathitrust.org/cgi/pt?id=hvd.hwnqgk</v>
      </c>
      <c r="H7338" t="str">
        <f>HYPERLINK("http://catalog.hathitrust.org/Record/009730424")</f>
        <v>http://catalog.hathitrust.org/Record/009730424</v>
      </c>
      <c r="J7338" s="1">
        <v>1843</v>
      </c>
      <c r="K7338" t="s">
        <v>12716</v>
      </c>
      <c r="L7338" t="s">
        <v>12717</v>
      </c>
    </row>
    <row r="7339" spans="1:12">
      <c r="A7339" t="s">
        <v>2613</v>
      </c>
      <c r="B7339" s="1" t="s">
        <v>2614</v>
      </c>
      <c r="E7339">
        <v>1</v>
      </c>
      <c r="F7339">
        <v>1</v>
      </c>
      <c r="G7339" t="str">
        <f>HYPERLINK("http://babel.hathitrust.org/cgi/pt?id=hvd.hwkb4q")</f>
        <v>http://babel.hathitrust.org/cgi/pt?id=hvd.hwkb4q</v>
      </c>
      <c r="H7339" t="str">
        <f>HYPERLINK("http://catalog.hathitrust.org/Record/009730970")</f>
        <v>http://catalog.hathitrust.org/Record/009730970</v>
      </c>
      <c r="J7339" s="1">
        <v>1841</v>
      </c>
      <c r="K7339" t="s">
        <v>8061</v>
      </c>
      <c r="L7339" t="s">
        <v>20297</v>
      </c>
    </row>
    <row r="7340" spans="1:12">
      <c r="A7340" t="s">
        <v>2615</v>
      </c>
      <c r="B7340" s="1" t="s">
        <v>2616</v>
      </c>
      <c r="F7340">
        <v>1</v>
      </c>
      <c r="G7340" t="str">
        <f>HYPERLINK("http://babel.hathitrust.org/cgi/pt?id=hvd.32044028949212")</f>
        <v>http://babel.hathitrust.org/cgi/pt?id=hvd.32044028949212</v>
      </c>
      <c r="H7340" t="str">
        <f>HYPERLINK("http://catalog.hathitrust.org/Record/009730979")</f>
        <v>http://catalog.hathitrust.org/Record/009730979</v>
      </c>
      <c r="J7340" s="1">
        <v>1841</v>
      </c>
      <c r="K7340" t="s">
        <v>2617</v>
      </c>
      <c r="L7340" t="s">
        <v>2618</v>
      </c>
    </row>
    <row r="7341" spans="1:12">
      <c r="A7341" t="s">
        <v>2619</v>
      </c>
      <c r="B7341" s="1" t="s">
        <v>2620</v>
      </c>
      <c r="F7341">
        <v>1</v>
      </c>
      <c r="G7341" t="str">
        <f>HYPERLINK("http://babel.hathitrust.org/cgi/pt?id=hvd.hwhinr")</f>
        <v>http://babel.hathitrust.org/cgi/pt?id=hvd.hwhinr</v>
      </c>
      <c r="H7341" t="str">
        <f>HYPERLINK("http://catalog.hathitrust.org/Record/009731078")</f>
        <v>http://catalog.hathitrust.org/Record/009731078</v>
      </c>
      <c r="J7341" s="1">
        <v>1845</v>
      </c>
      <c r="K7341" t="s">
        <v>2606</v>
      </c>
      <c r="L7341" t="s">
        <v>11060</v>
      </c>
    </row>
    <row r="7342" spans="1:12">
      <c r="A7342" t="s">
        <v>2621</v>
      </c>
      <c r="B7342" s="1" t="s">
        <v>2622</v>
      </c>
      <c r="F7342">
        <v>1</v>
      </c>
      <c r="G7342" t="str">
        <f>HYPERLINK("http://babel.hathitrust.org/cgi/pt?id=hvd.32044058170481")</f>
        <v>http://babel.hathitrust.org/cgi/pt?id=hvd.32044058170481</v>
      </c>
      <c r="H7342" t="str">
        <f>HYPERLINK("http://catalog.hathitrust.org/Record/009731098")</f>
        <v>http://catalog.hathitrust.org/Record/009731098</v>
      </c>
      <c r="I7342" s="1" t="s">
        <v>20916</v>
      </c>
      <c r="J7342" s="1">
        <v>1844</v>
      </c>
      <c r="K7342" t="s">
        <v>2623</v>
      </c>
    </row>
    <row r="7343" spans="1:12">
      <c r="A7343" t="s">
        <v>2624</v>
      </c>
      <c r="B7343" s="1" t="s">
        <v>2622</v>
      </c>
      <c r="F7343">
        <v>1</v>
      </c>
      <c r="G7343" t="str">
        <f>HYPERLINK("http://babel.hathitrust.org/cgi/pt?id=hvd.32044089259147")</f>
        <v>http://babel.hathitrust.org/cgi/pt?id=hvd.32044089259147</v>
      </c>
      <c r="H7343" t="str">
        <f>HYPERLINK("http://catalog.hathitrust.org/Record/009731098")</f>
        <v>http://catalog.hathitrust.org/Record/009731098</v>
      </c>
      <c r="I7343" s="1" t="s">
        <v>20920</v>
      </c>
      <c r="J7343" s="1">
        <v>1844</v>
      </c>
      <c r="K7343" t="s">
        <v>2623</v>
      </c>
    </row>
    <row r="7344" spans="1:12">
      <c r="A7344" t="s">
        <v>2625</v>
      </c>
      <c r="B7344" s="1" t="s">
        <v>2622</v>
      </c>
      <c r="F7344">
        <v>1</v>
      </c>
      <c r="G7344" t="str">
        <f>HYPERLINK("http://babel.hathitrust.org/cgi/pt?id=hvd.32044089259154")</f>
        <v>http://babel.hathitrust.org/cgi/pt?id=hvd.32044089259154</v>
      </c>
      <c r="H7344" t="str">
        <f>HYPERLINK("http://catalog.hathitrust.org/Record/009731098")</f>
        <v>http://catalog.hathitrust.org/Record/009731098</v>
      </c>
      <c r="I7344" s="1" t="s">
        <v>20755</v>
      </c>
      <c r="J7344" s="1">
        <v>1844</v>
      </c>
      <c r="K7344" t="s">
        <v>2623</v>
      </c>
    </row>
    <row r="7345" spans="1:12">
      <c r="A7345" t="s">
        <v>2626</v>
      </c>
      <c r="B7345" s="1" t="s">
        <v>2627</v>
      </c>
      <c r="D7345">
        <v>1</v>
      </c>
      <c r="G7345" t="str">
        <f>HYPERLINK("http://babel.hathitrust.org/cgi/pt?id=hvd.32044102845856")</f>
        <v>http://babel.hathitrust.org/cgi/pt?id=hvd.32044102845856</v>
      </c>
      <c r="H7345" t="str">
        <f>HYPERLINK("http://catalog.hathitrust.org/Record/009731111")</f>
        <v>http://catalog.hathitrust.org/Record/009731111</v>
      </c>
      <c r="J7345" s="1">
        <v>1837</v>
      </c>
      <c r="K7345" t="s">
        <v>2973</v>
      </c>
      <c r="L7345" t="s">
        <v>19694</v>
      </c>
    </row>
    <row r="7346" spans="1:12">
      <c r="A7346" t="s">
        <v>2628</v>
      </c>
      <c r="B7346" s="1" t="s">
        <v>2629</v>
      </c>
      <c r="E7346">
        <v>1</v>
      </c>
      <c r="F7346">
        <v>1</v>
      </c>
      <c r="G7346" t="str">
        <f>HYPERLINK("http://babel.hathitrust.org/cgi/pt?id=hvd.hwknsm")</f>
        <v>http://babel.hathitrust.org/cgi/pt?id=hvd.hwknsm</v>
      </c>
      <c r="H7346" t="str">
        <f>HYPERLINK("http://catalog.hathitrust.org/Record/009731213")</f>
        <v>http://catalog.hathitrust.org/Record/009731213</v>
      </c>
      <c r="I7346" s="1" t="s">
        <v>20755</v>
      </c>
      <c r="J7346" s="1">
        <v>1840</v>
      </c>
      <c r="K7346" t="s">
        <v>2630</v>
      </c>
      <c r="L7346" t="s">
        <v>15008</v>
      </c>
    </row>
    <row r="7347" spans="1:12">
      <c r="A7347" t="s">
        <v>2631</v>
      </c>
      <c r="B7347" s="1" t="s">
        <v>2629</v>
      </c>
      <c r="E7347">
        <v>1</v>
      </c>
      <c r="F7347">
        <v>1</v>
      </c>
      <c r="G7347" t="str">
        <f>HYPERLINK("http://babel.hathitrust.org/cgi/pt?id=hvd.hx5djv")</f>
        <v>http://babel.hathitrust.org/cgi/pt?id=hvd.hx5djv</v>
      </c>
      <c r="H7347" t="str">
        <f>HYPERLINK("http://catalog.hathitrust.org/Record/009731213")</f>
        <v>http://catalog.hathitrust.org/Record/009731213</v>
      </c>
      <c r="I7347" s="1" t="s">
        <v>20755</v>
      </c>
      <c r="J7347" s="1">
        <v>1840</v>
      </c>
      <c r="K7347" t="s">
        <v>2630</v>
      </c>
      <c r="L7347" t="s">
        <v>15008</v>
      </c>
    </row>
    <row r="7348" spans="1:12">
      <c r="A7348" t="s">
        <v>2632</v>
      </c>
      <c r="B7348" s="1" t="s">
        <v>2633</v>
      </c>
      <c r="F7348">
        <v>1</v>
      </c>
      <c r="G7348" t="str">
        <f>HYPERLINK("http://babel.hathitrust.org/cgi/pt?id=hvd.hwnqg4")</f>
        <v>http://babel.hathitrust.org/cgi/pt?id=hvd.hwnqg4</v>
      </c>
      <c r="H7348" t="str">
        <f>HYPERLINK("http://catalog.hathitrust.org/Record/009731229")</f>
        <v>http://catalog.hathitrust.org/Record/009731229</v>
      </c>
      <c r="J7348" s="1">
        <v>1839</v>
      </c>
      <c r="K7348" t="s">
        <v>2634</v>
      </c>
      <c r="L7348" t="s">
        <v>16785</v>
      </c>
    </row>
    <row r="7349" spans="1:12">
      <c r="A7349" t="s">
        <v>2635</v>
      </c>
      <c r="B7349" s="1" t="s">
        <v>2636</v>
      </c>
      <c r="F7349">
        <v>1</v>
      </c>
      <c r="G7349" t="str">
        <f>HYPERLINK("http://babel.hathitrust.org/cgi/pt?id=hvd.32044097079891")</f>
        <v>http://babel.hathitrust.org/cgi/pt?id=hvd.32044097079891</v>
      </c>
      <c r="H7349" t="str">
        <f>HYPERLINK("http://catalog.hathitrust.org/Record/009731288")</f>
        <v>http://catalog.hathitrust.org/Record/009731288</v>
      </c>
      <c r="J7349" s="1">
        <v>1844</v>
      </c>
      <c r="K7349" t="s">
        <v>2637</v>
      </c>
      <c r="L7349" t="s">
        <v>2638</v>
      </c>
    </row>
    <row r="7350" spans="1:12">
      <c r="A7350" t="s">
        <v>2639</v>
      </c>
      <c r="B7350" s="1" t="s">
        <v>2640</v>
      </c>
      <c r="F7350">
        <v>1</v>
      </c>
      <c r="G7350" t="str">
        <f>HYPERLINK("http://babel.hathitrust.org/cgi/pt?id=hvd.32044097078802")</f>
        <v>http://babel.hathitrust.org/cgi/pt?id=hvd.32044097078802</v>
      </c>
      <c r="H7350" t="str">
        <f>HYPERLINK("http://catalog.hathitrust.org/Record/009731565")</f>
        <v>http://catalog.hathitrust.org/Record/009731565</v>
      </c>
      <c r="J7350" s="1">
        <v>1840</v>
      </c>
      <c r="K7350" t="s">
        <v>2641</v>
      </c>
    </row>
    <row r="7351" spans="1:12">
      <c r="A7351" t="s">
        <v>2642</v>
      </c>
      <c r="B7351" s="1" t="s">
        <v>2643</v>
      </c>
      <c r="D7351">
        <v>1</v>
      </c>
      <c r="G7351" t="str">
        <f>HYPERLINK("http://babel.hathitrust.org/cgi/pt?id=hvd.hx5g8k")</f>
        <v>http://babel.hathitrust.org/cgi/pt?id=hvd.hx5g8k</v>
      </c>
      <c r="H7351" t="str">
        <f>HYPERLINK("http://catalog.hathitrust.org/Record/009731693")</f>
        <v>http://catalog.hathitrust.org/Record/009731693</v>
      </c>
      <c r="J7351" s="1">
        <v>1840</v>
      </c>
      <c r="K7351" t="s">
        <v>2644</v>
      </c>
      <c r="L7351" t="s">
        <v>20086</v>
      </c>
    </row>
    <row r="7352" spans="1:12">
      <c r="A7352" t="s">
        <v>2645</v>
      </c>
      <c r="B7352" s="1" t="s">
        <v>2646</v>
      </c>
      <c r="F7352">
        <v>1</v>
      </c>
      <c r="G7352" t="str">
        <f>HYPERLINK("http://babel.hathitrust.org/cgi/pt?id=hvd.32044097075634")</f>
        <v>http://babel.hathitrust.org/cgi/pt?id=hvd.32044097075634</v>
      </c>
      <c r="H7352" t="str">
        <f>HYPERLINK("http://catalog.hathitrust.org/Record/009731759")</f>
        <v>http://catalog.hathitrust.org/Record/009731759</v>
      </c>
      <c r="J7352" s="1">
        <v>1835</v>
      </c>
      <c r="K7352" t="s">
        <v>2647</v>
      </c>
      <c r="L7352" t="s">
        <v>20043</v>
      </c>
    </row>
    <row r="7353" spans="1:12">
      <c r="A7353" t="s">
        <v>2648</v>
      </c>
      <c r="B7353" s="1" t="s">
        <v>2649</v>
      </c>
      <c r="F7353">
        <v>1</v>
      </c>
      <c r="G7353" t="str">
        <f>HYPERLINK("http://babel.hathitrust.org/cgi/pt?id=hvd.32044102845849")</f>
        <v>http://babel.hathitrust.org/cgi/pt?id=hvd.32044102845849</v>
      </c>
      <c r="H7353" t="str">
        <f>HYPERLINK("http://catalog.hathitrust.org/Record/009731794")</f>
        <v>http://catalog.hathitrust.org/Record/009731794</v>
      </c>
      <c r="J7353" s="1">
        <v>1834</v>
      </c>
      <c r="K7353" t="s">
        <v>6870</v>
      </c>
      <c r="L7353" t="s">
        <v>16039</v>
      </c>
    </row>
    <row r="7354" spans="1:12">
      <c r="A7354" t="s">
        <v>2650</v>
      </c>
      <c r="B7354" s="1" t="s">
        <v>2649</v>
      </c>
      <c r="F7354">
        <v>1</v>
      </c>
      <c r="G7354" t="str">
        <f>HYPERLINK("http://babel.hathitrust.org/cgi/pt?id=hvd.hn1edn")</f>
        <v>http://babel.hathitrust.org/cgi/pt?id=hvd.hn1edn</v>
      </c>
      <c r="H7354" t="str">
        <f>HYPERLINK("http://catalog.hathitrust.org/Record/009731794")</f>
        <v>http://catalog.hathitrust.org/Record/009731794</v>
      </c>
      <c r="J7354" s="1">
        <v>1834</v>
      </c>
      <c r="K7354" t="s">
        <v>6870</v>
      </c>
      <c r="L7354" t="s">
        <v>16039</v>
      </c>
    </row>
    <row r="7355" spans="1:12">
      <c r="A7355" t="s">
        <v>2651</v>
      </c>
      <c r="B7355" s="1" t="s">
        <v>2652</v>
      </c>
      <c r="F7355">
        <v>1</v>
      </c>
      <c r="G7355" t="str">
        <f>HYPERLINK("http://babel.hathitrust.org/cgi/pt?id=hvd.hn1idq")</f>
        <v>http://babel.hathitrust.org/cgi/pt?id=hvd.hn1idq</v>
      </c>
      <c r="H7355" t="str">
        <f>HYPERLINK("http://catalog.hathitrust.org/Record/009731859")</f>
        <v>http://catalog.hathitrust.org/Record/009731859</v>
      </c>
      <c r="J7355" s="1">
        <v>1835</v>
      </c>
      <c r="K7355" t="s">
        <v>2567</v>
      </c>
      <c r="L7355" t="s">
        <v>15292</v>
      </c>
    </row>
    <row r="7356" spans="1:12">
      <c r="A7356" t="s">
        <v>2568</v>
      </c>
      <c r="B7356" s="1" t="s">
        <v>2569</v>
      </c>
      <c r="E7356">
        <v>1</v>
      </c>
      <c r="G7356" t="str">
        <f>HYPERLINK("http://babel.hathitrust.org/cgi/pt?id=hvd.hwkz68")</f>
        <v>http://babel.hathitrust.org/cgi/pt?id=hvd.hwkz68</v>
      </c>
      <c r="H7356" t="str">
        <f>HYPERLINK("http://catalog.hathitrust.org/Record/009732008")</f>
        <v>http://catalog.hathitrust.org/Record/009732008</v>
      </c>
      <c r="J7356" s="1">
        <v>1845</v>
      </c>
      <c r="K7356" t="s">
        <v>2570</v>
      </c>
      <c r="L7356" t="s">
        <v>9134</v>
      </c>
    </row>
    <row r="7357" spans="1:12">
      <c r="A7357" t="s">
        <v>2571</v>
      </c>
      <c r="B7357" s="1" t="s">
        <v>2572</v>
      </c>
      <c r="F7357">
        <v>1</v>
      </c>
      <c r="G7357" t="str">
        <f>HYPERLINK("http://babel.hathitrust.org/cgi/pt?id=hvd.hwpae8")</f>
        <v>http://babel.hathitrust.org/cgi/pt?id=hvd.hwpae8</v>
      </c>
      <c r="H7357" t="str">
        <f>HYPERLINK("http://catalog.hathitrust.org/Record/009732053")</f>
        <v>http://catalog.hathitrust.org/Record/009732053</v>
      </c>
      <c r="I7357" s="1">
        <v>3</v>
      </c>
      <c r="J7357" s="1">
        <v>1844</v>
      </c>
      <c r="K7357" t="s">
        <v>2573</v>
      </c>
      <c r="L7357" t="s">
        <v>17516</v>
      </c>
    </row>
    <row r="7358" spans="1:12">
      <c r="A7358" t="s">
        <v>2574</v>
      </c>
      <c r="B7358" s="1" t="s">
        <v>2575</v>
      </c>
      <c r="F7358">
        <v>1</v>
      </c>
      <c r="G7358" t="str">
        <f>HYPERLINK("http://babel.hathitrust.org/cgi/pt?id=hvd.hwpae9")</f>
        <v>http://babel.hathitrust.org/cgi/pt?id=hvd.hwpae9</v>
      </c>
      <c r="H7358" t="str">
        <f>HYPERLINK("http://catalog.hathitrust.org/Record/009732054")</f>
        <v>http://catalog.hathitrust.org/Record/009732054</v>
      </c>
      <c r="I7358" s="1">
        <v>1</v>
      </c>
      <c r="J7358" s="1">
        <v>1844</v>
      </c>
      <c r="K7358" t="s">
        <v>2576</v>
      </c>
      <c r="L7358" t="s">
        <v>17516</v>
      </c>
    </row>
    <row r="7359" spans="1:12">
      <c r="A7359" t="s">
        <v>2577</v>
      </c>
      <c r="B7359" s="1" t="s">
        <v>2575</v>
      </c>
      <c r="F7359">
        <v>1</v>
      </c>
      <c r="G7359" t="str">
        <f>HYPERLINK("http://babel.hathitrust.org/cgi/pt?id=hvd.hwpaea")</f>
        <v>http://babel.hathitrust.org/cgi/pt?id=hvd.hwpaea</v>
      </c>
      <c r="H7359" t="str">
        <f>HYPERLINK("http://catalog.hathitrust.org/Record/009732054")</f>
        <v>http://catalog.hathitrust.org/Record/009732054</v>
      </c>
      <c r="I7359" s="1">
        <v>2</v>
      </c>
      <c r="J7359" s="1">
        <v>1844</v>
      </c>
      <c r="K7359" t="s">
        <v>2576</v>
      </c>
      <c r="L7359" t="s">
        <v>17516</v>
      </c>
    </row>
    <row r="7360" spans="1:12">
      <c r="A7360" t="s">
        <v>2578</v>
      </c>
      <c r="B7360" s="1" t="s">
        <v>2575</v>
      </c>
      <c r="F7360">
        <v>1</v>
      </c>
      <c r="G7360" t="str">
        <f>HYPERLINK("http://babel.hathitrust.org/cgi/pt?id=hvd.hwpaeb")</f>
        <v>http://babel.hathitrust.org/cgi/pt?id=hvd.hwpaeb</v>
      </c>
      <c r="H7360" t="str">
        <f>HYPERLINK("http://catalog.hathitrust.org/Record/009732054")</f>
        <v>http://catalog.hathitrust.org/Record/009732054</v>
      </c>
      <c r="I7360" s="1">
        <v>3</v>
      </c>
      <c r="J7360" s="1">
        <v>1844</v>
      </c>
      <c r="K7360" t="s">
        <v>2576</v>
      </c>
      <c r="L7360" t="s">
        <v>17516</v>
      </c>
    </row>
    <row r="7361" spans="1:12">
      <c r="A7361" t="s">
        <v>2579</v>
      </c>
      <c r="B7361" s="1" t="s">
        <v>2580</v>
      </c>
      <c r="F7361">
        <v>1</v>
      </c>
      <c r="G7361" t="str">
        <f>HYPERLINK("http://babel.hathitrust.org/cgi/pt?id=hvd.hx523c")</f>
        <v>http://babel.hathitrust.org/cgi/pt?id=hvd.hx523c</v>
      </c>
      <c r="H7361" t="str">
        <f>HYPERLINK("http://catalog.hathitrust.org/Record/009732106")</f>
        <v>http://catalog.hathitrust.org/Record/009732106</v>
      </c>
      <c r="J7361" s="1">
        <v>1841</v>
      </c>
      <c r="K7361" t="s">
        <v>6976</v>
      </c>
      <c r="L7361" t="s">
        <v>12679</v>
      </c>
    </row>
    <row r="7362" spans="1:12">
      <c r="A7362" t="s">
        <v>2581</v>
      </c>
      <c r="B7362" s="1" t="s">
        <v>2582</v>
      </c>
      <c r="F7362">
        <v>1</v>
      </c>
      <c r="G7362" t="str">
        <f>HYPERLINK("http://babel.hathitrust.org/cgi/pt?id=hvd.32044102845864")</f>
        <v>http://babel.hathitrust.org/cgi/pt?id=hvd.32044102845864</v>
      </c>
      <c r="H7362" t="str">
        <f>HYPERLINK("http://catalog.hathitrust.org/Record/009732232")</f>
        <v>http://catalog.hathitrust.org/Record/009732232</v>
      </c>
      <c r="J7362" s="1">
        <v>1839</v>
      </c>
      <c r="K7362" t="s">
        <v>2583</v>
      </c>
      <c r="L7362" t="s">
        <v>16039</v>
      </c>
    </row>
    <row r="7363" spans="1:12">
      <c r="A7363" t="s">
        <v>2584</v>
      </c>
      <c r="B7363" s="1" t="s">
        <v>2585</v>
      </c>
      <c r="F7363">
        <v>1</v>
      </c>
      <c r="G7363" t="str">
        <f>HYPERLINK("http://babel.hathitrust.org/cgi/pt?id=hvd.32044102845914")</f>
        <v>http://babel.hathitrust.org/cgi/pt?id=hvd.32044102845914</v>
      </c>
      <c r="H7363" t="str">
        <f>HYPERLINK("http://catalog.hathitrust.org/Record/009732233")</f>
        <v>http://catalog.hathitrust.org/Record/009732233</v>
      </c>
      <c r="J7363" s="1">
        <v>1843</v>
      </c>
      <c r="K7363" t="s">
        <v>2586</v>
      </c>
      <c r="L7363" t="s">
        <v>16039</v>
      </c>
    </row>
    <row r="7364" spans="1:12">
      <c r="A7364" t="s">
        <v>2587</v>
      </c>
      <c r="B7364" s="1" t="s">
        <v>2588</v>
      </c>
      <c r="F7364">
        <v>1</v>
      </c>
      <c r="G7364" t="str">
        <f>HYPERLINK("http://babel.hathitrust.org/cgi/pt?id=hvd.32044102845922")</f>
        <v>http://babel.hathitrust.org/cgi/pt?id=hvd.32044102845922</v>
      </c>
      <c r="H7364" t="str">
        <f>HYPERLINK("http://catalog.hathitrust.org/Record/009732234")</f>
        <v>http://catalog.hathitrust.org/Record/009732234</v>
      </c>
      <c r="J7364" s="1">
        <v>1845</v>
      </c>
      <c r="K7364" t="s">
        <v>2589</v>
      </c>
      <c r="L7364" t="s">
        <v>16039</v>
      </c>
    </row>
    <row r="7365" spans="1:12">
      <c r="A7365" t="s">
        <v>2590</v>
      </c>
      <c r="B7365" s="1" t="s">
        <v>2591</v>
      </c>
      <c r="F7365">
        <v>1</v>
      </c>
      <c r="G7365" t="str">
        <f>HYPERLINK("http://babel.hathitrust.org/cgi/pt?id=hvd.hwnqbk")</f>
        <v>http://babel.hathitrust.org/cgi/pt?id=hvd.hwnqbk</v>
      </c>
      <c r="H7365" t="str">
        <f>HYPERLINK("http://catalog.hathitrust.org/Record/009732373")</f>
        <v>http://catalog.hathitrust.org/Record/009732373</v>
      </c>
      <c r="J7365" s="1">
        <v>1841</v>
      </c>
      <c r="K7365" t="s">
        <v>2592</v>
      </c>
      <c r="L7365" t="s">
        <v>19514</v>
      </c>
    </row>
    <row r="7366" spans="1:12">
      <c r="A7366" t="s">
        <v>2593</v>
      </c>
      <c r="B7366" s="1" t="s">
        <v>2594</v>
      </c>
      <c r="F7366">
        <v>1</v>
      </c>
      <c r="G7366" t="str">
        <f>HYPERLINK("http://babel.hathitrust.org/cgi/pt?id=hvd.hwnqc9")</f>
        <v>http://babel.hathitrust.org/cgi/pt?id=hvd.hwnqc9</v>
      </c>
      <c r="H7366" t="str">
        <f>HYPERLINK("http://catalog.hathitrust.org/Record/009732385")</f>
        <v>http://catalog.hathitrust.org/Record/009732385</v>
      </c>
      <c r="J7366" s="1">
        <v>1845</v>
      </c>
      <c r="K7366" t="s">
        <v>2595</v>
      </c>
      <c r="L7366" t="s">
        <v>19514</v>
      </c>
    </row>
    <row r="7367" spans="1:12">
      <c r="A7367" t="s">
        <v>2596</v>
      </c>
      <c r="B7367" s="1" t="s">
        <v>2597</v>
      </c>
      <c r="E7367">
        <v>1</v>
      </c>
      <c r="G7367" t="str">
        <f>HYPERLINK("http://babel.hathitrust.org/cgi/pt?id=hvd.hx5gb9")</f>
        <v>http://babel.hathitrust.org/cgi/pt?id=hvd.hx5gb9</v>
      </c>
      <c r="H7367" t="str">
        <f>HYPERLINK("http://catalog.hathitrust.org/Record/009733145")</f>
        <v>http://catalog.hathitrust.org/Record/009733145</v>
      </c>
      <c r="J7367" s="1">
        <v>1840</v>
      </c>
      <c r="K7367" t="s">
        <v>7547</v>
      </c>
      <c r="L7367" t="s">
        <v>20960</v>
      </c>
    </row>
    <row r="7368" spans="1:12">
      <c r="A7368" t="s">
        <v>2598</v>
      </c>
      <c r="B7368" s="1" t="s">
        <v>2599</v>
      </c>
      <c r="E7368">
        <v>1</v>
      </c>
      <c r="F7368">
        <v>1</v>
      </c>
      <c r="G7368" t="str">
        <f>HYPERLINK("http://babel.hathitrust.org/cgi/pt?id=hvd.hn1q87")</f>
        <v>http://babel.hathitrust.org/cgi/pt?id=hvd.hn1q87</v>
      </c>
      <c r="H7368" t="str">
        <f>HYPERLINK("http://catalog.hathitrust.org/Record/009733711")</f>
        <v>http://catalog.hathitrust.org/Record/009733711</v>
      </c>
      <c r="J7368" s="1">
        <v>1843</v>
      </c>
      <c r="K7368" t="s">
        <v>6207</v>
      </c>
      <c r="L7368" t="s">
        <v>15662</v>
      </c>
    </row>
    <row r="7369" spans="1:12">
      <c r="A7369" t="s">
        <v>2600</v>
      </c>
      <c r="B7369" s="1" t="s">
        <v>2601</v>
      </c>
      <c r="F7369">
        <v>1</v>
      </c>
      <c r="G7369" t="str">
        <f>HYPERLINK("http://babel.hathitrust.org/cgi/pt?id=hvd.hn1ce6")</f>
        <v>http://babel.hathitrust.org/cgi/pt?id=hvd.hn1ce6</v>
      </c>
      <c r="H7369" t="str">
        <f>HYPERLINK("http://catalog.hathitrust.org/Record/009734409")</f>
        <v>http://catalog.hathitrust.org/Record/009734409</v>
      </c>
      <c r="J7369" s="1">
        <v>1843</v>
      </c>
      <c r="K7369" t="s">
        <v>2602</v>
      </c>
      <c r="L7369" t="s">
        <v>2603</v>
      </c>
    </row>
    <row r="7370" spans="1:12">
      <c r="A7370" t="s">
        <v>2604</v>
      </c>
      <c r="B7370" s="1" t="s">
        <v>2605</v>
      </c>
      <c r="F7370">
        <v>1</v>
      </c>
      <c r="G7370" t="str">
        <f>HYPERLINK("http://babel.hathitrust.org/cgi/pt?id=hvd.hwskl1")</f>
        <v>http://babel.hathitrust.org/cgi/pt?id=hvd.hwskl1</v>
      </c>
      <c r="H7370" t="str">
        <f>HYPERLINK("http://catalog.hathitrust.org/Record/009734501")</f>
        <v>http://catalog.hathitrust.org/Record/009734501</v>
      </c>
      <c r="J7370" s="1">
        <v>1839</v>
      </c>
      <c r="K7370" t="s">
        <v>2542</v>
      </c>
      <c r="L7370" t="s">
        <v>2543</v>
      </c>
    </row>
    <row r="7371" spans="1:12">
      <c r="A7371" t="s">
        <v>2544</v>
      </c>
      <c r="B7371" s="1" t="s">
        <v>2545</v>
      </c>
      <c r="F7371">
        <v>1</v>
      </c>
      <c r="G7371" t="str">
        <f>HYPERLINK("http://babel.hathitrust.org/cgi/pt?id=hvd.hn1djc")</f>
        <v>http://babel.hathitrust.org/cgi/pt?id=hvd.hn1djc</v>
      </c>
      <c r="H7371" t="str">
        <f>HYPERLINK("http://catalog.hathitrust.org/Record/009735218")</f>
        <v>http://catalog.hathitrust.org/Record/009735218</v>
      </c>
      <c r="J7371" s="1">
        <v>1839</v>
      </c>
      <c r="K7371" t="s">
        <v>2546</v>
      </c>
      <c r="L7371" t="s">
        <v>14096</v>
      </c>
    </row>
    <row r="7372" spans="1:12">
      <c r="A7372" t="s">
        <v>2547</v>
      </c>
      <c r="B7372" s="1" t="s">
        <v>2548</v>
      </c>
      <c r="F7372">
        <v>1</v>
      </c>
      <c r="G7372" t="str">
        <f>HYPERLINK("http://babel.hathitrust.org/cgi/pt?id=hvd.hn1rpn")</f>
        <v>http://babel.hathitrust.org/cgi/pt?id=hvd.hn1rpn</v>
      </c>
      <c r="H7372" t="str">
        <f>HYPERLINK("http://catalog.hathitrust.org/Record/009735377")</f>
        <v>http://catalog.hathitrust.org/Record/009735377</v>
      </c>
      <c r="J7372" s="1">
        <v>1835</v>
      </c>
      <c r="K7372" t="s">
        <v>2549</v>
      </c>
      <c r="L7372" t="s">
        <v>16785</v>
      </c>
    </row>
    <row r="7373" spans="1:12">
      <c r="A7373" t="s">
        <v>2550</v>
      </c>
      <c r="B7373" s="1" t="s">
        <v>2551</v>
      </c>
      <c r="F7373">
        <v>1</v>
      </c>
      <c r="G7373" t="str">
        <f>HYPERLINK("http://babel.hathitrust.org/cgi/pt?id=hvd.hn5wd2")</f>
        <v>http://babel.hathitrust.org/cgi/pt?id=hvd.hn5wd2</v>
      </c>
      <c r="H7373" t="str">
        <f>HYPERLINK("http://catalog.hathitrust.org/Record/009735476")</f>
        <v>http://catalog.hathitrust.org/Record/009735476</v>
      </c>
      <c r="J7373" s="1">
        <v>1835</v>
      </c>
      <c r="K7373" t="s">
        <v>2552</v>
      </c>
      <c r="L7373" t="s">
        <v>4113</v>
      </c>
    </row>
    <row r="7374" spans="1:12">
      <c r="A7374" t="s">
        <v>2553</v>
      </c>
      <c r="B7374" s="1" t="s">
        <v>2554</v>
      </c>
      <c r="D7374">
        <v>1</v>
      </c>
      <c r="G7374" t="str">
        <f>HYPERLINK("http://babel.hathitrust.org/cgi/pt?id=hvd.hn3cnn")</f>
        <v>http://babel.hathitrust.org/cgi/pt?id=hvd.hn3cnn</v>
      </c>
      <c r="H7374" t="str">
        <f>HYPERLINK("http://catalog.hathitrust.org/Record/009735646")</f>
        <v>http://catalog.hathitrust.org/Record/009735646</v>
      </c>
      <c r="J7374" s="1">
        <v>1837</v>
      </c>
      <c r="K7374" t="s">
        <v>2555</v>
      </c>
      <c r="L7374" t="s">
        <v>20086</v>
      </c>
    </row>
    <row r="7375" spans="1:12">
      <c r="A7375" t="s">
        <v>2556</v>
      </c>
      <c r="B7375" s="1" t="s">
        <v>2557</v>
      </c>
      <c r="F7375">
        <v>1</v>
      </c>
      <c r="G7375" t="str">
        <f>HYPERLINK("http://babel.hathitrust.org/cgi/pt?id=hvd.32044085136372")</f>
        <v>http://babel.hathitrust.org/cgi/pt?id=hvd.32044085136372</v>
      </c>
      <c r="H7375" t="str">
        <f>HYPERLINK("http://catalog.hathitrust.org/Record/009735743")</f>
        <v>http://catalog.hathitrust.org/Record/009735743</v>
      </c>
      <c r="J7375" s="1">
        <v>1836</v>
      </c>
      <c r="K7375" t="s">
        <v>2558</v>
      </c>
      <c r="L7375" t="s">
        <v>9441</v>
      </c>
    </row>
    <row r="7376" spans="1:12">
      <c r="A7376" t="s">
        <v>2559</v>
      </c>
      <c r="B7376" s="1" t="s">
        <v>2560</v>
      </c>
      <c r="E7376">
        <v>1</v>
      </c>
      <c r="G7376" t="str">
        <f>HYPERLINK("http://babel.hathitrust.org/cgi/pt?id=hvd.hnmhb8")</f>
        <v>http://babel.hathitrust.org/cgi/pt?id=hvd.hnmhb8</v>
      </c>
      <c r="H7376" t="str">
        <f>HYPERLINK("http://catalog.hathitrust.org/Record/009736088")</f>
        <v>http://catalog.hathitrust.org/Record/009736088</v>
      </c>
      <c r="J7376" s="1">
        <v>1844</v>
      </c>
      <c r="K7376" t="s">
        <v>2561</v>
      </c>
      <c r="L7376" t="s">
        <v>10736</v>
      </c>
    </row>
    <row r="7377" spans="1:12">
      <c r="A7377" t="s">
        <v>2562</v>
      </c>
      <c r="B7377" s="1" t="s">
        <v>2563</v>
      </c>
      <c r="E7377">
        <v>1</v>
      </c>
      <c r="G7377" t="str">
        <f>HYPERLINK("http://babel.hathitrust.org/cgi/pt?id=hvd.hn24lk")</f>
        <v>http://babel.hathitrust.org/cgi/pt?id=hvd.hn24lk</v>
      </c>
      <c r="H7377" t="str">
        <f>HYPERLINK("http://catalog.hathitrust.org/Record/009736130")</f>
        <v>http://catalog.hathitrust.org/Record/009736130</v>
      </c>
      <c r="J7377" s="1">
        <v>1843</v>
      </c>
      <c r="K7377" t="s">
        <v>2564</v>
      </c>
      <c r="L7377" t="s">
        <v>20043</v>
      </c>
    </row>
    <row r="7378" spans="1:12">
      <c r="A7378" t="s">
        <v>2565</v>
      </c>
      <c r="B7378" s="1" t="s">
        <v>2566</v>
      </c>
      <c r="F7378">
        <v>1</v>
      </c>
      <c r="G7378" t="str">
        <f>HYPERLINK("http://babel.hathitrust.org/cgi/pt?id=hvd.hn1fk2")</f>
        <v>http://babel.hathitrust.org/cgi/pt?id=hvd.hn1fk2</v>
      </c>
      <c r="H7378" t="str">
        <f>HYPERLINK("http://catalog.hathitrust.org/Record/009736548")</f>
        <v>http://catalog.hathitrust.org/Record/009736548</v>
      </c>
      <c r="J7378" s="1">
        <v>1842</v>
      </c>
      <c r="K7378" t="s">
        <v>2494</v>
      </c>
      <c r="L7378" t="s">
        <v>12679</v>
      </c>
    </row>
    <row r="7379" spans="1:12">
      <c r="A7379" t="s">
        <v>2495</v>
      </c>
      <c r="B7379" s="1" t="s">
        <v>2496</v>
      </c>
      <c r="F7379">
        <v>1</v>
      </c>
      <c r="G7379" t="str">
        <f>HYPERLINK("http://babel.hathitrust.org/cgi/pt?id=hvd.hn1fks")</f>
        <v>http://babel.hathitrust.org/cgi/pt?id=hvd.hn1fks</v>
      </c>
      <c r="H7379" t="str">
        <f>HYPERLINK("http://catalog.hathitrust.org/Record/009736551")</f>
        <v>http://catalog.hathitrust.org/Record/009736551</v>
      </c>
      <c r="J7379" s="1">
        <v>1841</v>
      </c>
      <c r="K7379" t="s">
        <v>2497</v>
      </c>
      <c r="L7379" t="s">
        <v>12679</v>
      </c>
    </row>
    <row r="7380" spans="1:12">
      <c r="A7380" t="s">
        <v>2498</v>
      </c>
      <c r="B7380" s="1" t="s">
        <v>2499</v>
      </c>
      <c r="F7380">
        <v>1</v>
      </c>
      <c r="G7380" t="str">
        <f>HYPERLINK("http://babel.hathitrust.org/cgi/pt?id=hvd.hn1dlr")</f>
        <v>http://babel.hathitrust.org/cgi/pt?id=hvd.hn1dlr</v>
      </c>
      <c r="H7380" t="str">
        <f>HYPERLINK("http://catalog.hathitrust.org/Record/009737248")</f>
        <v>http://catalog.hathitrust.org/Record/009737248</v>
      </c>
      <c r="J7380" s="1">
        <v>1842</v>
      </c>
      <c r="K7380" t="s">
        <v>2500</v>
      </c>
      <c r="L7380" t="s">
        <v>6295</v>
      </c>
    </row>
    <row r="7381" spans="1:12">
      <c r="A7381" t="s">
        <v>2501</v>
      </c>
      <c r="B7381" s="1" t="s">
        <v>2502</v>
      </c>
      <c r="F7381">
        <v>1</v>
      </c>
      <c r="G7381" t="str">
        <f>HYPERLINK("http://babel.hathitrust.org/cgi/pt?id=hvd.hn23he")</f>
        <v>http://babel.hathitrust.org/cgi/pt?id=hvd.hn23he</v>
      </c>
      <c r="H7381" t="str">
        <f>HYPERLINK("http://catalog.hathitrust.org/Record/009737249")</f>
        <v>http://catalog.hathitrust.org/Record/009737249</v>
      </c>
      <c r="J7381" s="1">
        <v>1845</v>
      </c>
      <c r="K7381" t="s">
        <v>2503</v>
      </c>
      <c r="L7381" t="s">
        <v>6295</v>
      </c>
    </row>
    <row r="7382" spans="1:12">
      <c r="A7382" t="s">
        <v>2504</v>
      </c>
      <c r="B7382" s="1" t="s">
        <v>2505</v>
      </c>
      <c r="F7382">
        <v>1</v>
      </c>
      <c r="G7382" t="str">
        <f>HYPERLINK("http://babel.hathitrust.org/cgi/pt?id=hvd.hn5bic")</f>
        <v>http://babel.hathitrust.org/cgi/pt?id=hvd.hn5bic</v>
      </c>
      <c r="H7382" t="str">
        <f>HYPERLINK("http://catalog.hathitrust.org/Record/009737254")</f>
        <v>http://catalog.hathitrust.org/Record/009737254</v>
      </c>
      <c r="J7382" s="1">
        <v>1841</v>
      </c>
      <c r="K7382" t="s">
        <v>12553</v>
      </c>
      <c r="L7382" t="s">
        <v>12659</v>
      </c>
    </row>
    <row r="7383" spans="1:12">
      <c r="A7383" t="s">
        <v>2506</v>
      </c>
      <c r="B7383" s="1" t="s">
        <v>2507</v>
      </c>
      <c r="F7383">
        <v>1</v>
      </c>
      <c r="G7383" t="str">
        <f>HYPERLINK("http://babel.hathitrust.org/cgi/pt?id=uva.x002140556")</f>
        <v>http://babel.hathitrust.org/cgi/pt?id=uva.x002140556</v>
      </c>
      <c r="H7383" t="str">
        <f>HYPERLINK("http://catalog.hathitrust.org/Record/009774614")</f>
        <v>http://catalog.hathitrust.org/Record/009774614</v>
      </c>
      <c r="J7383" s="1">
        <v>1860</v>
      </c>
      <c r="K7383" t="s">
        <v>2508</v>
      </c>
      <c r="L7383" t="s">
        <v>2509</v>
      </c>
    </row>
    <row r="7384" spans="1:12">
      <c r="A7384" t="s">
        <v>2510</v>
      </c>
      <c r="B7384" s="1" t="s">
        <v>2511</v>
      </c>
      <c r="F7384">
        <v>1</v>
      </c>
      <c r="G7384" t="str">
        <f>HYPERLINK("http://babel.hathitrust.org/cgi/pt?id=uva.x001848718")</f>
        <v>http://babel.hathitrust.org/cgi/pt?id=uva.x001848718</v>
      </c>
      <c r="H7384" t="str">
        <f>HYPERLINK("http://catalog.hathitrust.org/Record/009774644")</f>
        <v>http://catalog.hathitrust.org/Record/009774644</v>
      </c>
      <c r="J7384" s="1">
        <v>1920</v>
      </c>
      <c r="K7384" t="s">
        <v>2512</v>
      </c>
      <c r="L7384" t="s">
        <v>13369</v>
      </c>
    </row>
    <row r="7385" spans="1:12">
      <c r="A7385" t="s">
        <v>2513</v>
      </c>
      <c r="B7385" s="1" t="s">
        <v>2514</v>
      </c>
      <c r="F7385">
        <v>1</v>
      </c>
      <c r="G7385" t="str">
        <f>HYPERLINK("http://babel.hathitrust.org/cgi/pt?id=uva.x000378509")</f>
        <v>http://babel.hathitrust.org/cgi/pt?id=uva.x000378509</v>
      </c>
      <c r="H7385" t="str">
        <f>HYPERLINK("http://catalog.hathitrust.org/Record/009774645")</f>
        <v>http://catalog.hathitrust.org/Record/009774645</v>
      </c>
      <c r="J7385" s="1">
        <v>1871</v>
      </c>
      <c r="K7385" t="s">
        <v>11788</v>
      </c>
      <c r="L7385" t="s">
        <v>2515</v>
      </c>
    </row>
    <row r="7386" spans="1:12">
      <c r="A7386" t="s">
        <v>2516</v>
      </c>
      <c r="B7386" s="1" t="s">
        <v>2517</v>
      </c>
      <c r="F7386">
        <v>1</v>
      </c>
      <c r="G7386" t="str">
        <f>HYPERLINK("http://babel.hathitrust.org/cgi/pt?id=uva.x001817907")</f>
        <v>http://babel.hathitrust.org/cgi/pt?id=uva.x001817907</v>
      </c>
      <c r="H7386" t="str">
        <f>HYPERLINK("http://catalog.hathitrust.org/Record/009774646")</f>
        <v>http://catalog.hathitrust.org/Record/009774646</v>
      </c>
      <c r="J7386" s="1">
        <v>1920</v>
      </c>
      <c r="K7386" t="s">
        <v>2518</v>
      </c>
      <c r="L7386" t="s">
        <v>11280</v>
      </c>
    </row>
    <row r="7387" spans="1:12">
      <c r="A7387" t="s">
        <v>2519</v>
      </c>
      <c r="B7387" s="1" t="s">
        <v>2520</v>
      </c>
      <c r="F7387">
        <v>1</v>
      </c>
      <c r="G7387" t="str">
        <f>HYPERLINK("http://babel.hathitrust.org/cgi/pt?id=uva.x001272596")</f>
        <v>http://babel.hathitrust.org/cgi/pt?id=uva.x001272596</v>
      </c>
      <c r="H7387" t="str">
        <f>HYPERLINK("http://catalog.hathitrust.org/Record/009774647")</f>
        <v>http://catalog.hathitrust.org/Record/009774647</v>
      </c>
      <c r="J7387" s="1">
        <v>1920</v>
      </c>
      <c r="K7387" t="s">
        <v>2521</v>
      </c>
      <c r="L7387" t="s">
        <v>11280</v>
      </c>
    </row>
    <row r="7388" spans="1:12">
      <c r="A7388" t="s">
        <v>2522</v>
      </c>
      <c r="B7388" s="1" t="s">
        <v>2523</v>
      </c>
      <c r="E7388">
        <v>1</v>
      </c>
      <c r="F7388">
        <v>1</v>
      </c>
      <c r="G7388" t="str">
        <f>HYPERLINK("http://babel.hathitrust.org/cgi/pt?id=uva.x004604486")</f>
        <v>http://babel.hathitrust.org/cgi/pt?id=uva.x004604486</v>
      </c>
      <c r="H7388" t="str">
        <f>HYPERLINK("http://catalog.hathitrust.org/Record/009774648")</f>
        <v>http://catalog.hathitrust.org/Record/009774648</v>
      </c>
      <c r="I7388" s="1" t="s">
        <v>20916</v>
      </c>
      <c r="J7388" s="1">
        <v>1920</v>
      </c>
      <c r="K7388" t="s">
        <v>2524</v>
      </c>
      <c r="L7388" t="s">
        <v>2525</v>
      </c>
    </row>
    <row r="7389" spans="1:12">
      <c r="A7389" t="s">
        <v>2526</v>
      </c>
      <c r="B7389" s="1" t="s">
        <v>2527</v>
      </c>
      <c r="F7389">
        <v>1</v>
      </c>
      <c r="G7389" t="str">
        <f>HYPERLINK("http://babel.hathitrust.org/cgi/pt?id=uva.x001179955")</f>
        <v>http://babel.hathitrust.org/cgi/pt?id=uva.x001179955</v>
      </c>
      <c r="H7389" t="str">
        <f>HYPERLINK("http://catalog.hathitrust.org/Record/009774663")</f>
        <v>http://catalog.hathitrust.org/Record/009774663</v>
      </c>
      <c r="J7389" s="1">
        <v>1826</v>
      </c>
      <c r="K7389" t="s">
        <v>16161</v>
      </c>
      <c r="L7389" t="s">
        <v>19694</v>
      </c>
    </row>
    <row r="7390" spans="1:12">
      <c r="A7390" t="s">
        <v>2528</v>
      </c>
      <c r="B7390" s="1" t="s">
        <v>2529</v>
      </c>
      <c r="D7390">
        <v>1</v>
      </c>
      <c r="G7390" t="str">
        <f>HYPERLINK("http://babel.hathitrust.org/cgi/pt?id=uva.x004730779")</f>
        <v>http://babel.hathitrust.org/cgi/pt?id=uva.x004730779</v>
      </c>
      <c r="H7390" t="str">
        <f>HYPERLINK("http://catalog.hathitrust.org/Record/009774664")</f>
        <v>http://catalog.hathitrust.org/Record/009774664</v>
      </c>
      <c r="J7390" s="1">
        <v>1871</v>
      </c>
      <c r="K7390" t="s">
        <v>2530</v>
      </c>
      <c r="L7390" t="s">
        <v>19694</v>
      </c>
    </row>
    <row r="7391" spans="1:12">
      <c r="A7391" t="s">
        <v>2531</v>
      </c>
      <c r="B7391" s="1" t="s">
        <v>2532</v>
      </c>
      <c r="F7391">
        <v>1</v>
      </c>
      <c r="G7391" t="str">
        <f>HYPERLINK("http://babel.hathitrust.org/cgi/pt?id=uva.x001478078")</f>
        <v>http://babel.hathitrust.org/cgi/pt?id=uva.x001478078</v>
      </c>
      <c r="H7391" t="str">
        <f>HYPERLINK("http://catalog.hathitrust.org/Record/009774665")</f>
        <v>http://catalog.hathitrust.org/Record/009774665</v>
      </c>
      <c r="J7391" s="1">
        <v>1891</v>
      </c>
      <c r="K7391" t="s">
        <v>6731</v>
      </c>
      <c r="L7391" t="s">
        <v>2533</v>
      </c>
    </row>
    <row r="7392" spans="1:12">
      <c r="A7392" t="s">
        <v>2534</v>
      </c>
      <c r="B7392" s="1" t="s">
        <v>2535</v>
      </c>
      <c r="F7392">
        <v>1</v>
      </c>
      <c r="G7392" t="str">
        <f>HYPERLINK("http://babel.hathitrust.org/cgi/pt?id=uva.x001863048")</f>
        <v>http://babel.hathitrust.org/cgi/pt?id=uva.x001863048</v>
      </c>
      <c r="H7392" t="str">
        <f>HYPERLINK("http://catalog.hathitrust.org/Record/009774666")</f>
        <v>http://catalog.hathitrust.org/Record/009774666</v>
      </c>
      <c r="J7392" s="1">
        <v>1876</v>
      </c>
      <c r="K7392" t="s">
        <v>2536</v>
      </c>
      <c r="L7392" t="s">
        <v>17034</v>
      </c>
    </row>
    <row r="7393" spans="1:12">
      <c r="A7393" t="s">
        <v>2537</v>
      </c>
      <c r="B7393" s="1" t="s">
        <v>2538</v>
      </c>
      <c r="F7393">
        <v>1</v>
      </c>
      <c r="G7393" t="str">
        <f>HYPERLINK("http://babel.hathitrust.org/cgi/pt?id=uva.x004758047")</f>
        <v>http://babel.hathitrust.org/cgi/pt?id=uva.x004758047</v>
      </c>
      <c r="H7393" t="str">
        <f>HYPERLINK("http://catalog.hathitrust.org/Record/009774667")</f>
        <v>http://catalog.hathitrust.org/Record/009774667</v>
      </c>
      <c r="J7393" s="1">
        <v>1892</v>
      </c>
      <c r="K7393" t="s">
        <v>2539</v>
      </c>
      <c r="L7393" t="s">
        <v>11794</v>
      </c>
    </row>
    <row r="7394" spans="1:12">
      <c r="A7394" t="s">
        <v>2540</v>
      </c>
      <c r="B7394" s="1" t="s">
        <v>2541</v>
      </c>
      <c r="F7394">
        <v>1</v>
      </c>
      <c r="G7394" t="str">
        <f>HYPERLINK("http://babel.hathitrust.org/cgi/pt?id=uva.x000599280")</f>
        <v>http://babel.hathitrust.org/cgi/pt?id=uva.x000599280</v>
      </c>
      <c r="H7394" t="str">
        <f>HYPERLINK("http://catalog.hathitrust.org/Record/009774668")</f>
        <v>http://catalog.hathitrust.org/Record/009774668</v>
      </c>
      <c r="J7394" s="1">
        <v>1859</v>
      </c>
      <c r="K7394" t="s">
        <v>8354</v>
      </c>
      <c r="L7394" t="s">
        <v>17959</v>
      </c>
    </row>
    <row r="7395" spans="1:12">
      <c r="A7395" t="s">
        <v>2426</v>
      </c>
      <c r="B7395" s="1" t="s">
        <v>2427</v>
      </c>
      <c r="F7395">
        <v>1</v>
      </c>
      <c r="G7395" t="str">
        <f>HYPERLINK("http://babel.hathitrust.org/cgi/pt?id=uva.x001082948")</f>
        <v>http://babel.hathitrust.org/cgi/pt?id=uva.x001082948</v>
      </c>
      <c r="H7395" t="str">
        <f>HYPERLINK("http://catalog.hathitrust.org/Record/009774669")</f>
        <v>http://catalog.hathitrust.org/Record/009774669</v>
      </c>
      <c r="J7395" s="1">
        <v>1891</v>
      </c>
      <c r="K7395" t="s">
        <v>9511</v>
      </c>
      <c r="L7395" t="s">
        <v>14141</v>
      </c>
    </row>
    <row r="7396" spans="1:12">
      <c r="A7396" t="s">
        <v>2428</v>
      </c>
      <c r="B7396" s="1" t="s">
        <v>2429</v>
      </c>
      <c r="F7396">
        <v>1</v>
      </c>
      <c r="G7396" t="str">
        <f>HYPERLINK("http://babel.hathitrust.org/cgi/pt?id=uva.x001086555")</f>
        <v>http://babel.hathitrust.org/cgi/pt?id=uva.x001086555</v>
      </c>
      <c r="H7396" t="str">
        <f>HYPERLINK("http://catalog.hathitrust.org/Record/009774670")</f>
        <v>http://catalog.hathitrust.org/Record/009774670</v>
      </c>
      <c r="J7396" s="1">
        <v>1915</v>
      </c>
      <c r="K7396" t="s">
        <v>2430</v>
      </c>
      <c r="L7396" t="s">
        <v>2431</v>
      </c>
    </row>
    <row r="7397" spans="1:12">
      <c r="A7397" t="s">
        <v>2432</v>
      </c>
      <c r="B7397" s="1" t="s">
        <v>2433</v>
      </c>
      <c r="F7397">
        <v>1</v>
      </c>
      <c r="G7397" t="str">
        <f>HYPERLINK("http://babel.hathitrust.org/cgi/pt?id=uva.x030732042")</f>
        <v>http://babel.hathitrust.org/cgi/pt?id=uva.x030732042</v>
      </c>
      <c r="H7397" t="str">
        <f>HYPERLINK("http://catalog.hathitrust.org/Record/009774708")</f>
        <v>http://catalog.hathitrust.org/Record/009774708</v>
      </c>
      <c r="J7397" s="1">
        <v>1868</v>
      </c>
      <c r="K7397" t="s">
        <v>2434</v>
      </c>
      <c r="L7397" t="s">
        <v>15292</v>
      </c>
    </row>
    <row r="7398" spans="1:12">
      <c r="A7398" t="s">
        <v>2435</v>
      </c>
      <c r="B7398" s="1" t="s">
        <v>2436</v>
      </c>
      <c r="F7398">
        <v>1</v>
      </c>
      <c r="G7398" t="str">
        <f>HYPERLINK("http://babel.hathitrust.org/cgi/pt?id=uva.x030732040")</f>
        <v>http://babel.hathitrust.org/cgi/pt?id=uva.x030732040</v>
      </c>
      <c r="H7398" t="str">
        <f>HYPERLINK("http://catalog.hathitrust.org/Record/009774709")</f>
        <v>http://catalog.hathitrust.org/Record/009774709</v>
      </c>
      <c r="J7398" s="1">
        <v>1832</v>
      </c>
      <c r="K7398" t="s">
        <v>2437</v>
      </c>
      <c r="L7398" t="s">
        <v>15292</v>
      </c>
    </row>
    <row r="7399" spans="1:12">
      <c r="A7399" t="s">
        <v>2438</v>
      </c>
      <c r="B7399" s="1" t="s">
        <v>2439</v>
      </c>
      <c r="F7399">
        <v>1</v>
      </c>
      <c r="G7399" t="str">
        <f>HYPERLINK("http://babel.hathitrust.org/cgi/pt?id=hvd.32044097079123")</f>
        <v>http://babel.hathitrust.org/cgi/pt?id=hvd.32044097079123</v>
      </c>
      <c r="H7399" t="str">
        <f>HYPERLINK("http://catalog.hathitrust.org/Record/009774710")</f>
        <v>http://catalog.hathitrust.org/Record/009774710</v>
      </c>
      <c r="J7399" s="1">
        <v>1835</v>
      </c>
      <c r="K7399" t="s">
        <v>2437</v>
      </c>
      <c r="L7399" t="s">
        <v>15292</v>
      </c>
    </row>
    <row r="7400" spans="1:12">
      <c r="A7400" t="s">
        <v>2440</v>
      </c>
      <c r="B7400" s="1" t="s">
        <v>2439</v>
      </c>
      <c r="F7400">
        <v>1</v>
      </c>
      <c r="G7400" t="str">
        <f>HYPERLINK("http://babel.hathitrust.org/cgi/pt?id=uva.x030732039")</f>
        <v>http://babel.hathitrust.org/cgi/pt?id=uva.x030732039</v>
      </c>
      <c r="H7400" t="str">
        <f>HYPERLINK("http://catalog.hathitrust.org/Record/009774710")</f>
        <v>http://catalog.hathitrust.org/Record/009774710</v>
      </c>
      <c r="J7400" s="1">
        <v>1835</v>
      </c>
      <c r="K7400" t="s">
        <v>2437</v>
      </c>
      <c r="L7400" t="s">
        <v>15292</v>
      </c>
    </row>
    <row r="7401" spans="1:12">
      <c r="A7401" t="s">
        <v>2441</v>
      </c>
      <c r="B7401" s="1" t="s">
        <v>2442</v>
      </c>
      <c r="F7401">
        <v>1</v>
      </c>
      <c r="G7401" t="str">
        <f>HYPERLINK("http://babel.hathitrust.org/cgi/pt?id=uva.x002267202")</f>
        <v>http://babel.hathitrust.org/cgi/pt?id=uva.x002267202</v>
      </c>
      <c r="H7401" t="str">
        <f>HYPERLINK("http://catalog.hathitrust.org/Record/009774711")</f>
        <v>http://catalog.hathitrust.org/Record/009774711</v>
      </c>
      <c r="J7401" s="1">
        <v>1847</v>
      </c>
      <c r="K7401" t="s">
        <v>2437</v>
      </c>
      <c r="L7401" t="s">
        <v>15292</v>
      </c>
    </row>
    <row r="7402" spans="1:12">
      <c r="A7402" t="s">
        <v>2443</v>
      </c>
      <c r="B7402" s="1" t="s">
        <v>2444</v>
      </c>
      <c r="F7402">
        <v>1</v>
      </c>
      <c r="G7402" t="str">
        <f>HYPERLINK("http://babel.hathitrust.org/cgi/pt?id=uva.x000895361")</f>
        <v>http://babel.hathitrust.org/cgi/pt?id=uva.x000895361</v>
      </c>
      <c r="H7402" t="str">
        <f>HYPERLINK("http://catalog.hathitrust.org/Record/009774747")</f>
        <v>http://catalog.hathitrust.org/Record/009774747</v>
      </c>
      <c r="J7402" s="1">
        <v>1881</v>
      </c>
      <c r="K7402" t="s">
        <v>9950</v>
      </c>
      <c r="L7402" t="s">
        <v>15032</v>
      </c>
    </row>
    <row r="7403" spans="1:12">
      <c r="A7403" t="s">
        <v>2445</v>
      </c>
      <c r="B7403" s="1" t="s">
        <v>2446</v>
      </c>
      <c r="F7403">
        <v>1</v>
      </c>
      <c r="G7403" t="str">
        <f>HYPERLINK("http://babel.hathitrust.org/cgi/pt?id=uva.x000612159")</f>
        <v>http://babel.hathitrust.org/cgi/pt?id=uva.x000612159</v>
      </c>
      <c r="H7403" t="str">
        <f>HYPERLINK("http://catalog.hathitrust.org/Record/009774804")</f>
        <v>http://catalog.hathitrust.org/Record/009774804</v>
      </c>
      <c r="J7403" s="1">
        <v>1860</v>
      </c>
      <c r="K7403" t="s">
        <v>18409</v>
      </c>
      <c r="L7403" t="s">
        <v>18885</v>
      </c>
    </row>
    <row r="7404" spans="1:12">
      <c r="A7404" t="s">
        <v>2447</v>
      </c>
      <c r="B7404" s="1" t="s">
        <v>2448</v>
      </c>
      <c r="D7404">
        <v>1</v>
      </c>
      <c r="G7404" t="str">
        <f>HYPERLINK("http://babel.hathitrust.org/cgi/pt?id=uva.x000234851")</f>
        <v>http://babel.hathitrust.org/cgi/pt?id=uva.x000234851</v>
      </c>
      <c r="H7404" t="str">
        <f>HYPERLINK("http://catalog.hathitrust.org/Record/009774824")</f>
        <v>http://catalog.hathitrust.org/Record/009774824</v>
      </c>
      <c r="J7404" s="1">
        <v>1839</v>
      </c>
      <c r="K7404" t="s">
        <v>2449</v>
      </c>
      <c r="L7404" t="s">
        <v>15473</v>
      </c>
    </row>
    <row r="7405" spans="1:12">
      <c r="A7405" t="s">
        <v>2450</v>
      </c>
      <c r="B7405" s="1" t="s">
        <v>2451</v>
      </c>
      <c r="E7405">
        <v>1</v>
      </c>
      <c r="F7405">
        <v>1</v>
      </c>
      <c r="G7405" t="str">
        <f>HYPERLINK("http://babel.hathitrust.org/cgi/pt?id=uva.x030803943")</f>
        <v>http://babel.hathitrust.org/cgi/pt?id=uva.x030803943</v>
      </c>
      <c r="H7405" t="str">
        <f>HYPERLINK("http://catalog.hathitrust.org/Record/009774900")</f>
        <v>http://catalog.hathitrust.org/Record/009774900</v>
      </c>
      <c r="J7405" s="1">
        <v>1887</v>
      </c>
      <c r="K7405" t="s">
        <v>2452</v>
      </c>
      <c r="L7405" t="s">
        <v>20629</v>
      </c>
    </row>
    <row r="7406" spans="1:12">
      <c r="A7406" t="s">
        <v>2453</v>
      </c>
      <c r="B7406" s="1" t="s">
        <v>2454</v>
      </c>
      <c r="F7406">
        <v>1</v>
      </c>
      <c r="G7406" t="str">
        <f>HYPERLINK("http://babel.hathitrust.org/cgi/pt?id=uva.x004828051")</f>
        <v>http://babel.hathitrust.org/cgi/pt?id=uva.x004828051</v>
      </c>
      <c r="H7406" t="str">
        <f>HYPERLINK("http://catalog.hathitrust.org/Record/009774901")</f>
        <v>http://catalog.hathitrust.org/Record/009774901</v>
      </c>
      <c r="J7406" s="1">
        <v>1846</v>
      </c>
      <c r="K7406" t="s">
        <v>4904</v>
      </c>
      <c r="L7406" t="s">
        <v>13902</v>
      </c>
    </row>
    <row r="7407" spans="1:12">
      <c r="A7407" t="s">
        <v>2455</v>
      </c>
      <c r="B7407" s="1" t="s">
        <v>2456</v>
      </c>
      <c r="F7407">
        <v>1</v>
      </c>
      <c r="G7407" t="str">
        <f>HYPERLINK("http://babel.hathitrust.org/cgi/pt?id=hvd.hwsk5b")</f>
        <v>http://babel.hathitrust.org/cgi/pt?id=hvd.hwsk5b</v>
      </c>
      <c r="H7407" t="str">
        <f>HYPERLINK("http://catalog.hathitrust.org/Record/009774902")</f>
        <v>http://catalog.hathitrust.org/Record/009774902</v>
      </c>
      <c r="J7407" s="1">
        <v>1870</v>
      </c>
      <c r="K7407" t="s">
        <v>2457</v>
      </c>
      <c r="L7407" t="s">
        <v>15186</v>
      </c>
    </row>
    <row r="7408" spans="1:12">
      <c r="A7408" t="s">
        <v>2458</v>
      </c>
      <c r="B7408" s="1" t="s">
        <v>2459</v>
      </c>
      <c r="F7408">
        <v>1</v>
      </c>
      <c r="G7408" t="str">
        <f>HYPERLINK("http://babel.hathitrust.org/cgi/pt?id=uva.x000303560")</f>
        <v>http://babel.hathitrust.org/cgi/pt?id=uva.x000303560</v>
      </c>
      <c r="H7408" t="str">
        <f>HYPERLINK("http://catalog.hathitrust.org/Record/009775033")</f>
        <v>http://catalog.hathitrust.org/Record/009775033</v>
      </c>
      <c r="J7408" s="1">
        <v>1917</v>
      </c>
      <c r="K7408" t="s">
        <v>2460</v>
      </c>
      <c r="L7408" t="s">
        <v>5258</v>
      </c>
    </row>
    <row r="7409" spans="1:12">
      <c r="A7409" t="s">
        <v>2461</v>
      </c>
      <c r="B7409" s="1" t="s">
        <v>2462</v>
      </c>
      <c r="E7409">
        <v>1</v>
      </c>
      <c r="F7409">
        <v>1</v>
      </c>
      <c r="G7409" t="str">
        <f>HYPERLINK("http://babel.hathitrust.org/cgi/pt?id=uva.x030804002")</f>
        <v>http://babel.hathitrust.org/cgi/pt?id=uva.x030804002</v>
      </c>
      <c r="H7409" t="str">
        <f>HYPERLINK("http://catalog.hathitrust.org/Record/009775034")</f>
        <v>http://catalog.hathitrust.org/Record/009775034</v>
      </c>
      <c r="J7409" s="1">
        <v>1896</v>
      </c>
      <c r="K7409" t="s">
        <v>2463</v>
      </c>
      <c r="L7409" t="s">
        <v>19514</v>
      </c>
    </row>
    <row r="7410" spans="1:12">
      <c r="A7410" t="s">
        <v>2464</v>
      </c>
      <c r="B7410" s="1" t="s">
        <v>2465</v>
      </c>
      <c r="F7410">
        <v>1</v>
      </c>
      <c r="G7410" t="str">
        <f>HYPERLINK("http://babel.hathitrust.org/cgi/pt?id=uva.x030801405")</f>
        <v>http://babel.hathitrust.org/cgi/pt?id=uva.x030801405</v>
      </c>
      <c r="H7410" t="str">
        <f>HYPERLINK("http://catalog.hathitrust.org/Record/009775037")</f>
        <v>http://catalog.hathitrust.org/Record/009775037</v>
      </c>
      <c r="I7410" s="1" t="s">
        <v>2467</v>
      </c>
      <c r="J7410" s="1">
        <v>1895</v>
      </c>
      <c r="K7410" t="s">
        <v>2466</v>
      </c>
    </row>
    <row r="7411" spans="1:12">
      <c r="A7411" t="s">
        <v>2468</v>
      </c>
      <c r="B7411" s="1" t="s">
        <v>2465</v>
      </c>
      <c r="F7411">
        <v>1</v>
      </c>
      <c r="G7411" t="str">
        <f>HYPERLINK("http://babel.hathitrust.org/cgi/pt?id=uva.x030801406")</f>
        <v>http://babel.hathitrust.org/cgi/pt?id=uva.x030801406</v>
      </c>
      <c r="H7411" t="str">
        <f>HYPERLINK("http://catalog.hathitrust.org/Record/009775037")</f>
        <v>http://catalog.hathitrust.org/Record/009775037</v>
      </c>
      <c r="I7411" s="1" t="s">
        <v>18491</v>
      </c>
      <c r="J7411" s="1">
        <v>1895</v>
      </c>
      <c r="K7411" t="s">
        <v>2466</v>
      </c>
    </row>
    <row r="7412" spans="1:12">
      <c r="A7412" t="s">
        <v>2469</v>
      </c>
      <c r="B7412" s="1" t="s">
        <v>2470</v>
      </c>
      <c r="F7412">
        <v>1</v>
      </c>
      <c r="G7412" t="str">
        <f>HYPERLINK("http://babel.hathitrust.org/cgi/pt?id=uva.x001164207")</f>
        <v>http://babel.hathitrust.org/cgi/pt?id=uva.x001164207</v>
      </c>
      <c r="H7412" t="str">
        <f>HYPERLINK("http://catalog.hathitrust.org/Record/009775103")</f>
        <v>http://catalog.hathitrust.org/Record/009775103</v>
      </c>
      <c r="J7412" s="1">
        <v>1854</v>
      </c>
      <c r="K7412" t="s">
        <v>2471</v>
      </c>
      <c r="L7412" t="s">
        <v>7106</v>
      </c>
    </row>
    <row r="7413" spans="1:12">
      <c r="A7413" t="s">
        <v>2472</v>
      </c>
      <c r="B7413" s="1" t="s">
        <v>2473</v>
      </c>
      <c r="F7413">
        <v>1</v>
      </c>
      <c r="G7413" t="str">
        <f>HYPERLINK("http://babel.hathitrust.org/cgi/pt?id=uva.x000334981")</f>
        <v>http://babel.hathitrust.org/cgi/pt?id=uva.x000334981</v>
      </c>
      <c r="H7413" t="str">
        <f>HYPERLINK("http://catalog.hathitrust.org/Record/009775104")</f>
        <v>http://catalog.hathitrust.org/Record/009775104</v>
      </c>
      <c r="J7413" s="1">
        <v>1836</v>
      </c>
      <c r="K7413" t="s">
        <v>2474</v>
      </c>
      <c r="L7413" t="s">
        <v>7106</v>
      </c>
    </row>
    <row r="7414" spans="1:12">
      <c r="A7414" t="s">
        <v>2475</v>
      </c>
      <c r="B7414" s="1" t="s">
        <v>2476</v>
      </c>
      <c r="D7414">
        <v>1</v>
      </c>
      <c r="G7414" t="str">
        <f>HYPERLINK("http://babel.hathitrust.org/cgi/pt?id=uva.x030751028")</f>
        <v>http://babel.hathitrust.org/cgi/pt?id=uva.x030751028</v>
      </c>
      <c r="H7414" t="str">
        <f>HYPERLINK("http://catalog.hathitrust.org/Record/009775114")</f>
        <v>http://catalog.hathitrust.org/Record/009775114</v>
      </c>
      <c r="J7414" s="1">
        <v>1916</v>
      </c>
      <c r="K7414" t="s">
        <v>2477</v>
      </c>
      <c r="L7414" t="s">
        <v>19253</v>
      </c>
    </row>
    <row r="7415" spans="1:12">
      <c r="A7415" t="s">
        <v>2478</v>
      </c>
      <c r="B7415" s="1" t="s">
        <v>2479</v>
      </c>
      <c r="F7415">
        <v>1</v>
      </c>
      <c r="G7415" t="str">
        <f>HYPERLINK("http://babel.hathitrust.org/cgi/pt?id=uva.x030751030")</f>
        <v>http://babel.hathitrust.org/cgi/pt?id=uva.x030751030</v>
      </c>
      <c r="H7415" t="str">
        <f>HYPERLINK("http://catalog.hathitrust.org/Record/009775115")</f>
        <v>http://catalog.hathitrust.org/Record/009775115</v>
      </c>
      <c r="J7415" s="1">
        <v>1883</v>
      </c>
      <c r="K7415" t="s">
        <v>2480</v>
      </c>
      <c r="L7415" t="s">
        <v>2481</v>
      </c>
    </row>
    <row r="7416" spans="1:12">
      <c r="A7416" t="s">
        <v>2482</v>
      </c>
      <c r="B7416" s="1" t="s">
        <v>2483</v>
      </c>
      <c r="D7416">
        <v>1</v>
      </c>
      <c r="G7416" t="str">
        <f>HYPERLINK("http://babel.hathitrust.org/cgi/pt?id=uva.x002111617")</f>
        <v>http://babel.hathitrust.org/cgi/pt?id=uva.x002111617</v>
      </c>
      <c r="H7416" t="str">
        <f>HYPERLINK("http://catalog.hathitrust.org/Record/009775117")</f>
        <v>http://catalog.hathitrust.org/Record/009775117</v>
      </c>
      <c r="J7416" s="1">
        <v>1862</v>
      </c>
      <c r="K7416" t="s">
        <v>2484</v>
      </c>
      <c r="L7416" t="s">
        <v>19491</v>
      </c>
    </row>
    <row r="7417" spans="1:12">
      <c r="A7417" t="s">
        <v>2485</v>
      </c>
      <c r="B7417" s="1" t="s">
        <v>2486</v>
      </c>
      <c r="D7417">
        <v>1</v>
      </c>
      <c r="G7417" t="str">
        <f>HYPERLINK("http://babel.hathitrust.org/cgi/pt?id=uva.x030804488")</f>
        <v>http://babel.hathitrust.org/cgi/pt?id=uva.x030804488</v>
      </c>
      <c r="H7417" t="str">
        <f>HYPERLINK("http://catalog.hathitrust.org/Record/009775118")</f>
        <v>http://catalog.hathitrust.org/Record/009775118</v>
      </c>
      <c r="J7417" s="1">
        <v>1888</v>
      </c>
      <c r="K7417" t="s">
        <v>2487</v>
      </c>
      <c r="L7417" t="s">
        <v>19491</v>
      </c>
    </row>
    <row r="7418" spans="1:12">
      <c r="A7418" t="s">
        <v>2488</v>
      </c>
      <c r="B7418" s="1" t="s">
        <v>2489</v>
      </c>
      <c r="E7418">
        <v>1</v>
      </c>
      <c r="G7418" t="str">
        <f>HYPERLINK("http://babel.hathitrust.org/cgi/pt?id=uva.x000440498")</f>
        <v>http://babel.hathitrust.org/cgi/pt?id=uva.x000440498</v>
      </c>
      <c r="H7418" t="str">
        <f>HYPERLINK("http://catalog.hathitrust.org/Record/009775120")</f>
        <v>http://catalog.hathitrust.org/Record/009775120</v>
      </c>
      <c r="J7418" s="1">
        <v>1877</v>
      </c>
      <c r="K7418" t="s">
        <v>17874</v>
      </c>
      <c r="L7418" t="s">
        <v>17875</v>
      </c>
    </row>
    <row r="7419" spans="1:12">
      <c r="A7419" t="s">
        <v>2490</v>
      </c>
      <c r="B7419" s="1" t="s">
        <v>2491</v>
      </c>
      <c r="E7419">
        <v>1</v>
      </c>
      <c r="G7419" t="str">
        <f>HYPERLINK("http://babel.hathitrust.org/cgi/pt?id=uva.x030809513")</f>
        <v>http://babel.hathitrust.org/cgi/pt?id=uva.x030809513</v>
      </c>
      <c r="H7419" t="str">
        <f>HYPERLINK("http://catalog.hathitrust.org/Record/009775121")</f>
        <v>http://catalog.hathitrust.org/Record/009775121</v>
      </c>
      <c r="J7419" s="1">
        <v>1888</v>
      </c>
      <c r="K7419" t="s">
        <v>6498</v>
      </c>
      <c r="L7419" t="s">
        <v>20773</v>
      </c>
    </row>
    <row r="7420" spans="1:12">
      <c r="A7420" t="s">
        <v>2492</v>
      </c>
      <c r="B7420" s="1" t="s">
        <v>2493</v>
      </c>
      <c r="E7420">
        <v>1</v>
      </c>
      <c r="G7420" t="str">
        <f>HYPERLINK("http://babel.hathitrust.org/cgi/pt?id=uva.x002579420")</f>
        <v>http://babel.hathitrust.org/cgi/pt?id=uva.x002579420</v>
      </c>
      <c r="H7420" t="str">
        <f>HYPERLINK("http://catalog.hathitrust.org/Record/009775126")</f>
        <v>http://catalog.hathitrust.org/Record/009775126</v>
      </c>
      <c r="J7420" s="1">
        <v>1864</v>
      </c>
      <c r="K7420" t="s">
        <v>2371</v>
      </c>
      <c r="L7420" t="s">
        <v>17330</v>
      </c>
    </row>
    <row r="7421" spans="1:12">
      <c r="A7421" t="s">
        <v>2372</v>
      </c>
      <c r="B7421" s="1" t="s">
        <v>2373</v>
      </c>
      <c r="F7421">
        <v>1</v>
      </c>
      <c r="G7421" t="str">
        <f>HYPERLINK("http://babel.hathitrust.org/cgi/pt?id=uva.x000422522")</f>
        <v>http://babel.hathitrust.org/cgi/pt?id=uva.x000422522</v>
      </c>
      <c r="H7421" t="str">
        <f>HYPERLINK("http://catalog.hathitrust.org/Record/009775134")</f>
        <v>http://catalog.hathitrust.org/Record/009775134</v>
      </c>
      <c r="J7421" s="1">
        <v>1871</v>
      </c>
      <c r="K7421" t="s">
        <v>3254</v>
      </c>
      <c r="L7421" t="s">
        <v>17631</v>
      </c>
    </row>
    <row r="7422" spans="1:12">
      <c r="A7422" t="s">
        <v>2374</v>
      </c>
      <c r="B7422" s="1" t="s">
        <v>2375</v>
      </c>
      <c r="F7422">
        <v>1</v>
      </c>
      <c r="G7422" t="str">
        <f>HYPERLINK("http://babel.hathitrust.org/cgi/pt?id=uva.x030804486")</f>
        <v>http://babel.hathitrust.org/cgi/pt?id=uva.x030804486</v>
      </c>
      <c r="H7422" t="str">
        <f>HYPERLINK("http://catalog.hathitrust.org/Record/009775173")</f>
        <v>http://catalog.hathitrust.org/Record/009775173</v>
      </c>
      <c r="I7422" s="1" t="s">
        <v>20916</v>
      </c>
      <c r="J7422" s="1">
        <v>1888</v>
      </c>
      <c r="K7422" t="s">
        <v>14745</v>
      </c>
      <c r="L7422" t="s">
        <v>14746</v>
      </c>
    </row>
    <row r="7423" spans="1:12">
      <c r="A7423" t="s">
        <v>2376</v>
      </c>
      <c r="B7423" s="1" t="s">
        <v>2375</v>
      </c>
      <c r="F7423">
        <v>1</v>
      </c>
      <c r="G7423" t="str">
        <f>HYPERLINK("http://babel.hathitrust.org/cgi/pt?id=uva.x030804487")</f>
        <v>http://babel.hathitrust.org/cgi/pt?id=uva.x030804487</v>
      </c>
      <c r="H7423" t="str">
        <f>HYPERLINK("http://catalog.hathitrust.org/Record/009775173")</f>
        <v>http://catalog.hathitrust.org/Record/009775173</v>
      </c>
      <c r="J7423" s="1">
        <v>1888</v>
      </c>
      <c r="K7423" t="s">
        <v>14745</v>
      </c>
      <c r="L7423" t="s">
        <v>14746</v>
      </c>
    </row>
    <row r="7424" spans="1:12">
      <c r="A7424" t="s">
        <v>2377</v>
      </c>
      <c r="B7424" s="1" t="s">
        <v>2378</v>
      </c>
      <c r="D7424">
        <v>1</v>
      </c>
      <c r="G7424" t="str">
        <f>HYPERLINK("http://babel.hathitrust.org/cgi/pt?id=uva.x001496243")</f>
        <v>http://babel.hathitrust.org/cgi/pt?id=uva.x001496243</v>
      </c>
      <c r="H7424" t="str">
        <f>HYPERLINK("http://catalog.hathitrust.org/Record/009775189")</f>
        <v>http://catalog.hathitrust.org/Record/009775189</v>
      </c>
      <c r="J7424" s="1">
        <v>1894</v>
      </c>
      <c r="K7424" t="s">
        <v>3168</v>
      </c>
      <c r="L7424" t="s">
        <v>20416</v>
      </c>
    </row>
    <row r="7425" spans="1:12">
      <c r="A7425" t="s">
        <v>2379</v>
      </c>
      <c r="B7425" s="1" t="s">
        <v>2380</v>
      </c>
      <c r="F7425">
        <v>1</v>
      </c>
      <c r="G7425" t="str">
        <f>HYPERLINK("http://babel.hathitrust.org/cgi/pt?id=uva.x000197105")</f>
        <v>http://babel.hathitrust.org/cgi/pt?id=uva.x000197105</v>
      </c>
      <c r="H7425" t="str">
        <f>HYPERLINK("http://catalog.hathitrust.org/Record/009775350")</f>
        <v>http://catalog.hathitrust.org/Record/009775350</v>
      </c>
      <c r="J7425" s="1">
        <v>1889</v>
      </c>
      <c r="K7425" t="s">
        <v>2381</v>
      </c>
      <c r="L7425" t="s">
        <v>20331</v>
      </c>
    </row>
    <row r="7426" spans="1:12">
      <c r="A7426" t="s">
        <v>2382</v>
      </c>
      <c r="B7426" s="1" t="s">
        <v>2383</v>
      </c>
      <c r="F7426">
        <v>1</v>
      </c>
      <c r="G7426" t="str">
        <f>HYPERLINK("http://babel.hathitrust.org/cgi/pt?id=uva.x000192508")</f>
        <v>http://babel.hathitrust.org/cgi/pt?id=uva.x000192508</v>
      </c>
      <c r="H7426" t="str">
        <f>HYPERLINK("http://catalog.hathitrust.org/Record/009775426")</f>
        <v>http://catalog.hathitrust.org/Record/009775426</v>
      </c>
      <c r="J7426" s="1">
        <v>1861</v>
      </c>
      <c r="K7426" t="s">
        <v>2384</v>
      </c>
      <c r="L7426" t="s">
        <v>2385</v>
      </c>
    </row>
    <row r="7427" spans="1:12">
      <c r="A7427" t="s">
        <v>2386</v>
      </c>
      <c r="B7427" s="1" t="s">
        <v>2387</v>
      </c>
      <c r="D7427">
        <v>1</v>
      </c>
      <c r="G7427" t="str">
        <f>HYPERLINK("http://babel.hathitrust.org/cgi/pt?id=uva.x000372854")</f>
        <v>http://babel.hathitrust.org/cgi/pt?id=uva.x000372854</v>
      </c>
      <c r="H7427" t="str">
        <f>HYPERLINK("http://catalog.hathitrust.org/Record/009775714")</f>
        <v>http://catalog.hathitrust.org/Record/009775714</v>
      </c>
      <c r="J7427" s="1">
        <v>1817</v>
      </c>
      <c r="K7427" t="s">
        <v>19953</v>
      </c>
      <c r="L7427" t="s">
        <v>20256</v>
      </c>
    </row>
    <row r="7428" spans="1:12">
      <c r="A7428" t="s">
        <v>2388</v>
      </c>
      <c r="B7428" s="1" t="s">
        <v>2389</v>
      </c>
      <c r="F7428">
        <v>1</v>
      </c>
      <c r="G7428" t="str">
        <f>HYPERLINK("http://babel.hathitrust.org/cgi/pt?id=uva.x002403719")</f>
        <v>http://babel.hathitrust.org/cgi/pt?id=uva.x002403719</v>
      </c>
      <c r="H7428" t="str">
        <f>HYPERLINK("http://catalog.hathitrust.org/Record/009775728")</f>
        <v>http://catalog.hathitrust.org/Record/009775728</v>
      </c>
      <c r="J7428" s="1">
        <v>1870</v>
      </c>
      <c r="K7428" t="s">
        <v>2390</v>
      </c>
      <c r="L7428" t="s">
        <v>3543</v>
      </c>
    </row>
    <row r="7429" spans="1:12">
      <c r="A7429" t="s">
        <v>2391</v>
      </c>
      <c r="B7429" s="1" t="s">
        <v>2392</v>
      </c>
      <c r="F7429">
        <v>1</v>
      </c>
      <c r="G7429" t="str">
        <f>HYPERLINK("http://babel.hathitrust.org/cgi/pt?id=uva.x000417034")</f>
        <v>http://babel.hathitrust.org/cgi/pt?id=uva.x000417034</v>
      </c>
      <c r="H7429" t="str">
        <f>HYPERLINK("http://catalog.hathitrust.org/Record/009776054")</f>
        <v>http://catalog.hathitrust.org/Record/009776054</v>
      </c>
      <c r="J7429" s="1">
        <v>1852</v>
      </c>
      <c r="K7429" t="s">
        <v>2393</v>
      </c>
      <c r="L7429" t="s">
        <v>20197</v>
      </c>
    </row>
    <row r="7430" spans="1:12">
      <c r="A7430" t="s">
        <v>2394</v>
      </c>
      <c r="B7430" s="1" t="s">
        <v>2395</v>
      </c>
      <c r="E7430">
        <v>1</v>
      </c>
      <c r="G7430" t="str">
        <f>HYPERLINK("http://babel.hathitrust.org/cgi/pt?id=loc.ark:/13960/t55d9qd29")</f>
        <v>http://babel.hathitrust.org/cgi/pt?id=loc.ark:/13960/t55d9qd29</v>
      </c>
      <c r="H7430" t="str">
        <f>HYPERLINK("http://catalog.hathitrust.org/Record/009776114")</f>
        <v>http://catalog.hathitrust.org/Record/009776114</v>
      </c>
      <c r="J7430" s="1">
        <v>1916</v>
      </c>
      <c r="K7430" t="s">
        <v>10206</v>
      </c>
      <c r="L7430" t="s">
        <v>20467</v>
      </c>
    </row>
    <row r="7431" spans="1:12">
      <c r="A7431" t="s">
        <v>2396</v>
      </c>
      <c r="B7431" s="1" t="s">
        <v>2397</v>
      </c>
      <c r="E7431">
        <v>1</v>
      </c>
      <c r="F7431">
        <v>1</v>
      </c>
      <c r="G7431" t="str">
        <f>HYPERLINK("http://babel.hathitrust.org/cgi/pt?id=uva.x001164058")</f>
        <v>http://babel.hathitrust.org/cgi/pt?id=uva.x001164058</v>
      </c>
      <c r="H7431" t="str">
        <f>HYPERLINK("http://catalog.hathitrust.org/Record/009776379")</f>
        <v>http://catalog.hathitrust.org/Record/009776379</v>
      </c>
      <c r="J7431" s="1">
        <v>1865</v>
      </c>
      <c r="K7431" t="s">
        <v>2398</v>
      </c>
      <c r="L7431" t="s">
        <v>12780</v>
      </c>
    </row>
    <row r="7432" spans="1:12">
      <c r="A7432" t="s">
        <v>2399</v>
      </c>
      <c r="B7432" s="1" t="s">
        <v>2400</v>
      </c>
      <c r="E7432">
        <v>1</v>
      </c>
      <c r="G7432" t="str">
        <f>HYPERLINK("http://babel.hathitrust.org/cgi/pt?id=uva.x000310763")</f>
        <v>http://babel.hathitrust.org/cgi/pt?id=uva.x000310763</v>
      </c>
      <c r="H7432" t="str">
        <f>HYPERLINK("http://catalog.hathitrust.org/Record/009776841")</f>
        <v>http://catalog.hathitrust.org/Record/009776841</v>
      </c>
      <c r="J7432" s="1">
        <v>1875</v>
      </c>
      <c r="K7432" t="s">
        <v>2401</v>
      </c>
      <c r="L7432" t="s">
        <v>20331</v>
      </c>
    </row>
    <row r="7433" spans="1:12">
      <c r="A7433" t="s">
        <v>2402</v>
      </c>
      <c r="B7433" s="1" t="s">
        <v>2403</v>
      </c>
      <c r="F7433">
        <v>1</v>
      </c>
      <c r="G7433" t="str">
        <f>HYPERLINK("http://babel.hathitrust.org/cgi/pt?id=uva.x030750705")</f>
        <v>http://babel.hathitrust.org/cgi/pt?id=uva.x030750705</v>
      </c>
      <c r="H7433" t="str">
        <f>HYPERLINK("http://catalog.hathitrust.org/Record/009778114")</f>
        <v>http://catalog.hathitrust.org/Record/009778114</v>
      </c>
      <c r="J7433" s="1">
        <v>1850</v>
      </c>
      <c r="K7433" t="s">
        <v>2404</v>
      </c>
      <c r="L7433" t="s">
        <v>8218</v>
      </c>
    </row>
    <row r="7434" spans="1:12">
      <c r="A7434" t="s">
        <v>2405</v>
      </c>
      <c r="B7434" s="1" t="s">
        <v>2406</v>
      </c>
      <c r="F7434">
        <v>1</v>
      </c>
      <c r="G7434" t="str">
        <f>HYPERLINK("http://babel.hathitrust.org/cgi/pt?id=uva.x000856443")</f>
        <v>http://babel.hathitrust.org/cgi/pt?id=uva.x000856443</v>
      </c>
      <c r="H7434" t="str">
        <f>HYPERLINK("http://catalog.hathitrust.org/Record/009778416")</f>
        <v>http://catalog.hathitrust.org/Record/009778416</v>
      </c>
      <c r="I7434" s="1" t="s">
        <v>2407</v>
      </c>
      <c r="J7434" s="1">
        <v>1833</v>
      </c>
      <c r="K7434" t="s">
        <v>16122</v>
      </c>
    </row>
    <row r="7435" spans="1:12">
      <c r="A7435" t="s">
        <v>2408</v>
      </c>
      <c r="B7435" s="1" t="s">
        <v>2409</v>
      </c>
      <c r="F7435">
        <v>1</v>
      </c>
      <c r="G7435" t="str">
        <f>HYPERLINK("http://babel.hathitrust.org/cgi/pt?id=uva.x030396230")</f>
        <v>http://babel.hathitrust.org/cgi/pt?id=uva.x030396230</v>
      </c>
      <c r="H7435" t="str">
        <f>HYPERLINK("http://catalog.hathitrust.org/Record/009778417")</f>
        <v>http://catalog.hathitrust.org/Record/009778417</v>
      </c>
      <c r="I7435" s="1" t="s">
        <v>20916</v>
      </c>
      <c r="J7435" s="1">
        <v>1850</v>
      </c>
      <c r="K7435" t="s">
        <v>2410</v>
      </c>
    </row>
    <row r="7436" spans="1:12">
      <c r="A7436" t="s">
        <v>2411</v>
      </c>
      <c r="B7436" s="1" t="s">
        <v>2409</v>
      </c>
      <c r="F7436">
        <v>1</v>
      </c>
      <c r="G7436" t="str">
        <f>HYPERLINK("http://babel.hathitrust.org/cgi/pt?id=uva.x030396231")</f>
        <v>http://babel.hathitrust.org/cgi/pt?id=uva.x030396231</v>
      </c>
      <c r="H7436" t="str">
        <f>HYPERLINK("http://catalog.hathitrust.org/Record/009778417")</f>
        <v>http://catalog.hathitrust.org/Record/009778417</v>
      </c>
      <c r="I7436" s="1" t="s">
        <v>20755</v>
      </c>
      <c r="J7436" s="1">
        <v>1850</v>
      </c>
      <c r="K7436" t="s">
        <v>2410</v>
      </c>
    </row>
    <row r="7437" spans="1:12">
      <c r="A7437" t="s">
        <v>2412</v>
      </c>
      <c r="B7437" s="1" t="s">
        <v>2413</v>
      </c>
      <c r="F7437">
        <v>1</v>
      </c>
      <c r="G7437" t="str">
        <f>HYPERLINK("http://babel.hathitrust.org/cgi/pt?id=uva.x002263470")</f>
        <v>http://babel.hathitrust.org/cgi/pt?id=uva.x002263470</v>
      </c>
      <c r="H7437" t="str">
        <f>HYPERLINK("http://catalog.hathitrust.org/Record/009778504")</f>
        <v>http://catalog.hathitrust.org/Record/009778504</v>
      </c>
      <c r="J7437" s="1">
        <v>1913</v>
      </c>
      <c r="K7437" t="s">
        <v>2414</v>
      </c>
    </row>
    <row r="7438" spans="1:12">
      <c r="A7438" t="s">
        <v>2415</v>
      </c>
      <c r="B7438" s="1" t="s">
        <v>2416</v>
      </c>
      <c r="F7438">
        <v>1</v>
      </c>
      <c r="G7438" t="str">
        <f>HYPERLINK("http://babel.hathitrust.org/cgi/pt?id=uva.x004534639")</f>
        <v>http://babel.hathitrust.org/cgi/pt?id=uva.x004534639</v>
      </c>
      <c r="H7438" t="str">
        <f>HYPERLINK("http://catalog.hathitrust.org/Record/009778731")</f>
        <v>http://catalog.hathitrust.org/Record/009778731</v>
      </c>
      <c r="J7438" s="1">
        <v>1882</v>
      </c>
      <c r="K7438" t="s">
        <v>2417</v>
      </c>
      <c r="L7438" t="s">
        <v>15117</v>
      </c>
    </row>
    <row r="7439" spans="1:12">
      <c r="A7439" t="s">
        <v>2418</v>
      </c>
      <c r="B7439" s="1" t="s">
        <v>2419</v>
      </c>
      <c r="D7439">
        <v>1</v>
      </c>
      <c r="G7439" t="str">
        <f>HYPERLINK("http://babel.hathitrust.org/cgi/pt?id=uva.x000756244")</f>
        <v>http://babel.hathitrust.org/cgi/pt?id=uva.x000756244</v>
      </c>
      <c r="H7439" t="str">
        <f>HYPERLINK("http://catalog.hathitrust.org/Record/009779140")</f>
        <v>http://catalog.hathitrust.org/Record/009779140</v>
      </c>
      <c r="J7439" s="1">
        <v>1852</v>
      </c>
      <c r="K7439" t="s">
        <v>2420</v>
      </c>
      <c r="L7439" t="s">
        <v>19694</v>
      </c>
    </row>
    <row r="7440" spans="1:12">
      <c r="A7440" t="s">
        <v>2421</v>
      </c>
      <c r="B7440" s="1" t="s">
        <v>2422</v>
      </c>
      <c r="F7440">
        <v>1</v>
      </c>
      <c r="G7440" t="str">
        <f>HYPERLINK("http://babel.hathitrust.org/cgi/pt?id=uva.x004385559")</f>
        <v>http://babel.hathitrust.org/cgi/pt?id=uva.x004385559</v>
      </c>
      <c r="H7440" t="str">
        <f>HYPERLINK("http://catalog.hathitrust.org/Record/009779879")</f>
        <v>http://catalog.hathitrust.org/Record/009779879</v>
      </c>
      <c r="J7440" s="1">
        <v>1897</v>
      </c>
      <c r="K7440" t="s">
        <v>2423</v>
      </c>
      <c r="L7440" t="s">
        <v>6033</v>
      </c>
    </row>
    <row r="7441" spans="1:12">
      <c r="A7441" t="s">
        <v>2424</v>
      </c>
      <c r="B7441" s="1" t="s">
        <v>2425</v>
      </c>
      <c r="F7441">
        <v>1</v>
      </c>
      <c r="G7441" t="str">
        <f>HYPERLINK("http://babel.hathitrust.org/cgi/pt?id=uva.x001597692")</f>
        <v>http://babel.hathitrust.org/cgi/pt?id=uva.x001597692</v>
      </c>
      <c r="H7441" t="str">
        <f>HYPERLINK("http://catalog.hathitrust.org/Record/009779907")</f>
        <v>http://catalog.hathitrust.org/Record/009779907</v>
      </c>
      <c r="J7441" s="1">
        <v>1917</v>
      </c>
      <c r="K7441" t="s">
        <v>2315</v>
      </c>
      <c r="L7441" t="s">
        <v>2316</v>
      </c>
    </row>
    <row r="7442" spans="1:12">
      <c r="A7442" t="s">
        <v>2317</v>
      </c>
      <c r="B7442" s="1" t="s">
        <v>2318</v>
      </c>
      <c r="F7442">
        <v>1</v>
      </c>
      <c r="G7442" t="str">
        <f>HYPERLINK("http://babel.hathitrust.org/cgi/pt?id=uva.x000235618")</f>
        <v>http://babel.hathitrust.org/cgi/pt?id=uva.x000235618</v>
      </c>
      <c r="H7442" t="str">
        <f>HYPERLINK("http://catalog.hathitrust.org/Record/009779957")</f>
        <v>http://catalog.hathitrust.org/Record/009779957</v>
      </c>
      <c r="J7442" s="1">
        <v>1866</v>
      </c>
      <c r="K7442" t="s">
        <v>4484</v>
      </c>
      <c r="L7442" t="s">
        <v>19827</v>
      </c>
    </row>
    <row r="7443" spans="1:12">
      <c r="A7443" t="s">
        <v>2319</v>
      </c>
      <c r="B7443" s="1" t="s">
        <v>2320</v>
      </c>
      <c r="D7443">
        <v>1</v>
      </c>
      <c r="G7443" t="str">
        <f>HYPERLINK("http://babel.hathitrust.org/cgi/pt?id=uva.x000392508")</f>
        <v>http://babel.hathitrust.org/cgi/pt?id=uva.x000392508</v>
      </c>
      <c r="H7443" t="str">
        <f>HYPERLINK("http://catalog.hathitrust.org/Record/009780014")</f>
        <v>http://catalog.hathitrust.org/Record/009780014</v>
      </c>
      <c r="J7443" s="1">
        <v>1849</v>
      </c>
      <c r="K7443" t="s">
        <v>2321</v>
      </c>
      <c r="L7443" t="s">
        <v>20043</v>
      </c>
    </row>
    <row r="7444" spans="1:12">
      <c r="A7444" t="s">
        <v>2322</v>
      </c>
      <c r="B7444" s="1" t="s">
        <v>2323</v>
      </c>
      <c r="F7444">
        <v>1</v>
      </c>
      <c r="G7444" t="str">
        <f>HYPERLINK("http://babel.hathitrust.org/cgi/pt?id=uva.x006136511")</f>
        <v>http://babel.hathitrust.org/cgi/pt?id=uva.x006136511</v>
      </c>
      <c r="H7444" t="str">
        <f>HYPERLINK("http://catalog.hathitrust.org/Record/009780202")</f>
        <v>http://catalog.hathitrust.org/Record/009780202</v>
      </c>
      <c r="I7444" s="1" t="s">
        <v>14537</v>
      </c>
      <c r="J7444" s="1">
        <v>1819</v>
      </c>
      <c r="K7444" t="s">
        <v>19693</v>
      </c>
      <c r="L7444" t="s">
        <v>19694</v>
      </c>
    </row>
    <row r="7445" spans="1:12">
      <c r="A7445" t="s">
        <v>2324</v>
      </c>
      <c r="B7445" s="1" t="s">
        <v>2325</v>
      </c>
      <c r="F7445">
        <v>1</v>
      </c>
      <c r="G7445" t="str">
        <f>HYPERLINK("http://babel.hathitrust.org/cgi/pt?id=uva.x004507021")</f>
        <v>http://babel.hathitrust.org/cgi/pt?id=uva.x004507021</v>
      </c>
      <c r="H7445" t="str">
        <f>HYPERLINK("http://catalog.hathitrust.org/Record/009780220")</f>
        <v>http://catalog.hathitrust.org/Record/009780220</v>
      </c>
      <c r="J7445" s="1">
        <v>1869</v>
      </c>
      <c r="K7445" t="s">
        <v>2326</v>
      </c>
      <c r="L7445" t="s">
        <v>2327</v>
      </c>
    </row>
    <row r="7446" spans="1:12">
      <c r="A7446" t="s">
        <v>2328</v>
      </c>
      <c r="B7446" s="1" t="s">
        <v>2329</v>
      </c>
      <c r="F7446">
        <v>1</v>
      </c>
      <c r="G7446" t="str">
        <f>HYPERLINK("http://babel.hathitrust.org/cgi/pt?id=uva.x002138934")</f>
        <v>http://babel.hathitrust.org/cgi/pt?id=uva.x002138934</v>
      </c>
      <c r="H7446" t="str">
        <f>HYPERLINK("http://catalog.hathitrust.org/Record/009780227")</f>
        <v>http://catalog.hathitrust.org/Record/009780227</v>
      </c>
      <c r="J7446" s="1">
        <v>1826</v>
      </c>
      <c r="K7446" t="s">
        <v>2330</v>
      </c>
      <c r="L7446" t="s">
        <v>20043</v>
      </c>
    </row>
    <row r="7447" spans="1:12">
      <c r="A7447" t="s">
        <v>2331</v>
      </c>
      <c r="B7447" s="1" t="s">
        <v>2332</v>
      </c>
      <c r="D7447">
        <v>1</v>
      </c>
      <c r="G7447" t="str">
        <f>HYPERLINK("http://babel.hathitrust.org/cgi/pt?id=uva.x000672074")</f>
        <v>http://babel.hathitrust.org/cgi/pt?id=uva.x000672074</v>
      </c>
      <c r="H7447" t="str">
        <f>HYPERLINK("http://catalog.hathitrust.org/Record/009780287")</f>
        <v>http://catalog.hathitrust.org/Record/009780287</v>
      </c>
      <c r="J7447" s="1">
        <v>1901</v>
      </c>
      <c r="K7447" t="s">
        <v>2333</v>
      </c>
      <c r="L7447" t="s">
        <v>20086</v>
      </c>
    </row>
    <row r="7448" spans="1:12">
      <c r="A7448" t="s">
        <v>2334</v>
      </c>
      <c r="B7448" s="1" t="s">
        <v>2335</v>
      </c>
      <c r="D7448">
        <v>1</v>
      </c>
      <c r="G7448" t="str">
        <f>HYPERLINK("http://babel.hathitrust.org/cgi/pt?id=uva.x030751029")</f>
        <v>http://babel.hathitrust.org/cgi/pt?id=uva.x030751029</v>
      </c>
      <c r="H7448" t="str">
        <f>HYPERLINK("http://catalog.hathitrust.org/Record/009780313")</f>
        <v>http://catalog.hathitrust.org/Record/009780313</v>
      </c>
      <c r="J7448" s="1">
        <v>1911</v>
      </c>
      <c r="K7448" t="s">
        <v>11215</v>
      </c>
      <c r="L7448" t="s">
        <v>19253</v>
      </c>
    </row>
    <row r="7449" spans="1:12">
      <c r="A7449" t="s">
        <v>2336</v>
      </c>
      <c r="B7449" s="1" t="s">
        <v>2337</v>
      </c>
      <c r="E7449">
        <v>1</v>
      </c>
      <c r="G7449" t="str">
        <f>HYPERLINK("http://babel.hathitrust.org/cgi/pt?id=uva.x006115023")</f>
        <v>http://babel.hathitrust.org/cgi/pt?id=uva.x006115023</v>
      </c>
      <c r="H7449" t="str">
        <f>HYPERLINK("http://catalog.hathitrust.org/Record/009780337")</f>
        <v>http://catalog.hathitrust.org/Record/009780337</v>
      </c>
      <c r="J7449" s="1">
        <v>1848</v>
      </c>
      <c r="K7449" t="s">
        <v>2338</v>
      </c>
      <c r="L7449" t="s">
        <v>20904</v>
      </c>
    </row>
    <row r="7450" spans="1:12">
      <c r="A7450" t="s">
        <v>2339</v>
      </c>
      <c r="B7450" s="1" t="s">
        <v>2340</v>
      </c>
      <c r="F7450">
        <v>1</v>
      </c>
      <c r="G7450" t="str">
        <f>HYPERLINK("http://babel.hathitrust.org/cgi/pt?id=uva.x030804016")</f>
        <v>http://babel.hathitrust.org/cgi/pt?id=uva.x030804016</v>
      </c>
      <c r="H7450" t="str">
        <f>HYPERLINK("http://catalog.hathitrust.org/Record/009780458")</f>
        <v>http://catalog.hathitrust.org/Record/009780458</v>
      </c>
      <c r="J7450" s="1">
        <v>1852</v>
      </c>
      <c r="K7450" t="s">
        <v>2341</v>
      </c>
      <c r="L7450" t="s">
        <v>16785</v>
      </c>
    </row>
    <row r="7451" spans="1:12">
      <c r="A7451" t="s">
        <v>2342</v>
      </c>
      <c r="B7451" s="1" t="s">
        <v>2343</v>
      </c>
      <c r="F7451">
        <v>1</v>
      </c>
      <c r="G7451" t="str">
        <f>HYPERLINK("http://babel.hathitrust.org/cgi/pt?id=uva.x030804020")</f>
        <v>http://babel.hathitrust.org/cgi/pt?id=uva.x030804020</v>
      </c>
      <c r="H7451" t="str">
        <f>HYPERLINK("http://catalog.hathitrust.org/Record/009780459")</f>
        <v>http://catalog.hathitrust.org/Record/009780459</v>
      </c>
      <c r="J7451" s="1">
        <v>1888</v>
      </c>
      <c r="K7451" t="s">
        <v>2344</v>
      </c>
      <c r="L7451" t="s">
        <v>2345</v>
      </c>
    </row>
    <row r="7452" spans="1:12">
      <c r="A7452" t="s">
        <v>2346</v>
      </c>
      <c r="B7452" s="1" t="s">
        <v>2347</v>
      </c>
      <c r="F7452">
        <v>1</v>
      </c>
      <c r="G7452" t="str">
        <f>HYPERLINK("http://babel.hathitrust.org/cgi/pt?id=uva.x030804015")</f>
        <v>http://babel.hathitrust.org/cgi/pt?id=uva.x030804015</v>
      </c>
      <c r="H7452" t="str">
        <f>HYPERLINK("http://catalog.hathitrust.org/Record/009780474")</f>
        <v>http://catalog.hathitrust.org/Record/009780474</v>
      </c>
      <c r="J7452" s="1">
        <v>1843</v>
      </c>
      <c r="K7452" t="s">
        <v>2634</v>
      </c>
      <c r="L7452" t="s">
        <v>16785</v>
      </c>
    </row>
    <row r="7453" spans="1:12">
      <c r="A7453" t="s">
        <v>2348</v>
      </c>
      <c r="B7453" s="1" t="s">
        <v>2349</v>
      </c>
      <c r="E7453">
        <v>1</v>
      </c>
      <c r="F7453">
        <v>1</v>
      </c>
      <c r="G7453" t="str">
        <f>HYPERLINK("http://babel.hathitrust.org/cgi/pt?id=uva.x030804021")</f>
        <v>http://babel.hathitrust.org/cgi/pt?id=uva.x030804021</v>
      </c>
      <c r="H7453" t="str">
        <f>HYPERLINK("http://catalog.hathitrust.org/Record/009780477")</f>
        <v>http://catalog.hathitrust.org/Record/009780477</v>
      </c>
      <c r="J7453" s="1">
        <v>1880</v>
      </c>
      <c r="K7453" t="s">
        <v>2350</v>
      </c>
      <c r="L7453" t="s">
        <v>6956</v>
      </c>
    </row>
    <row r="7454" spans="1:12">
      <c r="A7454" t="s">
        <v>2351</v>
      </c>
      <c r="B7454" s="1" t="s">
        <v>2352</v>
      </c>
      <c r="F7454">
        <v>1</v>
      </c>
      <c r="G7454" t="str">
        <f>HYPERLINK("http://babel.hathitrust.org/cgi/pt?id=uva.x000104249")</f>
        <v>http://babel.hathitrust.org/cgi/pt?id=uva.x000104249</v>
      </c>
      <c r="H7454" t="str">
        <f>HYPERLINK("http://catalog.hathitrust.org/Record/009780481")</f>
        <v>http://catalog.hathitrust.org/Record/009780481</v>
      </c>
      <c r="J7454" s="1">
        <v>1895</v>
      </c>
      <c r="K7454" t="s">
        <v>7140</v>
      </c>
      <c r="L7454" t="s">
        <v>12423</v>
      </c>
    </row>
    <row r="7455" spans="1:12">
      <c r="A7455" t="s">
        <v>2353</v>
      </c>
      <c r="B7455" s="1" t="s">
        <v>2354</v>
      </c>
      <c r="F7455">
        <v>1</v>
      </c>
      <c r="G7455" t="str">
        <f>HYPERLINK("http://babel.hathitrust.org/cgi/pt?id=uva.x000470469")</f>
        <v>http://babel.hathitrust.org/cgi/pt?id=uva.x000470469</v>
      </c>
      <c r="H7455" t="str">
        <f>HYPERLINK("http://catalog.hathitrust.org/Record/009781059")</f>
        <v>http://catalog.hathitrust.org/Record/009781059</v>
      </c>
      <c r="J7455" s="1">
        <v>1873</v>
      </c>
      <c r="K7455" t="s">
        <v>2355</v>
      </c>
      <c r="L7455" t="s">
        <v>2356</v>
      </c>
    </row>
    <row r="7456" spans="1:12">
      <c r="A7456" t="s">
        <v>2357</v>
      </c>
      <c r="B7456" s="1" t="s">
        <v>2358</v>
      </c>
      <c r="F7456">
        <v>1</v>
      </c>
      <c r="G7456" t="str">
        <f>HYPERLINK("http://babel.hathitrust.org/cgi/pt?id=uva.x030805734")</f>
        <v>http://babel.hathitrust.org/cgi/pt?id=uva.x030805734</v>
      </c>
      <c r="H7456" t="str">
        <f>HYPERLINK("http://catalog.hathitrust.org/Record/009782494")</f>
        <v>http://catalog.hathitrust.org/Record/009782494</v>
      </c>
      <c r="J7456" s="1">
        <v>1906</v>
      </c>
      <c r="K7456" t="s">
        <v>13011</v>
      </c>
      <c r="L7456" t="s">
        <v>20193</v>
      </c>
    </row>
    <row r="7457" spans="1:12">
      <c r="A7457" t="s">
        <v>2359</v>
      </c>
      <c r="B7457" s="1" t="s">
        <v>2360</v>
      </c>
      <c r="F7457">
        <v>1</v>
      </c>
      <c r="G7457" t="str">
        <f>HYPERLINK("http://babel.hathitrust.org/cgi/pt?id=uva.x030804475")</f>
        <v>http://babel.hathitrust.org/cgi/pt?id=uva.x030804475</v>
      </c>
      <c r="H7457" t="str">
        <f>HYPERLINK("http://catalog.hathitrust.org/Record/009782550")</f>
        <v>http://catalog.hathitrust.org/Record/009782550</v>
      </c>
      <c r="I7457" s="1" t="s">
        <v>20755</v>
      </c>
      <c r="J7457" s="1">
        <v>1871</v>
      </c>
      <c r="K7457" t="s">
        <v>2361</v>
      </c>
      <c r="L7457" t="s">
        <v>17914</v>
      </c>
    </row>
    <row r="7458" spans="1:12">
      <c r="A7458" t="s">
        <v>2362</v>
      </c>
      <c r="B7458" s="1" t="s">
        <v>2360</v>
      </c>
      <c r="F7458">
        <v>1</v>
      </c>
      <c r="G7458" t="str">
        <f>HYPERLINK("http://babel.hathitrust.org/cgi/pt?id=uva.x030804476")</f>
        <v>http://babel.hathitrust.org/cgi/pt?id=uva.x030804476</v>
      </c>
      <c r="H7458" t="str">
        <f>HYPERLINK("http://catalog.hathitrust.org/Record/009782550")</f>
        <v>http://catalog.hathitrust.org/Record/009782550</v>
      </c>
      <c r="I7458" s="1" t="s">
        <v>20916</v>
      </c>
      <c r="J7458" s="1">
        <v>1871</v>
      </c>
      <c r="K7458" t="s">
        <v>2361</v>
      </c>
      <c r="L7458" t="s">
        <v>17914</v>
      </c>
    </row>
    <row r="7459" spans="1:12">
      <c r="A7459" t="s">
        <v>2363</v>
      </c>
      <c r="B7459" s="1" t="s">
        <v>2364</v>
      </c>
      <c r="E7459">
        <v>1</v>
      </c>
      <c r="G7459" t="str">
        <f>HYPERLINK("http://babel.hathitrust.org/cgi/pt?id=uva.x000498898")</f>
        <v>http://babel.hathitrust.org/cgi/pt?id=uva.x000498898</v>
      </c>
      <c r="H7459" t="str">
        <f>HYPERLINK("http://catalog.hathitrust.org/Record/009782649")</f>
        <v>http://catalog.hathitrust.org/Record/009782649</v>
      </c>
      <c r="J7459" s="1">
        <v>1920</v>
      </c>
      <c r="K7459" t="s">
        <v>2365</v>
      </c>
      <c r="L7459" t="s">
        <v>20331</v>
      </c>
    </row>
    <row r="7460" spans="1:12">
      <c r="A7460" t="s">
        <v>2366</v>
      </c>
      <c r="B7460" s="1" t="s">
        <v>2367</v>
      </c>
      <c r="F7460">
        <v>1</v>
      </c>
      <c r="G7460" t="str">
        <f>HYPERLINK("http://babel.hathitrust.org/cgi/pt?id=uva.x030396229")</f>
        <v>http://babel.hathitrust.org/cgi/pt?id=uva.x030396229</v>
      </c>
      <c r="H7460" t="str">
        <f>HYPERLINK("http://catalog.hathitrust.org/Record/009784663")</f>
        <v>http://catalog.hathitrust.org/Record/009784663</v>
      </c>
      <c r="J7460" s="1">
        <v>1839</v>
      </c>
      <c r="K7460" t="s">
        <v>2368</v>
      </c>
    </row>
    <row r="7461" spans="1:12">
      <c r="A7461" t="s">
        <v>2369</v>
      </c>
      <c r="B7461" s="1" t="s">
        <v>2370</v>
      </c>
      <c r="E7461">
        <v>1</v>
      </c>
      <c r="G7461" t="str">
        <f>HYPERLINK("http://babel.hathitrust.org/cgi/pt?id=uva.x000028870")</f>
        <v>http://babel.hathitrust.org/cgi/pt?id=uva.x000028870</v>
      </c>
      <c r="H7461" t="str">
        <f>HYPERLINK("http://catalog.hathitrust.org/Record/009785597")</f>
        <v>http://catalog.hathitrust.org/Record/009785597</v>
      </c>
      <c r="J7461" s="1">
        <v>1922</v>
      </c>
      <c r="K7461" t="s">
        <v>2268</v>
      </c>
      <c r="L7461" t="s">
        <v>18079</v>
      </c>
    </row>
    <row r="7462" spans="1:12">
      <c r="A7462" t="s">
        <v>2269</v>
      </c>
      <c r="B7462" s="1" t="s">
        <v>2270</v>
      </c>
      <c r="F7462">
        <v>1</v>
      </c>
      <c r="G7462" t="str">
        <f>HYPERLINK("http://babel.hathitrust.org/cgi/pt?id=uva.x002264430")</f>
        <v>http://babel.hathitrust.org/cgi/pt?id=uva.x002264430</v>
      </c>
      <c r="H7462" t="str">
        <f>HYPERLINK("http://catalog.hathitrust.org/Record/009785656")</f>
        <v>http://catalog.hathitrust.org/Record/009785656</v>
      </c>
      <c r="J7462" s="1">
        <v>1867</v>
      </c>
      <c r="K7462" t="s">
        <v>2271</v>
      </c>
      <c r="L7462" t="s">
        <v>4519</v>
      </c>
    </row>
    <row r="7463" spans="1:12">
      <c r="A7463" t="s">
        <v>2272</v>
      </c>
      <c r="B7463" s="1" t="s">
        <v>2273</v>
      </c>
      <c r="F7463">
        <v>1</v>
      </c>
      <c r="G7463" t="str">
        <f>HYPERLINK("http://babel.hathitrust.org/cgi/pt?id=uva.x002399471")</f>
        <v>http://babel.hathitrust.org/cgi/pt?id=uva.x002399471</v>
      </c>
      <c r="H7463" t="str">
        <f t="shared" ref="H7463:H7470" si="69">HYPERLINK("http://catalog.hathitrust.org/Record/009786980")</f>
        <v>http://catalog.hathitrust.org/Record/009786980</v>
      </c>
      <c r="I7463" s="1" t="s">
        <v>2275</v>
      </c>
      <c r="J7463" s="1">
        <v>1873</v>
      </c>
      <c r="K7463" t="s">
        <v>2274</v>
      </c>
    </row>
    <row r="7464" spans="1:12">
      <c r="A7464" t="s">
        <v>2276</v>
      </c>
      <c r="B7464" s="1" t="s">
        <v>2273</v>
      </c>
      <c r="F7464">
        <v>1</v>
      </c>
      <c r="G7464" t="str">
        <f>HYPERLINK("http://babel.hathitrust.org/cgi/pt?id=uva.x002399473")</f>
        <v>http://babel.hathitrust.org/cgi/pt?id=uva.x002399473</v>
      </c>
      <c r="H7464" t="str">
        <f t="shared" si="69"/>
        <v>http://catalog.hathitrust.org/Record/009786980</v>
      </c>
      <c r="I7464" s="1" t="s">
        <v>2277</v>
      </c>
      <c r="J7464" s="1">
        <v>1873</v>
      </c>
      <c r="K7464" t="s">
        <v>2274</v>
      </c>
    </row>
    <row r="7465" spans="1:12">
      <c r="A7465" t="s">
        <v>2278</v>
      </c>
      <c r="B7465" s="1" t="s">
        <v>2273</v>
      </c>
      <c r="F7465">
        <v>1</v>
      </c>
      <c r="G7465" t="str">
        <f>HYPERLINK("http://babel.hathitrust.org/cgi/pt?id=uva.x030730277")</f>
        <v>http://babel.hathitrust.org/cgi/pt?id=uva.x030730277</v>
      </c>
      <c r="H7465" t="str">
        <f t="shared" si="69"/>
        <v>http://catalog.hathitrust.org/Record/009786980</v>
      </c>
      <c r="I7465" s="1" t="s">
        <v>2279</v>
      </c>
      <c r="J7465" s="1">
        <v>1873</v>
      </c>
      <c r="K7465" t="s">
        <v>2274</v>
      </c>
    </row>
    <row r="7466" spans="1:12">
      <c r="A7466" t="s">
        <v>2280</v>
      </c>
      <c r="B7466" s="1" t="s">
        <v>2273</v>
      </c>
      <c r="F7466">
        <v>1</v>
      </c>
      <c r="G7466" t="str">
        <f>HYPERLINK("http://babel.hathitrust.org/cgi/pt?id=uva.x030730278")</f>
        <v>http://babel.hathitrust.org/cgi/pt?id=uva.x030730278</v>
      </c>
      <c r="H7466" t="str">
        <f t="shared" si="69"/>
        <v>http://catalog.hathitrust.org/Record/009786980</v>
      </c>
      <c r="I7466" s="1" t="s">
        <v>2281</v>
      </c>
      <c r="J7466" s="1">
        <v>1873</v>
      </c>
      <c r="K7466" t="s">
        <v>2274</v>
      </c>
    </row>
    <row r="7467" spans="1:12">
      <c r="A7467" t="s">
        <v>2282</v>
      </c>
      <c r="B7467" s="1" t="s">
        <v>2273</v>
      </c>
      <c r="F7467">
        <v>1</v>
      </c>
      <c r="G7467" t="str">
        <f>HYPERLINK("http://babel.hathitrust.org/cgi/pt?id=uva.x030730279")</f>
        <v>http://babel.hathitrust.org/cgi/pt?id=uva.x030730279</v>
      </c>
      <c r="H7467" t="str">
        <f t="shared" si="69"/>
        <v>http://catalog.hathitrust.org/Record/009786980</v>
      </c>
      <c r="I7467" s="1" t="s">
        <v>2283</v>
      </c>
      <c r="J7467" s="1">
        <v>1873</v>
      </c>
      <c r="K7467" t="s">
        <v>2274</v>
      </c>
    </row>
    <row r="7468" spans="1:12">
      <c r="A7468" t="s">
        <v>2284</v>
      </c>
      <c r="B7468" s="1" t="s">
        <v>2273</v>
      </c>
      <c r="F7468">
        <v>1</v>
      </c>
      <c r="G7468" t="str">
        <f>HYPERLINK("http://babel.hathitrust.org/cgi/pt?id=uva.x030730280")</f>
        <v>http://babel.hathitrust.org/cgi/pt?id=uva.x030730280</v>
      </c>
      <c r="H7468" t="str">
        <f t="shared" si="69"/>
        <v>http://catalog.hathitrust.org/Record/009786980</v>
      </c>
      <c r="I7468" s="1" t="s">
        <v>2285</v>
      </c>
      <c r="J7468" s="1">
        <v>1873</v>
      </c>
      <c r="K7468" t="s">
        <v>2274</v>
      </c>
    </row>
    <row r="7469" spans="1:12">
      <c r="A7469" t="s">
        <v>2286</v>
      </c>
      <c r="B7469" s="1" t="s">
        <v>2273</v>
      </c>
      <c r="F7469">
        <v>1</v>
      </c>
      <c r="G7469" t="str">
        <f>HYPERLINK("http://babel.hathitrust.org/cgi/pt?id=uva.x030730281")</f>
        <v>http://babel.hathitrust.org/cgi/pt?id=uva.x030730281</v>
      </c>
      <c r="H7469" t="str">
        <f t="shared" si="69"/>
        <v>http://catalog.hathitrust.org/Record/009786980</v>
      </c>
      <c r="I7469" s="1" t="s">
        <v>2287</v>
      </c>
      <c r="J7469" s="1">
        <v>1873</v>
      </c>
      <c r="K7469" t="s">
        <v>2274</v>
      </c>
    </row>
    <row r="7470" spans="1:12">
      <c r="A7470" t="s">
        <v>2288</v>
      </c>
      <c r="B7470" s="1" t="s">
        <v>2273</v>
      </c>
      <c r="F7470">
        <v>1</v>
      </c>
      <c r="G7470" t="str">
        <f>HYPERLINK("http://babel.hathitrust.org/cgi/pt?id=uva.x030730282")</f>
        <v>http://babel.hathitrust.org/cgi/pt?id=uva.x030730282</v>
      </c>
      <c r="H7470" t="str">
        <f t="shared" si="69"/>
        <v>http://catalog.hathitrust.org/Record/009786980</v>
      </c>
      <c r="I7470" s="1" t="s">
        <v>2289</v>
      </c>
      <c r="J7470" s="1">
        <v>1873</v>
      </c>
      <c r="K7470" t="s">
        <v>2274</v>
      </c>
    </row>
    <row r="7471" spans="1:12">
      <c r="A7471" t="s">
        <v>2290</v>
      </c>
      <c r="B7471" s="1" t="s">
        <v>2291</v>
      </c>
      <c r="F7471">
        <v>1</v>
      </c>
      <c r="G7471" t="str">
        <f>HYPERLINK("http://babel.hathitrust.org/cgi/pt?id=hvd.32044081106114")</f>
        <v>http://babel.hathitrust.org/cgi/pt?id=hvd.32044081106114</v>
      </c>
      <c r="H7471" t="str">
        <f>HYPERLINK("http://catalog.hathitrust.org/Record/009787995")</f>
        <v>http://catalog.hathitrust.org/Record/009787995</v>
      </c>
      <c r="J7471" s="1">
        <v>1867</v>
      </c>
      <c r="K7471" t="s">
        <v>2292</v>
      </c>
      <c r="L7471" t="s">
        <v>15958</v>
      </c>
    </row>
    <row r="7472" spans="1:12">
      <c r="A7472" t="s">
        <v>2293</v>
      </c>
      <c r="B7472" s="1" t="s">
        <v>2291</v>
      </c>
      <c r="F7472">
        <v>1</v>
      </c>
      <c r="G7472" t="str">
        <f>HYPERLINK("http://babel.hathitrust.org/cgi/pt?id=uva.x004965564")</f>
        <v>http://babel.hathitrust.org/cgi/pt?id=uva.x004965564</v>
      </c>
      <c r="H7472" t="str">
        <f>HYPERLINK("http://catalog.hathitrust.org/Record/009787995")</f>
        <v>http://catalog.hathitrust.org/Record/009787995</v>
      </c>
      <c r="I7472" s="1" t="s">
        <v>2294</v>
      </c>
      <c r="J7472" s="1">
        <v>1867</v>
      </c>
      <c r="K7472" t="s">
        <v>2292</v>
      </c>
      <c r="L7472" t="s">
        <v>15958</v>
      </c>
    </row>
    <row r="7473" spans="1:12">
      <c r="A7473" t="s">
        <v>2295</v>
      </c>
      <c r="B7473" s="1" t="s">
        <v>2296</v>
      </c>
      <c r="D7473">
        <v>1</v>
      </c>
      <c r="G7473" t="str">
        <f>HYPERLINK("http://babel.hathitrust.org/cgi/pt?id=uva.x000177598")</f>
        <v>http://babel.hathitrust.org/cgi/pt?id=uva.x000177598</v>
      </c>
      <c r="H7473" t="str">
        <f t="shared" ref="H7473:H7478" si="70">HYPERLINK("http://catalog.hathitrust.org/Record/009788177")</f>
        <v>http://catalog.hathitrust.org/Record/009788177</v>
      </c>
      <c r="I7473" s="1" t="s">
        <v>16035</v>
      </c>
      <c r="J7473" s="1">
        <v>1869</v>
      </c>
      <c r="K7473" t="s">
        <v>2297</v>
      </c>
      <c r="L7473" t="s">
        <v>20553</v>
      </c>
    </row>
    <row r="7474" spans="1:12">
      <c r="A7474" t="s">
        <v>2298</v>
      </c>
      <c r="B7474" s="1" t="s">
        <v>2296</v>
      </c>
      <c r="D7474">
        <v>1</v>
      </c>
      <c r="G7474" t="str">
        <f>HYPERLINK("http://babel.hathitrust.org/cgi/pt?id=uva.x000182417")</f>
        <v>http://babel.hathitrust.org/cgi/pt?id=uva.x000182417</v>
      </c>
      <c r="H7474" t="str">
        <f t="shared" si="70"/>
        <v>http://catalog.hathitrust.org/Record/009788177</v>
      </c>
      <c r="I7474" s="1" t="s">
        <v>18489</v>
      </c>
      <c r="J7474" s="1">
        <v>1869</v>
      </c>
      <c r="K7474" t="s">
        <v>2297</v>
      </c>
      <c r="L7474" t="s">
        <v>20553</v>
      </c>
    </row>
    <row r="7475" spans="1:12">
      <c r="A7475" t="s">
        <v>2299</v>
      </c>
      <c r="B7475" s="1" t="s">
        <v>2296</v>
      </c>
      <c r="D7475">
        <v>1</v>
      </c>
      <c r="G7475" t="str">
        <f>HYPERLINK("http://babel.hathitrust.org/cgi/pt?id=uva.x004390965")</f>
        <v>http://babel.hathitrust.org/cgi/pt?id=uva.x004390965</v>
      </c>
      <c r="H7475" t="str">
        <f t="shared" si="70"/>
        <v>http://catalog.hathitrust.org/Record/009788177</v>
      </c>
      <c r="I7475" s="1" t="s">
        <v>2300</v>
      </c>
      <c r="J7475" s="1">
        <v>1869</v>
      </c>
      <c r="K7475" t="s">
        <v>2297</v>
      </c>
      <c r="L7475" t="s">
        <v>20553</v>
      </c>
    </row>
    <row r="7476" spans="1:12">
      <c r="A7476" t="s">
        <v>2301</v>
      </c>
      <c r="B7476" s="1" t="s">
        <v>2296</v>
      </c>
      <c r="D7476">
        <v>1</v>
      </c>
      <c r="G7476" t="str">
        <f>HYPERLINK("http://babel.hathitrust.org/cgi/pt?id=uva.x030578336")</f>
        <v>http://babel.hathitrust.org/cgi/pt?id=uva.x030578336</v>
      </c>
      <c r="H7476" t="str">
        <f t="shared" si="70"/>
        <v>http://catalog.hathitrust.org/Record/009788177</v>
      </c>
      <c r="I7476" s="1" t="s">
        <v>2302</v>
      </c>
      <c r="J7476" s="1">
        <v>1869</v>
      </c>
      <c r="K7476" t="s">
        <v>2297</v>
      </c>
      <c r="L7476" t="s">
        <v>20553</v>
      </c>
    </row>
    <row r="7477" spans="1:12">
      <c r="A7477" t="s">
        <v>2303</v>
      </c>
      <c r="B7477" s="1" t="s">
        <v>2296</v>
      </c>
      <c r="D7477">
        <v>1</v>
      </c>
      <c r="G7477" t="str">
        <f>HYPERLINK("http://babel.hathitrust.org/cgi/pt?id=uva.x030578337")</f>
        <v>http://babel.hathitrust.org/cgi/pt?id=uva.x030578337</v>
      </c>
      <c r="H7477" t="str">
        <f t="shared" si="70"/>
        <v>http://catalog.hathitrust.org/Record/009788177</v>
      </c>
      <c r="I7477" s="1" t="s">
        <v>2304</v>
      </c>
      <c r="J7477" s="1">
        <v>1869</v>
      </c>
      <c r="K7477" t="s">
        <v>2297</v>
      </c>
      <c r="L7477" t="s">
        <v>20553</v>
      </c>
    </row>
    <row r="7478" spans="1:12">
      <c r="A7478" t="s">
        <v>2305</v>
      </c>
      <c r="B7478" s="1" t="s">
        <v>2296</v>
      </c>
      <c r="D7478">
        <v>1</v>
      </c>
      <c r="G7478" t="str">
        <f>HYPERLINK("http://babel.hathitrust.org/cgi/pt?id=uva.x030578338")</f>
        <v>http://babel.hathitrust.org/cgi/pt?id=uva.x030578338</v>
      </c>
      <c r="H7478" t="str">
        <f t="shared" si="70"/>
        <v>http://catalog.hathitrust.org/Record/009788177</v>
      </c>
      <c r="I7478" s="1" t="s">
        <v>18491</v>
      </c>
      <c r="J7478" s="1">
        <v>1869</v>
      </c>
      <c r="K7478" t="s">
        <v>2297</v>
      </c>
      <c r="L7478" t="s">
        <v>20553</v>
      </c>
    </row>
    <row r="7479" spans="1:12">
      <c r="A7479" t="s">
        <v>2306</v>
      </c>
      <c r="B7479" s="1" t="s">
        <v>2307</v>
      </c>
      <c r="E7479">
        <v>1</v>
      </c>
      <c r="G7479" t="str">
        <f>HYPERLINK("http://babel.hathitrust.org/cgi/pt?id=uva.x000506199")</f>
        <v>http://babel.hathitrust.org/cgi/pt?id=uva.x000506199</v>
      </c>
      <c r="H7479" t="str">
        <f>HYPERLINK("http://catalog.hathitrust.org/Record/009788400")</f>
        <v>http://catalog.hathitrust.org/Record/009788400</v>
      </c>
      <c r="J7479" s="1">
        <v>1737</v>
      </c>
      <c r="K7479" t="s">
        <v>2308</v>
      </c>
      <c r="L7479" t="s">
        <v>20944</v>
      </c>
    </row>
    <row r="7480" spans="1:12">
      <c r="A7480" t="s">
        <v>2309</v>
      </c>
      <c r="B7480" s="1" t="s">
        <v>2310</v>
      </c>
      <c r="F7480">
        <v>1</v>
      </c>
      <c r="G7480" t="str">
        <f>HYPERLINK("http://babel.hathitrust.org/cgi/pt?id=uva.x001164076")</f>
        <v>http://babel.hathitrust.org/cgi/pt?id=uva.x001164076</v>
      </c>
      <c r="H7480" t="str">
        <f>HYPERLINK("http://catalog.hathitrust.org/Record/009788910")</f>
        <v>http://catalog.hathitrust.org/Record/009788910</v>
      </c>
      <c r="I7480" s="1" t="s">
        <v>20916</v>
      </c>
      <c r="J7480" s="1">
        <v>1922</v>
      </c>
      <c r="K7480" t="s">
        <v>2311</v>
      </c>
      <c r="L7480" t="s">
        <v>15379</v>
      </c>
    </row>
    <row r="7481" spans="1:12">
      <c r="A7481" t="s">
        <v>2312</v>
      </c>
      <c r="B7481" s="1" t="s">
        <v>2310</v>
      </c>
      <c r="F7481">
        <v>1</v>
      </c>
      <c r="G7481" t="str">
        <f>HYPERLINK("http://babel.hathitrust.org/cgi/pt?id=uva.x030731984")</f>
        <v>http://babel.hathitrust.org/cgi/pt?id=uva.x030731984</v>
      </c>
      <c r="H7481" t="str">
        <f>HYPERLINK("http://catalog.hathitrust.org/Record/009788910")</f>
        <v>http://catalog.hathitrust.org/Record/009788910</v>
      </c>
      <c r="I7481" s="1" t="s">
        <v>20755</v>
      </c>
      <c r="J7481" s="1">
        <v>1922</v>
      </c>
      <c r="K7481" t="s">
        <v>2311</v>
      </c>
      <c r="L7481" t="s">
        <v>15379</v>
      </c>
    </row>
    <row r="7482" spans="1:12">
      <c r="A7482" t="s">
        <v>2313</v>
      </c>
      <c r="B7482" s="1" t="s">
        <v>2314</v>
      </c>
      <c r="E7482">
        <v>1</v>
      </c>
      <c r="F7482">
        <v>1</v>
      </c>
      <c r="G7482" t="str">
        <f>HYPERLINK("http://babel.hathitrust.org/cgi/pt?id=uva.x001164031")</f>
        <v>http://babel.hathitrust.org/cgi/pt?id=uva.x001164031</v>
      </c>
      <c r="H7482" t="str">
        <f>HYPERLINK("http://catalog.hathitrust.org/Record/009788924")</f>
        <v>http://catalog.hathitrust.org/Record/009788924</v>
      </c>
      <c r="J7482" s="1">
        <v>1915</v>
      </c>
      <c r="K7482" t="s">
        <v>6940</v>
      </c>
      <c r="L7482" t="s">
        <v>2225</v>
      </c>
    </row>
    <row r="7483" spans="1:12">
      <c r="A7483" t="s">
        <v>2226</v>
      </c>
      <c r="B7483" s="1" t="s">
        <v>2227</v>
      </c>
      <c r="E7483">
        <v>1</v>
      </c>
      <c r="F7483">
        <v>1</v>
      </c>
      <c r="G7483" t="str">
        <f>HYPERLINK("http://babel.hathitrust.org/cgi/pt?id=uva.x001153773")</f>
        <v>http://babel.hathitrust.org/cgi/pt?id=uva.x001153773</v>
      </c>
      <c r="H7483" t="str">
        <f>HYPERLINK("http://catalog.hathitrust.org/Record/009788973")</f>
        <v>http://catalog.hathitrust.org/Record/009788973</v>
      </c>
      <c r="J7483" s="1">
        <v>1911</v>
      </c>
      <c r="K7483" t="s">
        <v>2228</v>
      </c>
      <c r="L7483" t="s">
        <v>2229</v>
      </c>
    </row>
    <row r="7484" spans="1:12">
      <c r="A7484" t="s">
        <v>2230</v>
      </c>
      <c r="B7484" s="1" t="s">
        <v>2231</v>
      </c>
      <c r="E7484">
        <v>1</v>
      </c>
      <c r="G7484" t="str">
        <f>HYPERLINK("http://babel.hathitrust.org/cgi/pt?id=uva.x000417784")</f>
        <v>http://babel.hathitrust.org/cgi/pt?id=uva.x000417784</v>
      </c>
      <c r="H7484" t="str">
        <f>HYPERLINK("http://catalog.hathitrust.org/Record/009789009")</f>
        <v>http://catalog.hathitrust.org/Record/009789009</v>
      </c>
      <c r="J7484" s="1">
        <v>1922</v>
      </c>
      <c r="K7484" t="s">
        <v>14025</v>
      </c>
    </row>
    <row r="7485" spans="1:12">
      <c r="A7485" t="s">
        <v>2232</v>
      </c>
      <c r="B7485" s="1" t="s">
        <v>2233</v>
      </c>
      <c r="F7485">
        <v>1</v>
      </c>
      <c r="G7485" t="str">
        <f>HYPERLINK("http://babel.hathitrust.org/cgi/pt?id=uva.x001164232")</f>
        <v>http://babel.hathitrust.org/cgi/pt?id=uva.x001164232</v>
      </c>
      <c r="H7485" t="str">
        <f>HYPERLINK("http://catalog.hathitrust.org/Record/009789012")</f>
        <v>http://catalog.hathitrust.org/Record/009789012</v>
      </c>
      <c r="J7485" s="1">
        <v>1842</v>
      </c>
      <c r="K7485" t="s">
        <v>2437</v>
      </c>
      <c r="L7485" t="s">
        <v>15292</v>
      </c>
    </row>
    <row r="7486" spans="1:12">
      <c r="A7486" t="s">
        <v>2234</v>
      </c>
      <c r="B7486" s="1" t="s">
        <v>2235</v>
      </c>
      <c r="F7486">
        <v>1</v>
      </c>
      <c r="G7486" t="str">
        <f>HYPERLINK("http://babel.hathitrust.org/cgi/pt?id=uva.x000837406")</f>
        <v>http://babel.hathitrust.org/cgi/pt?id=uva.x000837406</v>
      </c>
      <c r="H7486" t="str">
        <f>HYPERLINK("http://catalog.hathitrust.org/Record/009789026")</f>
        <v>http://catalog.hathitrust.org/Record/009789026</v>
      </c>
      <c r="J7486" s="1">
        <v>1875</v>
      </c>
      <c r="K7486" t="s">
        <v>9428</v>
      </c>
      <c r="L7486" t="s">
        <v>9429</v>
      </c>
    </row>
    <row r="7487" spans="1:12">
      <c r="A7487" t="s">
        <v>2236</v>
      </c>
      <c r="B7487" s="1" t="s">
        <v>2237</v>
      </c>
      <c r="F7487">
        <v>1</v>
      </c>
      <c r="G7487" t="str">
        <f>HYPERLINK("http://babel.hathitrust.org/cgi/pt?id=uva.x000617862")</f>
        <v>http://babel.hathitrust.org/cgi/pt?id=uva.x000617862</v>
      </c>
      <c r="H7487" t="str">
        <f>HYPERLINK("http://catalog.hathitrust.org/Record/009789031")</f>
        <v>http://catalog.hathitrust.org/Record/009789031</v>
      </c>
      <c r="I7487" s="1" t="s">
        <v>2238</v>
      </c>
      <c r="J7487" s="1">
        <v>1908</v>
      </c>
      <c r="K7487" t="s">
        <v>6022</v>
      </c>
      <c r="L7487" t="s">
        <v>2239</v>
      </c>
    </row>
    <row r="7488" spans="1:12">
      <c r="A7488" t="s">
        <v>2240</v>
      </c>
      <c r="B7488" s="1" t="s">
        <v>2241</v>
      </c>
      <c r="F7488">
        <v>1</v>
      </c>
      <c r="G7488" t="str">
        <f>HYPERLINK("http://babel.hathitrust.org/cgi/pt?id=uva.x001164228")</f>
        <v>http://babel.hathitrust.org/cgi/pt?id=uva.x001164228</v>
      </c>
      <c r="H7488" t="str">
        <f>HYPERLINK("http://catalog.hathitrust.org/Record/009789131")</f>
        <v>http://catalog.hathitrust.org/Record/009789131</v>
      </c>
      <c r="J7488" s="1">
        <v>1883</v>
      </c>
      <c r="K7488" t="s">
        <v>4560</v>
      </c>
      <c r="L7488" t="s">
        <v>18991</v>
      </c>
    </row>
    <row r="7489" spans="1:12">
      <c r="A7489" t="s">
        <v>2242</v>
      </c>
      <c r="B7489" s="1" t="s">
        <v>2243</v>
      </c>
      <c r="F7489">
        <v>1</v>
      </c>
      <c r="G7489" t="str">
        <f>HYPERLINK("http://babel.hathitrust.org/cgi/pt?id=uva.x001985725")</f>
        <v>http://babel.hathitrust.org/cgi/pt?id=uva.x001985725</v>
      </c>
      <c r="H7489" t="str">
        <f>HYPERLINK("http://catalog.hathitrust.org/Record/009789463")</f>
        <v>http://catalog.hathitrust.org/Record/009789463</v>
      </c>
      <c r="J7489" s="1">
        <v>1900</v>
      </c>
      <c r="K7489" t="s">
        <v>2244</v>
      </c>
    </row>
    <row r="7490" spans="1:12">
      <c r="A7490" t="s">
        <v>2245</v>
      </c>
      <c r="B7490" s="1" t="s">
        <v>2243</v>
      </c>
      <c r="F7490">
        <v>1</v>
      </c>
      <c r="G7490" t="str">
        <f>HYPERLINK("http://babel.hathitrust.org/cgi/pt?id=uva.x001985727")</f>
        <v>http://babel.hathitrust.org/cgi/pt?id=uva.x001985727</v>
      </c>
      <c r="H7490" t="str">
        <f>HYPERLINK("http://catalog.hathitrust.org/Record/009789463")</f>
        <v>http://catalog.hathitrust.org/Record/009789463</v>
      </c>
      <c r="J7490" s="1">
        <v>1900</v>
      </c>
      <c r="K7490" t="s">
        <v>2244</v>
      </c>
    </row>
    <row r="7491" spans="1:12">
      <c r="A7491" t="s">
        <v>2246</v>
      </c>
      <c r="B7491" s="1" t="s">
        <v>2247</v>
      </c>
      <c r="E7491">
        <v>1</v>
      </c>
      <c r="F7491">
        <v>1</v>
      </c>
      <c r="G7491" t="str">
        <f>HYPERLINK("http://babel.hathitrust.org/cgi/pt?id=uva.x006065936")</f>
        <v>http://babel.hathitrust.org/cgi/pt?id=uva.x006065936</v>
      </c>
      <c r="H7491" t="str">
        <f>HYPERLINK("http://catalog.hathitrust.org/Record/009789522")</f>
        <v>http://catalog.hathitrust.org/Record/009789522</v>
      </c>
      <c r="I7491" s="1" t="s">
        <v>2249</v>
      </c>
      <c r="J7491" s="1">
        <v>1895</v>
      </c>
      <c r="K7491" t="s">
        <v>2248</v>
      </c>
      <c r="L7491" t="s">
        <v>20288</v>
      </c>
    </row>
    <row r="7492" spans="1:12">
      <c r="A7492" t="s">
        <v>2250</v>
      </c>
      <c r="B7492" s="1" t="s">
        <v>2251</v>
      </c>
      <c r="F7492">
        <v>1</v>
      </c>
      <c r="G7492" t="str">
        <f>HYPERLINK("http://babel.hathitrust.org/cgi/pt?id=uva.x004508954")</f>
        <v>http://babel.hathitrust.org/cgi/pt?id=uva.x004508954</v>
      </c>
      <c r="H7492" t="str">
        <f>HYPERLINK("http://catalog.hathitrust.org/Record/009789823")</f>
        <v>http://catalog.hathitrust.org/Record/009789823</v>
      </c>
      <c r="J7492" s="1">
        <v>1875</v>
      </c>
      <c r="K7492" t="s">
        <v>2252</v>
      </c>
      <c r="L7492" t="s">
        <v>14096</v>
      </c>
    </row>
    <row r="7493" spans="1:12">
      <c r="A7493" t="s">
        <v>2253</v>
      </c>
      <c r="B7493" s="1" t="s">
        <v>2254</v>
      </c>
      <c r="E7493">
        <v>1</v>
      </c>
      <c r="F7493">
        <v>1</v>
      </c>
      <c r="G7493" t="str">
        <f>HYPERLINK("http://babel.hathitrust.org/cgi/pt?id=uva.x000466737")</f>
        <v>http://babel.hathitrust.org/cgi/pt?id=uva.x000466737</v>
      </c>
      <c r="H7493" t="str">
        <f>HYPERLINK("http://catalog.hathitrust.org/Record/009789917")</f>
        <v>http://catalog.hathitrust.org/Record/009789917</v>
      </c>
      <c r="J7493" s="1">
        <v>1840</v>
      </c>
      <c r="K7493" t="s">
        <v>2255</v>
      </c>
      <c r="L7493" t="s">
        <v>15662</v>
      </c>
    </row>
    <row r="7494" spans="1:12">
      <c r="A7494" t="s">
        <v>2256</v>
      </c>
      <c r="B7494" s="1" t="s">
        <v>2257</v>
      </c>
      <c r="F7494">
        <v>1</v>
      </c>
      <c r="G7494" t="str">
        <f>HYPERLINK("http://babel.hathitrust.org/cgi/pt?id=uva.x001164161")</f>
        <v>http://babel.hathitrust.org/cgi/pt?id=uva.x001164161</v>
      </c>
      <c r="H7494" t="str">
        <f>HYPERLINK("http://catalog.hathitrust.org/Record/009789969")</f>
        <v>http://catalog.hathitrust.org/Record/009789969</v>
      </c>
      <c r="J7494" s="1">
        <v>1905</v>
      </c>
      <c r="K7494" t="s">
        <v>2258</v>
      </c>
      <c r="L7494" t="s">
        <v>8161</v>
      </c>
    </row>
    <row r="7495" spans="1:12">
      <c r="A7495" t="s">
        <v>2259</v>
      </c>
      <c r="B7495" s="1" t="s">
        <v>2260</v>
      </c>
      <c r="E7495">
        <v>1</v>
      </c>
      <c r="F7495">
        <v>1</v>
      </c>
      <c r="G7495" t="str">
        <f>HYPERLINK("http://babel.hathitrust.org/cgi/pt?id=uva.x004782579")</f>
        <v>http://babel.hathitrust.org/cgi/pt?id=uva.x004782579</v>
      </c>
      <c r="H7495" t="str">
        <f>HYPERLINK("http://catalog.hathitrust.org/Record/009790084")</f>
        <v>http://catalog.hathitrust.org/Record/009790084</v>
      </c>
      <c r="J7495" s="1">
        <v>1916</v>
      </c>
      <c r="K7495" t="s">
        <v>2261</v>
      </c>
      <c r="L7495" t="s">
        <v>14864</v>
      </c>
    </row>
    <row r="7496" spans="1:12">
      <c r="A7496" t="s">
        <v>2262</v>
      </c>
      <c r="B7496" s="1" t="s">
        <v>2263</v>
      </c>
      <c r="F7496">
        <v>1</v>
      </c>
      <c r="G7496" t="str">
        <f>HYPERLINK("http://babel.hathitrust.org/cgi/pt?id=uva.x001164075")</f>
        <v>http://babel.hathitrust.org/cgi/pt?id=uva.x001164075</v>
      </c>
      <c r="H7496" t="str">
        <f>HYPERLINK("http://catalog.hathitrust.org/Record/009790192")</f>
        <v>http://catalog.hathitrust.org/Record/009790192</v>
      </c>
      <c r="J7496" s="1">
        <v>1905</v>
      </c>
      <c r="K7496" t="s">
        <v>2264</v>
      </c>
      <c r="L7496" t="s">
        <v>2265</v>
      </c>
    </row>
    <row r="7497" spans="1:12">
      <c r="A7497" t="s">
        <v>2266</v>
      </c>
      <c r="B7497" s="1" t="s">
        <v>2267</v>
      </c>
      <c r="F7497">
        <v>1</v>
      </c>
      <c r="G7497" t="str">
        <f>HYPERLINK("http://babel.hathitrust.org/cgi/pt?id=uva.x000376468")</f>
        <v>http://babel.hathitrust.org/cgi/pt?id=uva.x000376468</v>
      </c>
      <c r="H7497" t="str">
        <f>HYPERLINK("http://catalog.hathitrust.org/Record/009791381")</f>
        <v>http://catalog.hathitrust.org/Record/009791381</v>
      </c>
      <c r="J7497" s="1">
        <v>1850</v>
      </c>
      <c r="K7497" t="s">
        <v>2176</v>
      </c>
      <c r="L7497" t="s">
        <v>17034</v>
      </c>
    </row>
    <row r="7498" spans="1:12">
      <c r="A7498" t="s">
        <v>2177</v>
      </c>
      <c r="B7498" s="1" t="s">
        <v>2178</v>
      </c>
      <c r="D7498">
        <v>1</v>
      </c>
      <c r="G7498" t="str">
        <f>HYPERLINK("http://babel.hathitrust.org/cgi/pt?id=uva.x001164197")</f>
        <v>http://babel.hathitrust.org/cgi/pt?id=uva.x001164197</v>
      </c>
      <c r="H7498" t="str">
        <f>HYPERLINK("http://catalog.hathitrust.org/Record/009792239")</f>
        <v>http://catalog.hathitrust.org/Record/009792239</v>
      </c>
      <c r="J7498" s="1">
        <v>1836</v>
      </c>
      <c r="K7498" t="s">
        <v>2179</v>
      </c>
      <c r="L7498" t="s">
        <v>19694</v>
      </c>
    </row>
    <row r="7499" spans="1:12">
      <c r="A7499" t="s">
        <v>2180</v>
      </c>
      <c r="B7499" s="1" t="s">
        <v>2181</v>
      </c>
      <c r="F7499">
        <v>1</v>
      </c>
      <c r="G7499" t="str">
        <f>HYPERLINK("http://babel.hathitrust.org/cgi/pt?id=uva.x001153751")</f>
        <v>http://babel.hathitrust.org/cgi/pt?id=uva.x001153751</v>
      </c>
      <c r="H7499" t="str">
        <f>HYPERLINK("http://catalog.hathitrust.org/Record/009792573")</f>
        <v>http://catalog.hathitrust.org/Record/009792573</v>
      </c>
      <c r="J7499" s="1">
        <v>1919</v>
      </c>
      <c r="K7499" t="s">
        <v>2182</v>
      </c>
      <c r="L7499" t="s">
        <v>13895</v>
      </c>
    </row>
    <row r="7500" spans="1:12">
      <c r="A7500" t="s">
        <v>2183</v>
      </c>
      <c r="B7500" s="1" t="s">
        <v>2184</v>
      </c>
      <c r="F7500">
        <v>1</v>
      </c>
      <c r="G7500" t="str">
        <f>HYPERLINK("http://babel.hathitrust.org/cgi/pt?id=uva.x001153293")</f>
        <v>http://babel.hathitrust.org/cgi/pt?id=uva.x001153293</v>
      </c>
      <c r="H7500" t="str">
        <f>HYPERLINK("http://catalog.hathitrust.org/Record/009792822")</f>
        <v>http://catalog.hathitrust.org/Record/009792822</v>
      </c>
      <c r="J7500" s="1">
        <v>1914</v>
      </c>
      <c r="K7500" t="s">
        <v>2185</v>
      </c>
      <c r="L7500" t="s">
        <v>2186</v>
      </c>
    </row>
    <row r="7501" spans="1:12">
      <c r="A7501" t="s">
        <v>2187</v>
      </c>
      <c r="B7501" s="1" t="s">
        <v>2188</v>
      </c>
      <c r="F7501">
        <v>1</v>
      </c>
      <c r="G7501" t="str">
        <f>HYPERLINK("http://babel.hathitrust.org/cgi/pt?id=uva.x001164281")</f>
        <v>http://babel.hathitrust.org/cgi/pt?id=uva.x001164281</v>
      </c>
      <c r="H7501" t="str">
        <f>HYPERLINK("http://catalog.hathitrust.org/Record/009792956")</f>
        <v>http://catalog.hathitrust.org/Record/009792956</v>
      </c>
      <c r="J7501" s="1">
        <v>1868</v>
      </c>
      <c r="K7501" t="s">
        <v>2189</v>
      </c>
      <c r="L7501" t="s">
        <v>2190</v>
      </c>
    </row>
    <row r="7502" spans="1:12">
      <c r="A7502" t="s">
        <v>2191</v>
      </c>
      <c r="B7502" s="1" t="s">
        <v>2192</v>
      </c>
      <c r="F7502">
        <v>1</v>
      </c>
      <c r="G7502" t="str">
        <f>HYPERLINK("http://babel.hathitrust.org/cgi/pt?id=uva.x001233530")</f>
        <v>http://babel.hathitrust.org/cgi/pt?id=uva.x001233530</v>
      </c>
      <c r="H7502" t="str">
        <f>HYPERLINK("http://catalog.hathitrust.org/Record/009792965")</f>
        <v>http://catalog.hathitrust.org/Record/009792965</v>
      </c>
      <c r="J7502" s="1">
        <v>1895</v>
      </c>
      <c r="K7502" t="s">
        <v>2193</v>
      </c>
      <c r="L7502" t="s">
        <v>20297</v>
      </c>
    </row>
    <row r="7503" spans="1:12">
      <c r="A7503" t="s">
        <v>2194</v>
      </c>
      <c r="B7503" s="1" t="s">
        <v>2195</v>
      </c>
      <c r="F7503">
        <v>1</v>
      </c>
      <c r="G7503" t="str">
        <f>HYPERLINK("http://babel.hathitrust.org/cgi/pt?id=uva.x001233910")</f>
        <v>http://babel.hathitrust.org/cgi/pt?id=uva.x001233910</v>
      </c>
      <c r="H7503" t="str">
        <f>HYPERLINK("http://catalog.hathitrust.org/Record/009793063")</f>
        <v>http://catalog.hathitrust.org/Record/009793063</v>
      </c>
      <c r="J7503" s="1">
        <v>1891</v>
      </c>
      <c r="K7503" t="s">
        <v>2196</v>
      </c>
      <c r="L7503" t="s">
        <v>15226</v>
      </c>
    </row>
    <row r="7504" spans="1:12">
      <c r="A7504" t="s">
        <v>2197</v>
      </c>
      <c r="B7504" s="1" t="s">
        <v>2198</v>
      </c>
      <c r="F7504">
        <v>1</v>
      </c>
      <c r="G7504" t="str">
        <f>HYPERLINK("http://babel.hathitrust.org/cgi/pt?id=uva.x000280792")</f>
        <v>http://babel.hathitrust.org/cgi/pt?id=uva.x000280792</v>
      </c>
      <c r="H7504" t="str">
        <f>HYPERLINK("http://catalog.hathitrust.org/Record/009793153")</f>
        <v>http://catalog.hathitrust.org/Record/009793153</v>
      </c>
      <c r="J7504" s="1">
        <v>1905</v>
      </c>
      <c r="K7504" t="s">
        <v>2199</v>
      </c>
      <c r="L7504" t="s">
        <v>12339</v>
      </c>
    </row>
    <row r="7505" spans="1:12">
      <c r="A7505" t="s">
        <v>2200</v>
      </c>
      <c r="B7505" s="1" t="s">
        <v>2201</v>
      </c>
      <c r="F7505">
        <v>1</v>
      </c>
      <c r="G7505" t="str">
        <f>HYPERLINK("http://babel.hathitrust.org/cgi/pt?id=uva.x030696382")</f>
        <v>http://babel.hathitrust.org/cgi/pt?id=uva.x030696382</v>
      </c>
      <c r="H7505" t="str">
        <f>HYPERLINK("http://catalog.hathitrust.org/Record/009793221")</f>
        <v>http://catalog.hathitrust.org/Record/009793221</v>
      </c>
      <c r="J7505" s="1">
        <v>1914</v>
      </c>
      <c r="K7505" t="s">
        <v>2202</v>
      </c>
      <c r="L7505" t="s">
        <v>2203</v>
      </c>
    </row>
    <row r="7506" spans="1:12">
      <c r="A7506" t="s">
        <v>2204</v>
      </c>
      <c r="B7506" s="1" t="s">
        <v>2205</v>
      </c>
      <c r="F7506">
        <v>1</v>
      </c>
      <c r="G7506" t="str">
        <f>HYPERLINK("http://babel.hathitrust.org/cgi/pt?id=uva.x030556810")</f>
        <v>http://babel.hathitrust.org/cgi/pt?id=uva.x030556810</v>
      </c>
      <c r="H7506" t="str">
        <f>HYPERLINK("http://catalog.hathitrust.org/Record/009793243")</f>
        <v>http://catalog.hathitrust.org/Record/009793243</v>
      </c>
      <c r="J7506" s="1">
        <v>1895</v>
      </c>
      <c r="K7506" t="s">
        <v>2206</v>
      </c>
      <c r="L7506" t="s">
        <v>15226</v>
      </c>
    </row>
    <row r="7507" spans="1:12">
      <c r="A7507" t="s">
        <v>2207</v>
      </c>
      <c r="B7507" s="1" t="s">
        <v>2208</v>
      </c>
      <c r="F7507">
        <v>1</v>
      </c>
      <c r="G7507" t="str">
        <f>HYPERLINK("http://babel.hathitrust.org/cgi/pt?id=uva.x000197103")</f>
        <v>http://babel.hathitrust.org/cgi/pt?id=uva.x000197103</v>
      </c>
      <c r="H7507" t="str">
        <f>HYPERLINK("http://catalog.hathitrust.org/Record/009793499")</f>
        <v>http://catalog.hathitrust.org/Record/009793499</v>
      </c>
      <c r="J7507" s="1">
        <v>1893</v>
      </c>
      <c r="K7507" t="s">
        <v>2209</v>
      </c>
      <c r="L7507" t="s">
        <v>20331</v>
      </c>
    </row>
    <row r="7508" spans="1:12">
      <c r="A7508" t="s">
        <v>2210</v>
      </c>
      <c r="B7508" s="1" t="s">
        <v>2211</v>
      </c>
      <c r="F7508">
        <v>1</v>
      </c>
      <c r="G7508" t="str">
        <f>HYPERLINK("http://babel.hathitrust.org/cgi/pt?id=uva.x000501189")</f>
        <v>http://babel.hathitrust.org/cgi/pt?id=uva.x000501189</v>
      </c>
      <c r="H7508" t="str">
        <f>HYPERLINK("http://catalog.hathitrust.org/Record/009793682")</f>
        <v>http://catalog.hathitrust.org/Record/009793682</v>
      </c>
      <c r="J7508" s="1">
        <v>1868</v>
      </c>
      <c r="K7508" t="s">
        <v>2212</v>
      </c>
      <c r="L7508" t="s">
        <v>2213</v>
      </c>
    </row>
    <row r="7509" spans="1:12">
      <c r="A7509" t="s">
        <v>2214</v>
      </c>
      <c r="B7509" s="1" t="s">
        <v>2215</v>
      </c>
      <c r="D7509">
        <v>1</v>
      </c>
      <c r="G7509" t="str">
        <f>HYPERLINK("http://babel.hathitrust.org/cgi/pt?id=uva.x000196870")</f>
        <v>http://babel.hathitrust.org/cgi/pt?id=uva.x000196870</v>
      </c>
      <c r="H7509" t="str">
        <f>HYPERLINK("http://catalog.hathitrust.org/Record/009793780")</f>
        <v>http://catalog.hathitrust.org/Record/009793780</v>
      </c>
      <c r="J7509" s="1">
        <v>1869</v>
      </c>
      <c r="K7509" t="s">
        <v>2216</v>
      </c>
      <c r="L7509" t="s">
        <v>20331</v>
      </c>
    </row>
    <row r="7510" spans="1:12">
      <c r="A7510" t="s">
        <v>2217</v>
      </c>
      <c r="B7510" s="1" t="s">
        <v>2218</v>
      </c>
      <c r="D7510">
        <v>1</v>
      </c>
      <c r="G7510" t="str">
        <f>HYPERLINK("http://babel.hathitrust.org/cgi/pt?id=uva.x000197113")</f>
        <v>http://babel.hathitrust.org/cgi/pt?id=uva.x000197113</v>
      </c>
      <c r="H7510" t="str">
        <f>HYPERLINK("http://catalog.hathitrust.org/Record/009793800")</f>
        <v>http://catalog.hathitrust.org/Record/009793800</v>
      </c>
      <c r="J7510" s="1">
        <v>1873</v>
      </c>
      <c r="K7510" t="s">
        <v>2216</v>
      </c>
      <c r="L7510" t="s">
        <v>20331</v>
      </c>
    </row>
    <row r="7511" spans="1:12">
      <c r="A7511" t="s">
        <v>2219</v>
      </c>
      <c r="B7511" s="1" t="s">
        <v>2220</v>
      </c>
      <c r="F7511">
        <v>1</v>
      </c>
      <c r="G7511" t="str">
        <f>HYPERLINK("http://babel.hathitrust.org/cgi/pt?id=uva.x001000005")</f>
        <v>http://babel.hathitrust.org/cgi/pt?id=uva.x001000005</v>
      </c>
      <c r="H7511" t="str">
        <f>HYPERLINK("http://catalog.hathitrust.org/Record/009794053")</f>
        <v>http://catalog.hathitrust.org/Record/009794053</v>
      </c>
      <c r="J7511" s="1">
        <v>1850</v>
      </c>
      <c r="K7511" t="s">
        <v>2221</v>
      </c>
      <c r="L7511" t="s">
        <v>19375</v>
      </c>
    </row>
    <row r="7512" spans="1:12">
      <c r="A7512" t="s">
        <v>2222</v>
      </c>
      <c r="B7512" s="1" t="s">
        <v>2223</v>
      </c>
      <c r="F7512">
        <v>1</v>
      </c>
      <c r="G7512" t="str">
        <f>HYPERLINK("http://babel.hathitrust.org/cgi/pt?id=uva.x001190929")</f>
        <v>http://babel.hathitrust.org/cgi/pt?id=uva.x001190929</v>
      </c>
      <c r="H7512" t="str">
        <f>HYPERLINK("http://catalog.hathitrust.org/Record/009794102")</f>
        <v>http://catalog.hathitrust.org/Record/009794102</v>
      </c>
      <c r="J7512" s="1">
        <v>1903</v>
      </c>
      <c r="K7512" t="s">
        <v>2224</v>
      </c>
      <c r="L7512" t="s">
        <v>20331</v>
      </c>
    </row>
    <row r="7513" spans="1:12">
      <c r="A7513" t="s">
        <v>2111</v>
      </c>
      <c r="B7513" s="1" t="s">
        <v>2112</v>
      </c>
      <c r="F7513">
        <v>1</v>
      </c>
      <c r="G7513" t="str">
        <f>HYPERLINK("http://babel.hathitrust.org/cgi/pt?id=uva.x000961997")</f>
        <v>http://babel.hathitrust.org/cgi/pt?id=uva.x000961997</v>
      </c>
      <c r="H7513" t="str">
        <f>HYPERLINK("http://catalog.hathitrust.org/Record/009794160")</f>
        <v>http://catalog.hathitrust.org/Record/009794160</v>
      </c>
      <c r="J7513" s="1">
        <v>1916</v>
      </c>
      <c r="K7513" t="s">
        <v>2113</v>
      </c>
      <c r="L7513" t="s">
        <v>2114</v>
      </c>
    </row>
    <row r="7514" spans="1:12">
      <c r="A7514" t="s">
        <v>2115</v>
      </c>
      <c r="B7514" s="1" t="s">
        <v>2116</v>
      </c>
      <c r="F7514">
        <v>1</v>
      </c>
      <c r="G7514" t="str">
        <f>HYPERLINK("http://babel.hathitrust.org/cgi/pt?id=uva.x001023880")</f>
        <v>http://babel.hathitrust.org/cgi/pt?id=uva.x001023880</v>
      </c>
      <c r="H7514" t="str">
        <f>HYPERLINK("http://catalog.hathitrust.org/Record/009794330")</f>
        <v>http://catalog.hathitrust.org/Record/009794330</v>
      </c>
      <c r="J7514" s="1">
        <v>1851</v>
      </c>
      <c r="K7514" t="s">
        <v>3608</v>
      </c>
      <c r="L7514" t="s">
        <v>19375</v>
      </c>
    </row>
    <row r="7515" spans="1:12">
      <c r="A7515" t="s">
        <v>2117</v>
      </c>
      <c r="B7515" s="1" t="s">
        <v>2118</v>
      </c>
      <c r="E7515">
        <v>1</v>
      </c>
      <c r="G7515" t="str">
        <f>HYPERLINK("http://babel.hathitrust.org/cgi/pt?id=uva.x000197090")</f>
        <v>http://babel.hathitrust.org/cgi/pt?id=uva.x000197090</v>
      </c>
      <c r="H7515" t="str">
        <f>HYPERLINK("http://catalog.hathitrust.org/Record/009794487")</f>
        <v>http://catalog.hathitrust.org/Record/009794487</v>
      </c>
      <c r="J7515" s="1">
        <v>1900</v>
      </c>
      <c r="K7515" t="s">
        <v>2119</v>
      </c>
      <c r="L7515" t="s">
        <v>20331</v>
      </c>
    </row>
    <row r="7516" spans="1:12">
      <c r="A7516" t="s">
        <v>2120</v>
      </c>
      <c r="B7516" s="1" t="s">
        <v>2121</v>
      </c>
      <c r="F7516">
        <v>1</v>
      </c>
      <c r="G7516" t="str">
        <f>HYPERLINK("http://babel.hathitrust.org/cgi/pt?id=uva.x001164077")</f>
        <v>http://babel.hathitrust.org/cgi/pt?id=uva.x001164077</v>
      </c>
      <c r="H7516" t="str">
        <f>HYPERLINK("http://catalog.hathitrust.org/Record/009795015")</f>
        <v>http://catalog.hathitrust.org/Record/009795015</v>
      </c>
      <c r="J7516" s="1">
        <v>1892</v>
      </c>
      <c r="K7516" t="s">
        <v>2122</v>
      </c>
      <c r="L7516" t="s">
        <v>2123</v>
      </c>
    </row>
    <row r="7517" spans="1:12">
      <c r="A7517" t="s">
        <v>2124</v>
      </c>
      <c r="B7517" s="1" t="s">
        <v>2125</v>
      </c>
      <c r="F7517">
        <v>1</v>
      </c>
      <c r="G7517" t="str">
        <f>HYPERLINK("http://babel.hathitrust.org/cgi/pt?id=uva.x001164048")</f>
        <v>http://babel.hathitrust.org/cgi/pt?id=uva.x001164048</v>
      </c>
      <c r="H7517" t="str">
        <f>HYPERLINK("http://catalog.hathitrust.org/Record/009795753")</f>
        <v>http://catalog.hathitrust.org/Record/009795753</v>
      </c>
      <c r="J7517" s="1">
        <v>1866</v>
      </c>
      <c r="K7517" t="s">
        <v>2126</v>
      </c>
      <c r="L7517" t="s">
        <v>4564</v>
      </c>
    </row>
    <row r="7518" spans="1:12">
      <c r="A7518" t="s">
        <v>2127</v>
      </c>
      <c r="B7518" s="1" t="s">
        <v>2128</v>
      </c>
      <c r="F7518">
        <v>1</v>
      </c>
      <c r="G7518" t="str">
        <f>HYPERLINK("http://babel.hathitrust.org/cgi/pt?id=uva.x000680730")</f>
        <v>http://babel.hathitrust.org/cgi/pt?id=uva.x000680730</v>
      </c>
      <c r="H7518" t="str">
        <f>HYPERLINK("http://catalog.hathitrust.org/Record/009796093")</f>
        <v>http://catalog.hathitrust.org/Record/009796093</v>
      </c>
      <c r="I7518" s="1" t="s">
        <v>14533</v>
      </c>
      <c r="J7518" s="1">
        <v>1748</v>
      </c>
      <c r="K7518" t="s">
        <v>2129</v>
      </c>
      <c r="L7518" t="s">
        <v>20588</v>
      </c>
    </row>
    <row r="7519" spans="1:12">
      <c r="A7519" t="s">
        <v>2130</v>
      </c>
      <c r="B7519" s="1" t="s">
        <v>2128</v>
      </c>
      <c r="F7519">
        <v>1</v>
      </c>
      <c r="G7519" t="str">
        <f>HYPERLINK("http://babel.hathitrust.org/cgi/pt?id=uva.x000736523")</f>
        <v>http://babel.hathitrust.org/cgi/pt?id=uva.x000736523</v>
      </c>
      <c r="H7519" t="str">
        <f>HYPERLINK("http://catalog.hathitrust.org/Record/009796093")</f>
        <v>http://catalog.hathitrust.org/Record/009796093</v>
      </c>
      <c r="I7519" s="1" t="s">
        <v>20918</v>
      </c>
      <c r="J7519" s="1">
        <v>1748</v>
      </c>
      <c r="K7519" t="s">
        <v>2129</v>
      </c>
      <c r="L7519" t="s">
        <v>20588</v>
      </c>
    </row>
    <row r="7520" spans="1:12">
      <c r="A7520" t="s">
        <v>2131</v>
      </c>
      <c r="B7520" s="1" t="s">
        <v>2128</v>
      </c>
      <c r="F7520">
        <v>1</v>
      </c>
      <c r="G7520" t="str">
        <f>HYPERLINK("http://babel.hathitrust.org/cgi/pt?id=uva.x001867136")</f>
        <v>http://babel.hathitrust.org/cgi/pt?id=uva.x001867136</v>
      </c>
      <c r="H7520" t="str">
        <f>HYPERLINK("http://catalog.hathitrust.org/Record/009796093")</f>
        <v>http://catalog.hathitrust.org/Record/009796093</v>
      </c>
      <c r="I7520" s="1" t="s">
        <v>20920</v>
      </c>
      <c r="J7520" s="1">
        <v>1748</v>
      </c>
      <c r="K7520" t="s">
        <v>2129</v>
      </c>
      <c r="L7520" t="s">
        <v>20588</v>
      </c>
    </row>
    <row r="7521" spans="1:12">
      <c r="A7521" t="s">
        <v>2132</v>
      </c>
      <c r="B7521" s="1" t="s">
        <v>2133</v>
      </c>
      <c r="E7521">
        <v>1</v>
      </c>
      <c r="G7521" t="str">
        <f>HYPERLINK("http://babel.hathitrust.org/cgi/pt?id=uva.x001071568")</f>
        <v>http://babel.hathitrust.org/cgi/pt?id=uva.x001071568</v>
      </c>
      <c r="H7521" t="str">
        <f>HYPERLINK("http://catalog.hathitrust.org/Record/009796182")</f>
        <v>http://catalog.hathitrust.org/Record/009796182</v>
      </c>
      <c r="J7521" s="1">
        <v>1903</v>
      </c>
      <c r="K7521" t="s">
        <v>15700</v>
      </c>
      <c r="L7521" t="s">
        <v>15701</v>
      </c>
    </row>
    <row r="7522" spans="1:12">
      <c r="A7522" t="s">
        <v>2134</v>
      </c>
      <c r="B7522" s="1" t="s">
        <v>2135</v>
      </c>
      <c r="E7522">
        <v>1</v>
      </c>
      <c r="G7522" t="str">
        <f>HYPERLINK("http://babel.hathitrust.org/cgi/pt?id=uva.x001751720")</f>
        <v>http://babel.hathitrust.org/cgi/pt?id=uva.x001751720</v>
      </c>
      <c r="H7522" t="str">
        <f>HYPERLINK("http://catalog.hathitrust.org/Record/009796397")</f>
        <v>http://catalog.hathitrust.org/Record/009796397</v>
      </c>
      <c r="J7522" s="1">
        <v>1911</v>
      </c>
      <c r="K7522" t="s">
        <v>2136</v>
      </c>
      <c r="L7522" t="s">
        <v>3092</v>
      </c>
    </row>
    <row r="7523" spans="1:12">
      <c r="A7523" t="s">
        <v>2137</v>
      </c>
      <c r="B7523" s="1" t="s">
        <v>2138</v>
      </c>
      <c r="F7523">
        <v>1</v>
      </c>
      <c r="G7523" t="str">
        <f>HYPERLINK("http://babel.hathitrust.org/cgi/pt?id=uva.x001164065")</f>
        <v>http://babel.hathitrust.org/cgi/pt?id=uva.x001164065</v>
      </c>
      <c r="H7523" t="str">
        <f>HYPERLINK("http://catalog.hathitrust.org/Record/009796842")</f>
        <v>http://catalog.hathitrust.org/Record/009796842</v>
      </c>
      <c r="J7523" s="1">
        <v>1909</v>
      </c>
      <c r="K7523" t="s">
        <v>11370</v>
      </c>
      <c r="L7523" t="s">
        <v>11365</v>
      </c>
    </row>
    <row r="7524" spans="1:12">
      <c r="A7524" t="s">
        <v>2139</v>
      </c>
      <c r="B7524" s="1" t="s">
        <v>2140</v>
      </c>
      <c r="F7524">
        <v>1</v>
      </c>
      <c r="G7524" t="str">
        <f>HYPERLINK("http://babel.hathitrust.org/cgi/pt?id=uva.x001911921")</f>
        <v>http://babel.hathitrust.org/cgi/pt?id=uva.x001911921</v>
      </c>
      <c r="H7524" t="str">
        <f>HYPERLINK("http://catalog.hathitrust.org/Record/009797156")</f>
        <v>http://catalog.hathitrust.org/Record/009797156</v>
      </c>
      <c r="J7524" s="1">
        <v>1921</v>
      </c>
      <c r="K7524" t="s">
        <v>2141</v>
      </c>
      <c r="L7524" t="s">
        <v>11184</v>
      </c>
    </row>
    <row r="7525" spans="1:12">
      <c r="A7525" t="s">
        <v>2142</v>
      </c>
      <c r="B7525" s="1" t="s">
        <v>2143</v>
      </c>
      <c r="E7525">
        <v>1</v>
      </c>
      <c r="G7525" t="str">
        <f>HYPERLINK("http://babel.hathitrust.org/cgi/pt?id=uva.x000926414")</f>
        <v>http://babel.hathitrust.org/cgi/pt?id=uva.x000926414</v>
      </c>
      <c r="H7525" t="str">
        <f>HYPERLINK("http://catalog.hathitrust.org/Record/009797192")</f>
        <v>http://catalog.hathitrust.org/Record/009797192</v>
      </c>
      <c r="J7525" s="1">
        <v>1845</v>
      </c>
      <c r="K7525" t="s">
        <v>6394</v>
      </c>
      <c r="L7525" t="s">
        <v>6395</v>
      </c>
    </row>
    <row r="7526" spans="1:12">
      <c r="A7526" t="s">
        <v>2144</v>
      </c>
      <c r="B7526" s="1" t="s">
        <v>2145</v>
      </c>
      <c r="F7526">
        <v>1</v>
      </c>
      <c r="G7526" t="str">
        <f>HYPERLINK("http://babel.hathitrust.org/cgi/pt?id=pst.000027621172")</f>
        <v>http://babel.hathitrust.org/cgi/pt?id=pst.000027621172</v>
      </c>
      <c r="H7526" t="str">
        <f>HYPERLINK("http://catalog.hathitrust.org/Record/009809501")</f>
        <v>http://catalog.hathitrust.org/Record/009809501</v>
      </c>
      <c r="J7526" s="1">
        <v>1909</v>
      </c>
      <c r="K7526" t="s">
        <v>2146</v>
      </c>
      <c r="L7526" t="s">
        <v>19196</v>
      </c>
    </row>
    <row r="7527" spans="1:12">
      <c r="A7527" t="s">
        <v>2147</v>
      </c>
      <c r="B7527" s="1" t="s">
        <v>2148</v>
      </c>
      <c r="F7527">
        <v>1</v>
      </c>
      <c r="G7527" t="str">
        <f>HYPERLINK("http://babel.hathitrust.org/cgi/pt?id=yale.39002004932761")</f>
        <v>http://babel.hathitrust.org/cgi/pt?id=yale.39002004932761</v>
      </c>
      <c r="H7527" t="str">
        <f>HYPERLINK("http://catalog.hathitrust.org/Record/009833752")</f>
        <v>http://catalog.hathitrust.org/Record/009833752</v>
      </c>
      <c r="I7527" s="1" t="s">
        <v>20920</v>
      </c>
      <c r="J7527" s="1">
        <v>1748</v>
      </c>
      <c r="K7527" t="s">
        <v>20587</v>
      </c>
      <c r="L7527" t="s">
        <v>20588</v>
      </c>
    </row>
    <row r="7528" spans="1:12">
      <c r="A7528" t="s">
        <v>2149</v>
      </c>
      <c r="B7528" s="1" t="s">
        <v>2148</v>
      </c>
      <c r="F7528">
        <v>1</v>
      </c>
      <c r="G7528" t="str">
        <f>HYPERLINK("http://babel.hathitrust.org/cgi/pt?id=yale.39002005422606")</f>
        <v>http://babel.hathitrust.org/cgi/pt?id=yale.39002005422606</v>
      </c>
      <c r="H7528" t="str">
        <f>HYPERLINK("http://catalog.hathitrust.org/Record/009833752")</f>
        <v>http://catalog.hathitrust.org/Record/009833752</v>
      </c>
      <c r="I7528" s="1" t="s">
        <v>20755</v>
      </c>
      <c r="J7528" s="1">
        <v>1748</v>
      </c>
      <c r="K7528" t="s">
        <v>20587</v>
      </c>
      <c r="L7528" t="s">
        <v>20588</v>
      </c>
    </row>
    <row r="7529" spans="1:12">
      <c r="A7529" t="s">
        <v>2150</v>
      </c>
      <c r="B7529" s="1" t="s">
        <v>2148</v>
      </c>
      <c r="F7529">
        <v>1</v>
      </c>
      <c r="G7529" t="str">
        <f>HYPERLINK("http://babel.hathitrust.org/cgi/pt?id=yale.39002005422614")</f>
        <v>http://babel.hathitrust.org/cgi/pt?id=yale.39002005422614</v>
      </c>
      <c r="H7529" t="str">
        <f>HYPERLINK("http://catalog.hathitrust.org/Record/009833752")</f>
        <v>http://catalog.hathitrust.org/Record/009833752</v>
      </c>
      <c r="I7529" s="1" t="s">
        <v>20916</v>
      </c>
      <c r="J7529" s="1">
        <v>1748</v>
      </c>
      <c r="K7529" t="s">
        <v>20587</v>
      </c>
      <c r="L7529" t="s">
        <v>20588</v>
      </c>
    </row>
    <row r="7530" spans="1:12">
      <c r="A7530" t="s">
        <v>2151</v>
      </c>
      <c r="B7530" s="1" t="s">
        <v>2152</v>
      </c>
      <c r="F7530">
        <v>1</v>
      </c>
      <c r="G7530" t="str">
        <f>HYPERLINK("http://babel.hathitrust.org/cgi/pt?id=mdp.39076006122662")</f>
        <v>http://babel.hathitrust.org/cgi/pt?id=mdp.39076006122662</v>
      </c>
      <c r="H7530" t="str">
        <f>HYPERLINK("http://catalog.hathitrust.org/Record/009912964")</f>
        <v>http://catalog.hathitrust.org/Record/009912964</v>
      </c>
      <c r="J7530" s="1">
        <v>1960</v>
      </c>
      <c r="K7530" t="s">
        <v>3722</v>
      </c>
      <c r="L7530" t="s">
        <v>10163</v>
      </c>
    </row>
    <row r="7531" spans="1:12">
      <c r="A7531" t="s">
        <v>2153</v>
      </c>
      <c r="B7531" s="1" t="s">
        <v>2154</v>
      </c>
      <c r="E7531">
        <v>1</v>
      </c>
      <c r="G7531" t="str">
        <f>HYPERLINK("http://babel.hathitrust.org/cgi/pt?id=mdp.39076006139195")</f>
        <v>http://babel.hathitrust.org/cgi/pt?id=mdp.39076006139195</v>
      </c>
      <c r="H7531" t="str">
        <f>HYPERLINK("http://catalog.hathitrust.org/Record/009913089")</f>
        <v>http://catalog.hathitrust.org/Record/009913089</v>
      </c>
      <c r="J7531" s="1">
        <v>1913</v>
      </c>
      <c r="K7531" t="s">
        <v>6568</v>
      </c>
      <c r="L7531" t="s">
        <v>19690</v>
      </c>
    </row>
    <row r="7532" spans="1:12">
      <c r="A7532" t="s">
        <v>2155</v>
      </c>
      <c r="B7532" s="1" t="s">
        <v>2156</v>
      </c>
      <c r="E7532">
        <v>1</v>
      </c>
      <c r="F7532">
        <v>1</v>
      </c>
      <c r="G7532" t="str">
        <f>HYPERLINK("http://babel.hathitrust.org/cgi/pt?id=mdp.39076006142587")</f>
        <v>http://babel.hathitrust.org/cgi/pt?id=mdp.39076006142587</v>
      </c>
      <c r="H7532" t="str">
        <f>HYPERLINK("http://catalog.hathitrust.org/Record/009913126")</f>
        <v>http://catalog.hathitrust.org/Record/009913126</v>
      </c>
      <c r="J7532" s="1">
        <v>1906</v>
      </c>
      <c r="K7532" t="s">
        <v>17741</v>
      </c>
      <c r="L7532" t="s">
        <v>19690</v>
      </c>
    </row>
    <row r="7533" spans="1:12">
      <c r="A7533" t="s">
        <v>2157</v>
      </c>
      <c r="B7533" s="1" t="s">
        <v>2158</v>
      </c>
      <c r="F7533">
        <v>1</v>
      </c>
      <c r="G7533" t="str">
        <f>HYPERLINK("http://babel.hathitrust.org/cgi/pt?id=mdp.39076006143007")</f>
        <v>http://babel.hathitrust.org/cgi/pt?id=mdp.39076006143007</v>
      </c>
      <c r="H7533" t="str">
        <f>HYPERLINK("http://catalog.hathitrust.org/Record/009913130")</f>
        <v>http://catalog.hathitrust.org/Record/009913130</v>
      </c>
      <c r="J7533" s="1">
        <v>1901</v>
      </c>
      <c r="K7533" t="s">
        <v>20649</v>
      </c>
      <c r="L7533" t="s">
        <v>20650</v>
      </c>
    </row>
    <row r="7534" spans="1:12">
      <c r="A7534" t="s">
        <v>2159</v>
      </c>
      <c r="B7534" s="1" t="s">
        <v>2160</v>
      </c>
      <c r="F7534">
        <v>1</v>
      </c>
      <c r="G7534" t="str">
        <f>HYPERLINK("http://babel.hathitrust.org/cgi/pt?id=mdp.39076006153998")</f>
        <v>http://babel.hathitrust.org/cgi/pt?id=mdp.39076006153998</v>
      </c>
      <c r="H7534" t="str">
        <f>HYPERLINK("http://catalog.hathitrust.org/Record/009913233")</f>
        <v>http://catalog.hathitrust.org/Record/009913233</v>
      </c>
      <c r="J7534" s="1">
        <v>1951</v>
      </c>
      <c r="K7534" t="s">
        <v>2161</v>
      </c>
      <c r="L7534" t="s">
        <v>2162</v>
      </c>
    </row>
    <row r="7535" spans="1:12">
      <c r="A7535" t="s">
        <v>2163</v>
      </c>
      <c r="B7535" s="1" t="s">
        <v>2164</v>
      </c>
      <c r="F7535">
        <v>1</v>
      </c>
      <c r="G7535" t="str">
        <f>HYPERLINK("http://babel.hathitrust.org/cgi/pt?id=mdp.39076006753524")</f>
        <v>http://babel.hathitrust.org/cgi/pt?id=mdp.39076006753524</v>
      </c>
      <c r="H7535" t="str">
        <f>HYPERLINK("http://catalog.hathitrust.org/Record/009916877")</f>
        <v>http://catalog.hathitrust.org/Record/009916877</v>
      </c>
      <c r="J7535" s="1">
        <v>1958</v>
      </c>
      <c r="K7535" t="s">
        <v>2165</v>
      </c>
      <c r="L7535" t="s">
        <v>2166</v>
      </c>
    </row>
    <row r="7536" spans="1:12">
      <c r="A7536" t="s">
        <v>2167</v>
      </c>
      <c r="B7536" s="1" t="s">
        <v>2168</v>
      </c>
      <c r="E7536">
        <v>1</v>
      </c>
      <c r="F7536">
        <v>1</v>
      </c>
      <c r="G7536" t="str">
        <f>HYPERLINK("http://babel.hathitrust.org/cgi/pt?id=mdp.39076006828268")</f>
        <v>http://babel.hathitrust.org/cgi/pt?id=mdp.39076006828268</v>
      </c>
      <c r="H7536" t="str">
        <f>HYPERLINK("http://catalog.hathitrust.org/Record/009917503")</f>
        <v>http://catalog.hathitrust.org/Record/009917503</v>
      </c>
      <c r="J7536" s="1">
        <v>1919</v>
      </c>
      <c r="K7536" t="s">
        <v>2169</v>
      </c>
      <c r="L7536" t="s">
        <v>14597</v>
      </c>
    </row>
    <row r="7537" spans="1:12">
      <c r="A7537" t="s">
        <v>2170</v>
      </c>
      <c r="B7537" s="1" t="s">
        <v>2171</v>
      </c>
      <c r="F7537">
        <v>1</v>
      </c>
      <c r="G7537" t="str">
        <f>HYPERLINK("http://babel.hathitrust.org/cgi/pt?id=mdp.39076000803796")</f>
        <v>http://babel.hathitrust.org/cgi/pt?id=mdp.39076000803796</v>
      </c>
      <c r="H7537" t="str">
        <f>HYPERLINK("http://catalog.hathitrust.org/Record/009920070")</f>
        <v>http://catalog.hathitrust.org/Record/009920070</v>
      </c>
      <c r="J7537" s="1">
        <v>1950</v>
      </c>
      <c r="K7537" t="s">
        <v>2172</v>
      </c>
      <c r="L7537" t="s">
        <v>2173</v>
      </c>
    </row>
    <row r="7538" spans="1:12">
      <c r="A7538" t="s">
        <v>2174</v>
      </c>
      <c r="B7538" s="1" t="s">
        <v>2175</v>
      </c>
      <c r="F7538">
        <v>1</v>
      </c>
      <c r="G7538" t="str">
        <f>HYPERLINK("http://babel.hathitrust.org/cgi/pt?id=mdp.39076001723159")</f>
        <v>http://babel.hathitrust.org/cgi/pt?id=mdp.39076001723159</v>
      </c>
      <c r="H7538" t="str">
        <f>HYPERLINK("http://catalog.hathitrust.org/Record/009923735")</f>
        <v>http://catalog.hathitrust.org/Record/009923735</v>
      </c>
      <c r="I7538" s="1">
        <v>1920</v>
      </c>
      <c r="J7538" s="1">
        <v>1920</v>
      </c>
      <c r="K7538" t="s">
        <v>5108</v>
      </c>
    </row>
    <row r="7539" spans="1:12">
      <c r="A7539" t="s">
        <v>2048</v>
      </c>
      <c r="B7539" s="1" t="s">
        <v>2175</v>
      </c>
      <c r="F7539">
        <v>1</v>
      </c>
      <c r="G7539" t="str">
        <f>HYPERLINK("http://babel.hathitrust.org/cgi/pt?id=mdp.39076001723167")</f>
        <v>http://babel.hathitrust.org/cgi/pt?id=mdp.39076001723167</v>
      </c>
      <c r="H7539" t="str">
        <f>HYPERLINK("http://catalog.hathitrust.org/Record/009923735")</f>
        <v>http://catalog.hathitrust.org/Record/009923735</v>
      </c>
      <c r="I7539" s="1">
        <v>1921</v>
      </c>
      <c r="J7539" s="1">
        <v>1920</v>
      </c>
      <c r="K7539" t="s">
        <v>5108</v>
      </c>
    </row>
    <row r="7540" spans="1:12">
      <c r="A7540" t="s">
        <v>2049</v>
      </c>
      <c r="B7540" s="1" t="s">
        <v>2175</v>
      </c>
      <c r="F7540">
        <v>1</v>
      </c>
      <c r="G7540" t="str">
        <f>HYPERLINK("http://babel.hathitrust.org/cgi/pt?id=mdp.39076001723175")</f>
        <v>http://babel.hathitrust.org/cgi/pt?id=mdp.39076001723175</v>
      </c>
      <c r="H7540" t="str">
        <f>HYPERLINK("http://catalog.hathitrust.org/Record/009923735")</f>
        <v>http://catalog.hathitrust.org/Record/009923735</v>
      </c>
      <c r="I7540" s="1">
        <v>1922</v>
      </c>
      <c r="J7540" s="1">
        <v>1920</v>
      </c>
      <c r="K7540" t="s">
        <v>5108</v>
      </c>
    </row>
    <row r="7541" spans="1:12">
      <c r="A7541" t="s">
        <v>2050</v>
      </c>
      <c r="B7541" s="1" t="s">
        <v>2051</v>
      </c>
      <c r="F7541">
        <v>1</v>
      </c>
      <c r="G7541" t="str">
        <f>HYPERLINK("http://babel.hathitrust.org/cgi/pt?id=mdp.39076005001842")</f>
        <v>http://babel.hathitrust.org/cgi/pt?id=mdp.39076005001842</v>
      </c>
      <c r="H7541" t="str">
        <f>HYPERLINK("http://catalog.hathitrust.org/Record/009927429")</f>
        <v>http://catalog.hathitrust.org/Record/009927429</v>
      </c>
      <c r="J7541" s="1">
        <v>1853</v>
      </c>
      <c r="K7541" t="s">
        <v>2052</v>
      </c>
      <c r="L7541" t="s">
        <v>17959</v>
      </c>
    </row>
    <row r="7542" spans="1:12">
      <c r="A7542" t="s">
        <v>2053</v>
      </c>
      <c r="B7542" s="1" t="s">
        <v>2054</v>
      </c>
      <c r="F7542">
        <v>1</v>
      </c>
      <c r="G7542" t="str">
        <f>HYPERLINK("http://babel.hathitrust.org/cgi/pt?id=mdp.39076005073692")</f>
        <v>http://babel.hathitrust.org/cgi/pt?id=mdp.39076005073692</v>
      </c>
      <c r="H7542" t="str">
        <f>HYPERLINK("http://catalog.hathitrust.org/Record/009927888")</f>
        <v>http://catalog.hathitrust.org/Record/009927888</v>
      </c>
      <c r="J7542" s="1">
        <v>1921</v>
      </c>
      <c r="K7542" t="s">
        <v>2055</v>
      </c>
      <c r="L7542" t="s">
        <v>21025</v>
      </c>
    </row>
    <row r="7543" spans="1:12">
      <c r="A7543" t="s">
        <v>2056</v>
      </c>
      <c r="B7543" s="1" t="s">
        <v>2057</v>
      </c>
      <c r="F7543">
        <v>1</v>
      </c>
      <c r="G7543" t="str">
        <f>HYPERLINK("http://babel.hathitrust.org/cgi/pt?id=uc1.$b794827")</f>
        <v>http://babel.hathitrust.org/cgi/pt?id=uc1.$b794827</v>
      </c>
      <c r="H7543" t="str">
        <f>HYPERLINK("http://catalog.hathitrust.org/Record/009953120")</f>
        <v>http://catalog.hathitrust.org/Record/009953120</v>
      </c>
      <c r="J7543" s="1">
        <v>1922</v>
      </c>
      <c r="K7543" t="s">
        <v>2058</v>
      </c>
      <c r="L7543" t="s">
        <v>11476</v>
      </c>
    </row>
    <row r="7544" spans="1:12">
      <c r="A7544" t="s">
        <v>2059</v>
      </c>
      <c r="B7544" s="1" t="s">
        <v>2060</v>
      </c>
      <c r="F7544">
        <v>1</v>
      </c>
      <c r="G7544" t="str">
        <f>HYPERLINK("http://babel.hathitrust.org/cgi/pt?id=uc1.$b683875")</f>
        <v>http://babel.hathitrust.org/cgi/pt?id=uc1.$b683875</v>
      </c>
      <c r="H7544" t="str">
        <f>HYPERLINK("http://catalog.hathitrust.org/Record/009977060")</f>
        <v>http://catalog.hathitrust.org/Record/009977060</v>
      </c>
      <c r="J7544" s="1">
        <v>1920</v>
      </c>
      <c r="K7544" t="s">
        <v>20834</v>
      </c>
      <c r="L7544" t="s">
        <v>20835</v>
      </c>
    </row>
    <row r="7545" spans="1:12">
      <c r="A7545" t="s">
        <v>2061</v>
      </c>
      <c r="B7545" s="1" t="s">
        <v>2062</v>
      </c>
      <c r="F7545">
        <v>1</v>
      </c>
      <c r="G7545" t="str">
        <f>HYPERLINK("http://babel.hathitrust.org/cgi/pt?id=uc1.$b683876")</f>
        <v>http://babel.hathitrust.org/cgi/pt?id=uc1.$b683876</v>
      </c>
      <c r="H7545" t="str">
        <f>HYPERLINK("http://catalog.hathitrust.org/Record/009977061")</f>
        <v>http://catalog.hathitrust.org/Record/009977061</v>
      </c>
      <c r="J7545" s="1">
        <v>1918</v>
      </c>
      <c r="K7545" t="s">
        <v>14600</v>
      </c>
      <c r="L7545" t="s">
        <v>14601</v>
      </c>
    </row>
    <row r="7546" spans="1:12">
      <c r="A7546" t="s">
        <v>2063</v>
      </c>
      <c r="B7546" s="1" t="s">
        <v>2064</v>
      </c>
      <c r="F7546">
        <v>1</v>
      </c>
      <c r="G7546" t="str">
        <f>HYPERLINK("http://babel.hathitrust.org/cgi/pt?id=uc1.$b683881")</f>
        <v>http://babel.hathitrust.org/cgi/pt?id=uc1.$b683881</v>
      </c>
      <c r="H7546" t="str">
        <f>HYPERLINK("http://catalog.hathitrust.org/Record/009977065")</f>
        <v>http://catalog.hathitrust.org/Record/009977065</v>
      </c>
      <c r="J7546" s="1">
        <v>1921</v>
      </c>
      <c r="K7546" t="s">
        <v>20381</v>
      </c>
      <c r="L7546" t="s">
        <v>20382</v>
      </c>
    </row>
    <row r="7547" spans="1:12">
      <c r="A7547" t="s">
        <v>2065</v>
      </c>
      <c r="B7547" s="1" t="s">
        <v>2066</v>
      </c>
      <c r="F7547">
        <v>1</v>
      </c>
      <c r="G7547" t="str">
        <f>HYPERLINK("http://babel.hathitrust.org/cgi/pt?id=uc1.$b683885")</f>
        <v>http://babel.hathitrust.org/cgi/pt?id=uc1.$b683885</v>
      </c>
      <c r="H7547" t="str">
        <f>HYPERLINK("http://catalog.hathitrust.org/Record/009977067")</f>
        <v>http://catalog.hathitrust.org/Record/009977067</v>
      </c>
      <c r="J7547" s="1">
        <v>1912</v>
      </c>
      <c r="K7547" t="s">
        <v>18169</v>
      </c>
      <c r="L7547" t="s">
        <v>18170</v>
      </c>
    </row>
    <row r="7548" spans="1:12">
      <c r="A7548" t="s">
        <v>2067</v>
      </c>
      <c r="B7548" s="1" t="s">
        <v>2068</v>
      </c>
      <c r="E7548">
        <v>1</v>
      </c>
      <c r="G7548" t="str">
        <f>HYPERLINK("http://babel.hathitrust.org/cgi/pt?id=uc1.$b685775")</f>
        <v>http://babel.hathitrust.org/cgi/pt?id=uc1.$b685775</v>
      </c>
      <c r="H7548" t="str">
        <f>HYPERLINK("http://catalog.hathitrust.org/Record/009978088")</f>
        <v>http://catalog.hathitrust.org/Record/009978088</v>
      </c>
      <c r="J7548" s="1">
        <v>1911</v>
      </c>
      <c r="K7548" t="s">
        <v>2069</v>
      </c>
      <c r="L7548" t="s">
        <v>13650</v>
      </c>
    </row>
    <row r="7549" spans="1:12">
      <c r="A7549" t="s">
        <v>2070</v>
      </c>
      <c r="B7549" s="1" t="s">
        <v>2071</v>
      </c>
      <c r="F7549">
        <v>1</v>
      </c>
      <c r="G7549" t="str">
        <f>HYPERLINK("http://babel.hathitrust.org/cgi/pt?id=uc1.$b685837")</f>
        <v>http://babel.hathitrust.org/cgi/pt?id=uc1.$b685837</v>
      </c>
      <c r="H7549" t="str">
        <f>HYPERLINK("http://catalog.hathitrust.org/Record/009978133")</f>
        <v>http://catalog.hathitrust.org/Record/009978133</v>
      </c>
      <c r="J7549" s="1">
        <v>1940</v>
      </c>
      <c r="K7549" t="s">
        <v>17520</v>
      </c>
      <c r="L7549" t="s">
        <v>17521</v>
      </c>
    </row>
    <row r="7550" spans="1:12">
      <c r="A7550" t="s">
        <v>2072</v>
      </c>
      <c r="B7550" s="1" t="s">
        <v>2073</v>
      </c>
      <c r="F7550">
        <v>1</v>
      </c>
      <c r="G7550" t="str">
        <f>HYPERLINK("http://babel.hathitrust.org/cgi/pt?id=uc1.$b685838")</f>
        <v>http://babel.hathitrust.org/cgi/pt?id=uc1.$b685838</v>
      </c>
      <c r="H7550" t="str">
        <f>HYPERLINK("http://catalog.hathitrust.org/Record/009978134")</f>
        <v>http://catalog.hathitrust.org/Record/009978134</v>
      </c>
      <c r="J7550" s="1">
        <v>1885</v>
      </c>
      <c r="K7550" t="s">
        <v>18774</v>
      </c>
      <c r="L7550" t="s">
        <v>19211</v>
      </c>
    </row>
    <row r="7551" spans="1:12">
      <c r="A7551" t="s">
        <v>2074</v>
      </c>
      <c r="B7551" s="1" t="s">
        <v>2075</v>
      </c>
      <c r="F7551">
        <v>1</v>
      </c>
      <c r="G7551" t="str">
        <f>HYPERLINK("http://babel.hathitrust.org/cgi/pt?id=uc1.$b683480")</f>
        <v>http://babel.hathitrust.org/cgi/pt?id=uc1.$b683480</v>
      </c>
      <c r="H7551" t="str">
        <f>HYPERLINK("http://catalog.hathitrust.org/Record/009979155")</f>
        <v>http://catalog.hathitrust.org/Record/009979155</v>
      </c>
      <c r="J7551" s="1">
        <v>1905</v>
      </c>
      <c r="K7551" t="s">
        <v>17741</v>
      </c>
      <c r="L7551" t="s">
        <v>19690</v>
      </c>
    </row>
    <row r="7552" spans="1:12">
      <c r="A7552" t="s">
        <v>2076</v>
      </c>
      <c r="B7552" s="1" t="s">
        <v>2077</v>
      </c>
      <c r="F7552">
        <v>1</v>
      </c>
      <c r="G7552" t="str">
        <f>HYPERLINK("http://babel.hathitrust.org/cgi/pt?id=uc1.$b683511")</f>
        <v>http://babel.hathitrust.org/cgi/pt?id=uc1.$b683511</v>
      </c>
      <c r="H7552" t="str">
        <f>HYPERLINK("http://catalog.hathitrust.org/Record/009979171")</f>
        <v>http://catalog.hathitrust.org/Record/009979171</v>
      </c>
      <c r="J7552" s="1">
        <v>1945</v>
      </c>
      <c r="K7552" t="s">
        <v>2078</v>
      </c>
      <c r="L7552" t="s">
        <v>19279</v>
      </c>
    </row>
    <row r="7553" spans="1:12">
      <c r="A7553" t="s">
        <v>2079</v>
      </c>
      <c r="B7553" s="1" t="s">
        <v>2080</v>
      </c>
      <c r="D7553">
        <v>1</v>
      </c>
      <c r="G7553" t="str">
        <f>HYPERLINK("http://babel.hathitrust.org/cgi/pt?id=uc1.$b683534")</f>
        <v>http://babel.hathitrust.org/cgi/pt?id=uc1.$b683534</v>
      </c>
      <c r="H7553" t="str">
        <f>HYPERLINK("http://catalog.hathitrust.org/Record/009979183")</f>
        <v>http://catalog.hathitrust.org/Record/009979183</v>
      </c>
      <c r="J7553" s="1">
        <v>1889</v>
      </c>
      <c r="K7553" t="s">
        <v>2081</v>
      </c>
      <c r="L7553" t="s">
        <v>19491</v>
      </c>
    </row>
    <row r="7554" spans="1:12">
      <c r="A7554" t="s">
        <v>2082</v>
      </c>
      <c r="B7554" s="1" t="s">
        <v>2083</v>
      </c>
      <c r="E7554">
        <v>1</v>
      </c>
      <c r="G7554" t="str">
        <f>HYPERLINK("http://babel.hathitrust.org/cgi/pt?id=uc1.$b683684")</f>
        <v>http://babel.hathitrust.org/cgi/pt?id=uc1.$b683684</v>
      </c>
      <c r="H7554" t="str">
        <f>HYPERLINK("http://catalog.hathitrust.org/Record/009979282")</f>
        <v>http://catalog.hathitrust.org/Record/009979282</v>
      </c>
      <c r="I7554" s="1" t="s">
        <v>19240</v>
      </c>
      <c r="J7554" s="1">
        <v>1921</v>
      </c>
      <c r="K7554" t="s">
        <v>2084</v>
      </c>
    </row>
    <row r="7555" spans="1:12">
      <c r="A7555" t="s">
        <v>2085</v>
      </c>
      <c r="B7555" s="1" t="s">
        <v>2086</v>
      </c>
      <c r="F7555">
        <v>1</v>
      </c>
      <c r="G7555" t="str">
        <f>HYPERLINK("http://babel.hathitrust.org/cgi/pt?id=uc1.$b683825")</f>
        <v>http://babel.hathitrust.org/cgi/pt?id=uc1.$b683825</v>
      </c>
      <c r="H7555" t="str">
        <f>HYPERLINK("http://catalog.hathitrust.org/Record/009979361")</f>
        <v>http://catalog.hathitrust.org/Record/009979361</v>
      </c>
      <c r="J7555" s="1">
        <v>1848</v>
      </c>
      <c r="K7555" t="s">
        <v>2087</v>
      </c>
      <c r="L7555" t="s">
        <v>19662</v>
      </c>
    </row>
    <row r="7556" spans="1:12">
      <c r="A7556" t="s">
        <v>2088</v>
      </c>
      <c r="B7556" s="1" t="s">
        <v>2089</v>
      </c>
      <c r="D7556">
        <v>1</v>
      </c>
      <c r="G7556" t="str">
        <f>HYPERLINK("http://babel.hathitrust.org/cgi/pt?id=uc1.$b683829")</f>
        <v>http://babel.hathitrust.org/cgi/pt?id=uc1.$b683829</v>
      </c>
      <c r="H7556" t="str">
        <f>HYPERLINK("http://catalog.hathitrust.org/Record/009979362")</f>
        <v>http://catalog.hathitrust.org/Record/009979362</v>
      </c>
      <c r="J7556" s="1">
        <v>1920</v>
      </c>
      <c r="K7556" t="s">
        <v>10506</v>
      </c>
      <c r="L7556" t="s">
        <v>19253</v>
      </c>
    </row>
    <row r="7557" spans="1:12">
      <c r="A7557" t="s">
        <v>2090</v>
      </c>
      <c r="B7557" s="1" t="s">
        <v>2091</v>
      </c>
      <c r="E7557">
        <v>1</v>
      </c>
      <c r="F7557">
        <v>1</v>
      </c>
      <c r="G7557" t="str">
        <f>HYPERLINK("http://babel.hathitrust.org/cgi/pt?id=uc1.$b683845")</f>
        <v>http://babel.hathitrust.org/cgi/pt?id=uc1.$b683845</v>
      </c>
      <c r="H7557" t="str">
        <f>HYPERLINK("http://catalog.hathitrust.org/Record/009979369")</f>
        <v>http://catalog.hathitrust.org/Record/009979369</v>
      </c>
      <c r="J7557" s="1">
        <v>1913</v>
      </c>
      <c r="K7557" t="s">
        <v>2092</v>
      </c>
      <c r="L7557" t="s">
        <v>19211</v>
      </c>
    </row>
    <row r="7558" spans="1:12">
      <c r="A7558" t="s">
        <v>2093</v>
      </c>
      <c r="B7558" s="1" t="s">
        <v>2094</v>
      </c>
      <c r="F7558">
        <v>1</v>
      </c>
      <c r="G7558" t="str">
        <f>HYPERLINK("http://babel.hathitrust.org/cgi/pt?id=uc1.$b671513")</f>
        <v>http://babel.hathitrust.org/cgi/pt?id=uc1.$b671513</v>
      </c>
      <c r="H7558" t="str">
        <f>HYPERLINK("http://catalog.hathitrust.org/Record/009982647")</f>
        <v>http://catalog.hathitrust.org/Record/009982647</v>
      </c>
      <c r="J7558" s="1">
        <v>1918</v>
      </c>
      <c r="K7558" t="s">
        <v>2095</v>
      </c>
      <c r="L7558" t="s">
        <v>2096</v>
      </c>
    </row>
    <row r="7559" spans="1:12">
      <c r="A7559" t="s">
        <v>2097</v>
      </c>
      <c r="B7559" s="1" t="s">
        <v>2098</v>
      </c>
      <c r="F7559">
        <v>1</v>
      </c>
      <c r="G7559" t="str">
        <f>HYPERLINK("http://babel.hathitrust.org/cgi/pt?id=uc1.$b663308")</f>
        <v>http://babel.hathitrust.org/cgi/pt?id=uc1.$b663308</v>
      </c>
      <c r="H7559" t="str">
        <f>HYPERLINK("http://catalog.hathitrust.org/Record/009984285")</f>
        <v>http://catalog.hathitrust.org/Record/009984285</v>
      </c>
      <c r="J7559" s="1">
        <v>1862</v>
      </c>
      <c r="K7559" t="s">
        <v>2099</v>
      </c>
      <c r="L7559" t="s">
        <v>9988</v>
      </c>
    </row>
    <row r="7560" spans="1:12">
      <c r="A7560" t="s">
        <v>2100</v>
      </c>
      <c r="B7560" s="1" t="s">
        <v>2101</v>
      </c>
      <c r="F7560">
        <v>1</v>
      </c>
      <c r="G7560" t="str">
        <f>HYPERLINK("http://babel.hathitrust.org/cgi/pt?id=uc1.$b663338")</f>
        <v>http://babel.hathitrust.org/cgi/pt?id=uc1.$b663338</v>
      </c>
      <c r="H7560" t="str">
        <f>HYPERLINK("http://catalog.hathitrust.org/Record/009984308")</f>
        <v>http://catalog.hathitrust.org/Record/009984308</v>
      </c>
      <c r="J7560" s="1">
        <v>1920</v>
      </c>
      <c r="K7560" t="s">
        <v>2102</v>
      </c>
      <c r="L7560" t="s">
        <v>20646</v>
      </c>
    </row>
    <row r="7561" spans="1:12">
      <c r="A7561" t="s">
        <v>2103</v>
      </c>
      <c r="B7561" s="1" t="s">
        <v>2104</v>
      </c>
      <c r="F7561">
        <v>1</v>
      </c>
      <c r="G7561" t="str">
        <f>HYPERLINK("http://babel.hathitrust.org/cgi/pt?id=uc1.$b663345")</f>
        <v>http://babel.hathitrust.org/cgi/pt?id=uc1.$b663345</v>
      </c>
      <c r="H7561" t="str">
        <f>HYPERLINK("http://catalog.hathitrust.org/Record/009984311")</f>
        <v>http://catalog.hathitrust.org/Record/009984311</v>
      </c>
      <c r="J7561" s="1">
        <v>1919</v>
      </c>
      <c r="K7561" t="s">
        <v>18441</v>
      </c>
      <c r="L7561" t="s">
        <v>18442</v>
      </c>
    </row>
    <row r="7562" spans="1:12">
      <c r="A7562" t="s">
        <v>2105</v>
      </c>
      <c r="B7562" s="1" t="s">
        <v>2106</v>
      </c>
      <c r="D7562">
        <v>1</v>
      </c>
      <c r="G7562" t="str">
        <f>HYPERLINK("http://babel.hathitrust.org/cgi/pt?id=uc1.$b663353")</f>
        <v>http://babel.hathitrust.org/cgi/pt?id=uc1.$b663353</v>
      </c>
      <c r="H7562" t="str">
        <f>HYPERLINK("http://catalog.hathitrust.org/Record/009984314")</f>
        <v>http://catalog.hathitrust.org/Record/009984314</v>
      </c>
      <c r="J7562" s="1">
        <v>1920</v>
      </c>
      <c r="K7562" t="s">
        <v>9098</v>
      </c>
      <c r="L7562" t="s">
        <v>20615</v>
      </c>
    </row>
    <row r="7563" spans="1:12">
      <c r="A7563" t="s">
        <v>2107</v>
      </c>
      <c r="B7563" s="1" t="s">
        <v>2108</v>
      </c>
      <c r="F7563">
        <v>1</v>
      </c>
      <c r="G7563" t="str">
        <f>HYPERLINK("http://babel.hathitrust.org/cgi/pt?id=uc1.$b663360")</f>
        <v>http://babel.hathitrust.org/cgi/pt?id=uc1.$b663360</v>
      </c>
      <c r="H7563" t="str">
        <f>HYPERLINK("http://catalog.hathitrust.org/Record/009984321")</f>
        <v>http://catalog.hathitrust.org/Record/009984321</v>
      </c>
      <c r="J7563" s="1">
        <v>1862</v>
      </c>
      <c r="K7563" t="s">
        <v>11235</v>
      </c>
      <c r="L7563" t="s">
        <v>11236</v>
      </c>
    </row>
    <row r="7564" spans="1:12">
      <c r="A7564" t="s">
        <v>2109</v>
      </c>
      <c r="B7564" s="1" t="s">
        <v>2110</v>
      </c>
      <c r="F7564">
        <v>1</v>
      </c>
      <c r="G7564" t="str">
        <f>HYPERLINK("http://babel.hathitrust.org/cgi/pt?id=uc1.$b663411")</f>
        <v>http://babel.hathitrust.org/cgi/pt?id=uc1.$b663411</v>
      </c>
      <c r="H7564" t="str">
        <f>HYPERLINK("http://catalog.hathitrust.org/Record/009984353")</f>
        <v>http://catalog.hathitrust.org/Record/009984353</v>
      </c>
      <c r="J7564" s="1">
        <v>1958</v>
      </c>
      <c r="K7564" t="s">
        <v>2009</v>
      </c>
      <c r="L7564" t="s">
        <v>2010</v>
      </c>
    </row>
    <row r="7565" spans="1:12">
      <c r="A7565" t="s">
        <v>2011</v>
      </c>
      <c r="B7565" s="1" t="s">
        <v>2012</v>
      </c>
      <c r="D7565">
        <v>1</v>
      </c>
      <c r="G7565" t="str">
        <f>HYPERLINK("http://babel.hathitrust.org/cgi/pt?id=uc1.$b662282")</f>
        <v>http://babel.hathitrust.org/cgi/pt?id=uc1.$b662282</v>
      </c>
      <c r="H7565" t="str">
        <f>HYPERLINK("http://catalog.hathitrust.org/Record/009987024")</f>
        <v>http://catalog.hathitrust.org/Record/009987024</v>
      </c>
      <c r="J7565" s="1">
        <v>1872</v>
      </c>
      <c r="K7565" t="s">
        <v>10745</v>
      </c>
      <c r="L7565" t="s">
        <v>13169</v>
      </c>
    </row>
    <row r="7566" spans="1:12">
      <c r="A7566" t="s">
        <v>2013</v>
      </c>
      <c r="B7566" s="1" t="s">
        <v>2014</v>
      </c>
      <c r="F7566">
        <v>1</v>
      </c>
      <c r="G7566" t="str">
        <f>HYPERLINK("http://babel.hathitrust.org/cgi/pt?id=uc1.$b662296")</f>
        <v>http://babel.hathitrust.org/cgi/pt?id=uc1.$b662296</v>
      </c>
      <c r="H7566" t="str">
        <f>HYPERLINK("http://catalog.hathitrust.org/Record/009987033")</f>
        <v>http://catalog.hathitrust.org/Record/009987033</v>
      </c>
      <c r="J7566" s="1">
        <v>1908</v>
      </c>
      <c r="K7566" t="s">
        <v>15262</v>
      </c>
      <c r="L7566" t="s">
        <v>2015</v>
      </c>
    </row>
    <row r="7567" spans="1:12">
      <c r="A7567" t="s">
        <v>2016</v>
      </c>
      <c r="B7567" s="1" t="s">
        <v>2017</v>
      </c>
      <c r="E7567">
        <v>1</v>
      </c>
      <c r="F7567">
        <v>1</v>
      </c>
      <c r="G7567" t="str">
        <f>HYPERLINK("http://babel.hathitrust.org/cgi/pt?id=uc1.$b662307")</f>
        <v>http://babel.hathitrust.org/cgi/pt?id=uc1.$b662307</v>
      </c>
      <c r="H7567" t="str">
        <f>HYPERLINK("http://catalog.hathitrust.org/Record/009987043")</f>
        <v>http://catalog.hathitrust.org/Record/009987043</v>
      </c>
      <c r="J7567" s="1">
        <v>1833</v>
      </c>
      <c r="K7567" t="s">
        <v>2018</v>
      </c>
      <c r="L7567" t="s">
        <v>15662</v>
      </c>
    </row>
    <row r="7568" spans="1:12">
      <c r="A7568" t="s">
        <v>2019</v>
      </c>
      <c r="B7568" s="1" t="s">
        <v>2020</v>
      </c>
      <c r="F7568">
        <v>1</v>
      </c>
      <c r="G7568" t="str">
        <f>HYPERLINK("http://babel.hathitrust.org/cgi/pt?id=uc1.$b662309")</f>
        <v>http://babel.hathitrust.org/cgi/pt?id=uc1.$b662309</v>
      </c>
      <c r="H7568" t="str">
        <f>HYPERLINK("http://catalog.hathitrust.org/Record/009987044")</f>
        <v>http://catalog.hathitrust.org/Record/009987044</v>
      </c>
      <c r="J7568" s="1">
        <v>1923</v>
      </c>
      <c r="K7568" t="s">
        <v>9223</v>
      </c>
      <c r="L7568" t="s">
        <v>2021</v>
      </c>
    </row>
    <row r="7569" spans="1:12">
      <c r="A7569" t="s">
        <v>2022</v>
      </c>
      <c r="B7569" s="1" t="s">
        <v>2023</v>
      </c>
      <c r="E7569">
        <v>1</v>
      </c>
      <c r="G7569" t="str">
        <f>HYPERLINK("http://babel.hathitrust.org/cgi/pt?id=uc1.$b662433")</f>
        <v>http://babel.hathitrust.org/cgi/pt?id=uc1.$b662433</v>
      </c>
      <c r="H7569" t="str">
        <f>HYPERLINK("http://catalog.hathitrust.org/Record/009987120")</f>
        <v>http://catalog.hathitrust.org/Record/009987120</v>
      </c>
      <c r="J7569" s="1">
        <v>1913</v>
      </c>
      <c r="K7569" t="s">
        <v>2024</v>
      </c>
      <c r="L7569" t="s">
        <v>19796</v>
      </c>
    </row>
    <row r="7570" spans="1:12">
      <c r="A7570" t="s">
        <v>2025</v>
      </c>
      <c r="B7570" s="1" t="s">
        <v>2026</v>
      </c>
      <c r="F7570">
        <v>1</v>
      </c>
      <c r="G7570" t="str">
        <f>HYPERLINK("http://babel.hathitrust.org/cgi/pt?id=uc1.$b662788")</f>
        <v>http://babel.hathitrust.org/cgi/pt?id=uc1.$b662788</v>
      </c>
      <c r="H7570" t="str">
        <f>HYPERLINK("http://catalog.hathitrust.org/Record/009987367")</f>
        <v>http://catalog.hathitrust.org/Record/009987367</v>
      </c>
      <c r="J7570" s="1">
        <v>1916</v>
      </c>
      <c r="K7570" t="s">
        <v>2027</v>
      </c>
      <c r="L7570" t="s">
        <v>16742</v>
      </c>
    </row>
    <row r="7571" spans="1:12">
      <c r="A7571" t="s">
        <v>2028</v>
      </c>
      <c r="B7571" s="1" t="s">
        <v>2029</v>
      </c>
      <c r="F7571">
        <v>1</v>
      </c>
      <c r="G7571" t="str">
        <f>HYPERLINK("http://babel.hathitrust.org/cgi/pt?id=uc1.$b662791")</f>
        <v>http://babel.hathitrust.org/cgi/pt?id=uc1.$b662791</v>
      </c>
      <c r="H7571" t="str">
        <f>HYPERLINK("http://catalog.hathitrust.org/Record/009987369")</f>
        <v>http://catalog.hathitrust.org/Record/009987369</v>
      </c>
      <c r="J7571" s="1">
        <v>1850</v>
      </c>
      <c r="K7571" t="s">
        <v>2030</v>
      </c>
      <c r="L7571" t="s">
        <v>13538</v>
      </c>
    </row>
    <row r="7572" spans="1:12">
      <c r="A7572" t="s">
        <v>2031</v>
      </c>
      <c r="B7572" s="1" t="s">
        <v>2032</v>
      </c>
      <c r="F7572">
        <v>1</v>
      </c>
      <c r="G7572" t="str">
        <f>HYPERLINK("http://babel.hathitrust.org/cgi/pt?id=uc1.$b662793")</f>
        <v>http://babel.hathitrust.org/cgi/pt?id=uc1.$b662793</v>
      </c>
      <c r="H7572" t="str">
        <f>HYPERLINK("http://catalog.hathitrust.org/Record/009987371")</f>
        <v>http://catalog.hathitrust.org/Record/009987371</v>
      </c>
      <c r="J7572" s="1">
        <v>1854</v>
      </c>
      <c r="K7572" t="s">
        <v>2033</v>
      </c>
      <c r="L7572" t="s">
        <v>2034</v>
      </c>
    </row>
    <row r="7573" spans="1:12">
      <c r="A7573" t="s">
        <v>2035</v>
      </c>
      <c r="B7573" s="1" t="s">
        <v>2036</v>
      </c>
      <c r="F7573">
        <v>1</v>
      </c>
      <c r="G7573" t="str">
        <f>HYPERLINK("http://babel.hathitrust.org/cgi/pt?id=uc1.$b662800")</f>
        <v>http://babel.hathitrust.org/cgi/pt?id=uc1.$b662800</v>
      </c>
      <c r="H7573" t="str">
        <f>HYPERLINK("http://catalog.hathitrust.org/Record/009987377")</f>
        <v>http://catalog.hathitrust.org/Record/009987377</v>
      </c>
      <c r="J7573" s="1">
        <v>1917</v>
      </c>
      <c r="K7573" t="s">
        <v>2037</v>
      </c>
      <c r="L7573" t="s">
        <v>2038</v>
      </c>
    </row>
    <row r="7574" spans="1:12">
      <c r="A7574" t="s">
        <v>2039</v>
      </c>
      <c r="B7574" s="1" t="s">
        <v>2040</v>
      </c>
      <c r="F7574">
        <v>1</v>
      </c>
      <c r="G7574" t="str">
        <f>HYPERLINK("http://babel.hathitrust.org/cgi/pt?id=uc1.$b662822")</f>
        <v>http://babel.hathitrust.org/cgi/pt?id=uc1.$b662822</v>
      </c>
      <c r="H7574" t="str">
        <f>HYPERLINK("http://catalog.hathitrust.org/Record/009987390")</f>
        <v>http://catalog.hathitrust.org/Record/009987390</v>
      </c>
      <c r="J7574" s="1">
        <v>1915</v>
      </c>
      <c r="K7574" t="s">
        <v>2041</v>
      </c>
      <c r="L7574" t="s">
        <v>2042</v>
      </c>
    </row>
    <row r="7575" spans="1:12">
      <c r="A7575" t="s">
        <v>2043</v>
      </c>
      <c r="B7575" s="1" t="s">
        <v>2044</v>
      </c>
      <c r="E7575">
        <v>1</v>
      </c>
      <c r="F7575">
        <v>1</v>
      </c>
      <c r="G7575" t="str">
        <f>HYPERLINK("http://babel.hathitrust.org/cgi/pt?id=uc1.$b662825")</f>
        <v>http://babel.hathitrust.org/cgi/pt?id=uc1.$b662825</v>
      </c>
      <c r="H7575" t="str">
        <f>HYPERLINK("http://catalog.hathitrust.org/Record/009987391")</f>
        <v>http://catalog.hathitrust.org/Record/009987391</v>
      </c>
      <c r="J7575" s="1">
        <v>1881</v>
      </c>
      <c r="K7575" t="s">
        <v>2045</v>
      </c>
      <c r="L7575" t="s">
        <v>13242</v>
      </c>
    </row>
    <row r="7576" spans="1:12">
      <c r="A7576" t="s">
        <v>2046</v>
      </c>
      <c r="B7576" s="1" t="s">
        <v>2047</v>
      </c>
      <c r="F7576">
        <v>1</v>
      </c>
      <c r="G7576" t="str">
        <f>HYPERLINK("http://babel.hathitrust.org/cgi/pt?id=uc1.$b662830")</f>
        <v>http://babel.hathitrust.org/cgi/pt?id=uc1.$b662830</v>
      </c>
      <c r="H7576" t="str">
        <f>HYPERLINK("http://catalog.hathitrust.org/Record/009987395")</f>
        <v>http://catalog.hathitrust.org/Record/009987395</v>
      </c>
      <c r="J7576" s="1">
        <v>1876</v>
      </c>
      <c r="K7576" t="s">
        <v>1946</v>
      </c>
      <c r="L7576" t="s">
        <v>5700</v>
      </c>
    </row>
    <row r="7577" spans="1:12">
      <c r="A7577" t="s">
        <v>1947</v>
      </c>
      <c r="B7577" s="1" t="s">
        <v>1948</v>
      </c>
      <c r="D7577">
        <v>1</v>
      </c>
      <c r="G7577" t="str">
        <f>HYPERLINK("http://babel.hathitrust.org/cgi/pt?id=uc1.$b662902")</f>
        <v>http://babel.hathitrust.org/cgi/pt?id=uc1.$b662902</v>
      </c>
      <c r="H7577" t="str">
        <f>HYPERLINK("http://catalog.hathitrust.org/Record/009987438")</f>
        <v>http://catalog.hathitrust.org/Record/009987438</v>
      </c>
      <c r="J7577" s="1">
        <v>1871</v>
      </c>
      <c r="K7577" t="s">
        <v>1949</v>
      </c>
      <c r="L7577" t="s">
        <v>1950</v>
      </c>
    </row>
    <row r="7578" spans="1:12">
      <c r="A7578" t="s">
        <v>1951</v>
      </c>
      <c r="B7578" s="1" t="s">
        <v>1952</v>
      </c>
      <c r="F7578">
        <v>1</v>
      </c>
      <c r="G7578" t="str">
        <f>HYPERLINK("http://babel.hathitrust.org/cgi/pt?id=uc1.$b663294")</f>
        <v>http://babel.hathitrust.org/cgi/pt?id=uc1.$b663294</v>
      </c>
      <c r="H7578" t="str">
        <f>HYPERLINK("http://catalog.hathitrust.org/Record/009987693")</f>
        <v>http://catalog.hathitrust.org/Record/009987693</v>
      </c>
      <c r="J7578" s="1">
        <v>1911</v>
      </c>
      <c r="K7578" t="s">
        <v>15889</v>
      </c>
    </row>
    <row r="7579" spans="1:12">
      <c r="A7579" t="s">
        <v>1953</v>
      </c>
      <c r="B7579" s="1" t="s">
        <v>1954</v>
      </c>
      <c r="F7579">
        <v>1</v>
      </c>
      <c r="G7579" t="str">
        <f>HYPERLINK("http://babel.hathitrust.org/cgi/pt?id=uc1.$b663304")</f>
        <v>http://babel.hathitrust.org/cgi/pt?id=uc1.$b663304</v>
      </c>
      <c r="H7579" t="str">
        <f>HYPERLINK("http://catalog.hathitrust.org/Record/009987699")</f>
        <v>http://catalog.hathitrust.org/Record/009987699</v>
      </c>
      <c r="J7579" s="1">
        <v>1922</v>
      </c>
      <c r="K7579" t="s">
        <v>13107</v>
      </c>
      <c r="L7579" t="s">
        <v>13108</v>
      </c>
    </row>
    <row r="7580" spans="1:12">
      <c r="A7580" t="s">
        <v>1955</v>
      </c>
      <c r="B7580" s="1" t="s">
        <v>1956</v>
      </c>
      <c r="F7580">
        <v>1</v>
      </c>
      <c r="G7580" t="str">
        <f>HYPERLINK("http://babel.hathitrust.org/cgi/pt?id=uc1.$b663307")</f>
        <v>http://babel.hathitrust.org/cgi/pt?id=uc1.$b663307</v>
      </c>
      <c r="H7580" t="str">
        <f>HYPERLINK("http://catalog.hathitrust.org/Record/009987701")</f>
        <v>http://catalog.hathitrust.org/Record/009987701</v>
      </c>
      <c r="J7580" s="1">
        <v>1899</v>
      </c>
      <c r="K7580" t="s">
        <v>1957</v>
      </c>
      <c r="L7580" t="s">
        <v>19705</v>
      </c>
    </row>
    <row r="7581" spans="1:12">
      <c r="A7581" t="s">
        <v>1958</v>
      </c>
      <c r="B7581" s="1" t="s">
        <v>1959</v>
      </c>
      <c r="F7581">
        <v>1</v>
      </c>
      <c r="G7581" t="str">
        <f>HYPERLINK("http://babel.hathitrust.org/cgi/pt?id=uc1.$b658902")</f>
        <v>http://babel.hathitrust.org/cgi/pt?id=uc1.$b658902</v>
      </c>
      <c r="H7581" t="str">
        <f>HYPERLINK("http://catalog.hathitrust.org/Record/009988279")</f>
        <v>http://catalog.hathitrust.org/Record/009988279</v>
      </c>
      <c r="J7581" s="1">
        <v>1920</v>
      </c>
      <c r="K7581" t="s">
        <v>1960</v>
      </c>
      <c r="L7581" t="s">
        <v>1961</v>
      </c>
    </row>
    <row r="7582" spans="1:12">
      <c r="A7582" t="s">
        <v>1962</v>
      </c>
      <c r="B7582" s="1" t="s">
        <v>1963</v>
      </c>
      <c r="F7582">
        <v>1</v>
      </c>
      <c r="G7582" t="str">
        <f>HYPERLINK("http://babel.hathitrust.org/cgi/pt?id=uc1.$b352039")</f>
        <v>http://babel.hathitrust.org/cgi/pt?id=uc1.$b352039</v>
      </c>
      <c r="H7582" t="str">
        <f>HYPERLINK("http://catalog.hathitrust.org/Record/009996986")</f>
        <v>http://catalog.hathitrust.org/Record/009996986</v>
      </c>
      <c r="J7582" s="1">
        <v>1963</v>
      </c>
      <c r="K7582" t="s">
        <v>1964</v>
      </c>
      <c r="L7582" t="s">
        <v>17393</v>
      </c>
    </row>
    <row r="7583" spans="1:12">
      <c r="A7583" t="s">
        <v>1965</v>
      </c>
      <c r="B7583" s="1" t="s">
        <v>1966</v>
      </c>
      <c r="E7583">
        <v>1</v>
      </c>
      <c r="G7583" t="str">
        <f>HYPERLINK("http://babel.hathitrust.org/cgi/pt?id=uc1.b3310823")</f>
        <v>http://babel.hathitrust.org/cgi/pt?id=uc1.b3310823</v>
      </c>
      <c r="H7583" t="str">
        <f>HYPERLINK("http://catalog.hathitrust.org/Record/010053225")</f>
        <v>http://catalog.hathitrust.org/Record/010053225</v>
      </c>
      <c r="I7583" s="1" t="s">
        <v>20796</v>
      </c>
      <c r="J7583" s="1">
        <v>1880</v>
      </c>
      <c r="K7583" t="s">
        <v>14542</v>
      </c>
      <c r="L7583" t="s">
        <v>17963</v>
      </c>
    </row>
    <row r="7584" spans="1:12">
      <c r="A7584" t="s">
        <v>1967</v>
      </c>
      <c r="B7584" s="1" t="s">
        <v>1966</v>
      </c>
      <c r="E7584">
        <v>1</v>
      </c>
      <c r="G7584" t="str">
        <f>HYPERLINK("http://babel.hathitrust.org/cgi/pt?id=uc1.b3310824")</f>
        <v>http://babel.hathitrust.org/cgi/pt?id=uc1.b3310824</v>
      </c>
      <c r="H7584" t="str">
        <f>HYPERLINK("http://catalog.hathitrust.org/Record/010053225")</f>
        <v>http://catalog.hathitrust.org/Record/010053225</v>
      </c>
      <c r="I7584" s="1" t="s">
        <v>20799</v>
      </c>
      <c r="J7584" s="1">
        <v>1880</v>
      </c>
      <c r="K7584" t="s">
        <v>14542</v>
      </c>
      <c r="L7584" t="s">
        <v>17963</v>
      </c>
    </row>
    <row r="7585" spans="1:12">
      <c r="A7585" t="s">
        <v>1968</v>
      </c>
      <c r="B7585" s="1" t="s">
        <v>1966</v>
      </c>
      <c r="E7585">
        <v>1</v>
      </c>
      <c r="G7585" t="str">
        <f>HYPERLINK("http://babel.hathitrust.org/cgi/pt?id=uc1.b3310825")</f>
        <v>http://babel.hathitrust.org/cgi/pt?id=uc1.b3310825</v>
      </c>
      <c r="H7585" t="str">
        <f>HYPERLINK("http://catalog.hathitrust.org/Record/010053225")</f>
        <v>http://catalog.hathitrust.org/Record/010053225</v>
      </c>
      <c r="I7585" s="1" t="s">
        <v>20801</v>
      </c>
      <c r="J7585" s="1">
        <v>1880</v>
      </c>
      <c r="K7585" t="s">
        <v>14542</v>
      </c>
      <c r="L7585" t="s">
        <v>17963</v>
      </c>
    </row>
    <row r="7586" spans="1:12">
      <c r="A7586" t="s">
        <v>1969</v>
      </c>
      <c r="B7586" s="1" t="s">
        <v>1966</v>
      </c>
      <c r="E7586">
        <v>1</v>
      </c>
      <c r="G7586" t="str">
        <f>HYPERLINK("http://babel.hathitrust.org/cgi/pt?id=uc1.b3310826")</f>
        <v>http://babel.hathitrust.org/cgi/pt?id=uc1.b3310826</v>
      </c>
      <c r="H7586" t="str">
        <f>HYPERLINK("http://catalog.hathitrust.org/Record/010053225")</f>
        <v>http://catalog.hathitrust.org/Record/010053225</v>
      </c>
      <c r="I7586" s="1" t="s">
        <v>20803</v>
      </c>
      <c r="J7586" s="1">
        <v>1880</v>
      </c>
      <c r="K7586" t="s">
        <v>14542</v>
      </c>
      <c r="L7586" t="s">
        <v>17963</v>
      </c>
    </row>
    <row r="7587" spans="1:12">
      <c r="A7587" t="s">
        <v>1970</v>
      </c>
      <c r="B7587" s="1" t="s">
        <v>1971</v>
      </c>
      <c r="F7587">
        <v>1</v>
      </c>
      <c r="G7587" t="str">
        <f>HYPERLINK("http://babel.hathitrust.org/cgi/pt?id=uc1.b3310854")</f>
        <v>http://babel.hathitrust.org/cgi/pt?id=uc1.b3310854</v>
      </c>
      <c r="H7587" t="str">
        <f>HYPERLINK("http://catalog.hathitrust.org/Record/010053229")</f>
        <v>http://catalog.hathitrust.org/Record/010053229</v>
      </c>
      <c r="I7587" s="1" t="s">
        <v>20796</v>
      </c>
      <c r="J7587" s="1">
        <v>1883</v>
      </c>
      <c r="K7587" t="s">
        <v>1972</v>
      </c>
      <c r="L7587" t="s">
        <v>17516</v>
      </c>
    </row>
    <row r="7588" spans="1:12">
      <c r="A7588" t="s">
        <v>1973</v>
      </c>
      <c r="B7588" s="1" t="s">
        <v>1971</v>
      </c>
      <c r="F7588">
        <v>1</v>
      </c>
      <c r="G7588" t="str">
        <f>HYPERLINK("http://babel.hathitrust.org/cgi/pt?id=uc1.b3310855")</f>
        <v>http://babel.hathitrust.org/cgi/pt?id=uc1.b3310855</v>
      </c>
      <c r="H7588" t="str">
        <f>HYPERLINK("http://catalog.hathitrust.org/Record/010053229")</f>
        <v>http://catalog.hathitrust.org/Record/010053229</v>
      </c>
      <c r="I7588" s="1" t="s">
        <v>20799</v>
      </c>
      <c r="J7588" s="1">
        <v>1883</v>
      </c>
      <c r="K7588" t="s">
        <v>1972</v>
      </c>
      <c r="L7588" t="s">
        <v>17516</v>
      </c>
    </row>
    <row r="7589" spans="1:12">
      <c r="A7589" t="s">
        <v>1974</v>
      </c>
      <c r="B7589" s="1" t="s">
        <v>1975</v>
      </c>
      <c r="F7589">
        <v>1</v>
      </c>
      <c r="G7589" t="str">
        <f>HYPERLINK("http://babel.hathitrust.org/cgi/pt?id=uc1.b4300285")</f>
        <v>http://babel.hathitrust.org/cgi/pt?id=uc1.b4300285</v>
      </c>
      <c r="H7589" t="str">
        <f>HYPERLINK("http://catalog.hathitrust.org/Record/010072816")</f>
        <v>http://catalog.hathitrust.org/Record/010072816</v>
      </c>
      <c r="J7589" s="1">
        <v>1920</v>
      </c>
      <c r="K7589" t="s">
        <v>1976</v>
      </c>
      <c r="L7589" t="s">
        <v>19783</v>
      </c>
    </row>
    <row r="7590" spans="1:12">
      <c r="A7590" t="s">
        <v>1977</v>
      </c>
      <c r="B7590" s="1" t="s">
        <v>1978</v>
      </c>
      <c r="F7590">
        <v>1</v>
      </c>
      <c r="G7590" t="str">
        <f>HYPERLINK("http://babel.hathitrust.org/cgi/pt?id=uc1.b4300302")</f>
        <v>http://babel.hathitrust.org/cgi/pt?id=uc1.b4300302</v>
      </c>
      <c r="H7590" t="str">
        <f>HYPERLINK("http://catalog.hathitrust.org/Record/010072828")</f>
        <v>http://catalog.hathitrust.org/Record/010072828</v>
      </c>
      <c r="J7590" s="1">
        <v>1869</v>
      </c>
      <c r="K7590" t="s">
        <v>19666</v>
      </c>
      <c r="L7590" t="s">
        <v>19667</v>
      </c>
    </row>
    <row r="7591" spans="1:12">
      <c r="A7591" t="s">
        <v>1979</v>
      </c>
      <c r="B7591" s="1" t="s">
        <v>1980</v>
      </c>
      <c r="F7591">
        <v>1</v>
      </c>
      <c r="G7591" t="str">
        <f>HYPERLINK("http://babel.hathitrust.org/cgi/pt?id=uc1.b4306437")</f>
        <v>http://babel.hathitrust.org/cgi/pt?id=uc1.b4306437</v>
      </c>
      <c r="H7591" t="str">
        <f>HYPERLINK("http://catalog.hathitrust.org/Record/010073062")</f>
        <v>http://catalog.hathitrust.org/Record/010073062</v>
      </c>
      <c r="J7591" s="1">
        <v>1906</v>
      </c>
      <c r="K7591" t="s">
        <v>1981</v>
      </c>
      <c r="L7591" t="s">
        <v>18289</v>
      </c>
    </row>
    <row r="7592" spans="1:12">
      <c r="A7592" t="s">
        <v>1982</v>
      </c>
      <c r="B7592" s="1" t="s">
        <v>1983</v>
      </c>
      <c r="C7592">
        <v>1</v>
      </c>
      <c r="D7592">
        <v>1</v>
      </c>
      <c r="G7592" t="str">
        <f>HYPERLINK("http://babel.hathitrust.org/cgi/pt?id=uc1.b4320021")</f>
        <v>http://babel.hathitrust.org/cgi/pt?id=uc1.b4320021</v>
      </c>
      <c r="H7592" t="str">
        <f>HYPERLINK("http://catalog.hathitrust.org/Record/010075813")</f>
        <v>http://catalog.hathitrust.org/Record/010075813</v>
      </c>
      <c r="J7592" s="1">
        <v>1914</v>
      </c>
      <c r="K7592" t="s">
        <v>1984</v>
      </c>
      <c r="L7592" t="s">
        <v>20707</v>
      </c>
    </row>
    <row r="7593" spans="1:12">
      <c r="A7593" t="s">
        <v>1985</v>
      </c>
      <c r="B7593" s="1" t="s">
        <v>1986</v>
      </c>
      <c r="F7593">
        <v>1</v>
      </c>
      <c r="G7593" t="str">
        <f>HYPERLINK("http://babel.hathitrust.org/cgi/pt?id=uc1.b4320028")</f>
        <v>http://babel.hathitrust.org/cgi/pt?id=uc1.b4320028</v>
      </c>
      <c r="H7593" t="str">
        <f>HYPERLINK("http://catalog.hathitrust.org/Record/010075817")</f>
        <v>http://catalog.hathitrust.org/Record/010075817</v>
      </c>
      <c r="J7593" s="1">
        <v>1961</v>
      </c>
      <c r="K7593" t="s">
        <v>20427</v>
      </c>
      <c r="L7593" t="s">
        <v>20428</v>
      </c>
    </row>
    <row r="7594" spans="1:12">
      <c r="A7594" t="s">
        <v>1987</v>
      </c>
      <c r="B7594" s="1" t="s">
        <v>1988</v>
      </c>
      <c r="F7594">
        <v>1</v>
      </c>
      <c r="G7594" t="str">
        <f>HYPERLINK("http://babel.hathitrust.org/cgi/pt?id=uc1.b4320040")</f>
        <v>http://babel.hathitrust.org/cgi/pt?id=uc1.b4320040</v>
      </c>
      <c r="H7594" t="str">
        <f>HYPERLINK("http://catalog.hathitrust.org/Record/010075826")</f>
        <v>http://catalog.hathitrust.org/Record/010075826</v>
      </c>
      <c r="J7594" s="1">
        <v>1911</v>
      </c>
      <c r="K7594" t="s">
        <v>3722</v>
      </c>
      <c r="L7594" t="s">
        <v>10163</v>
      </c>
    </row>
    <row r="7595" spans="1:12">
      <c r="A7595" t="s">
        <v>1989</v>
      </c>
      <c r="B7595" s="1" t="s">
        <v>1990</v>
      </c>
      <c r="F7595">
        <v>1</v>
      </c>
      <c r="G7595" t="str">
        <f>HYPERLINK("http://babel.hathitrust.org/cgi/pt?id=uc1.b4320255")</f>
        <v>http://babel.hathitrust.org/cgi/pt?id=uc1.b4320255</v>
      </c>
      <c r="H7595" t="str">
        <f>HYPERLINK("http://catalog.hathitrust.org/Record/010075956")</f>
        <v>http://catalog.hathitrust.org/Record/010075956</v>
      </c>
      <c r="J7595" s="1">
        <v>1903</v>
      </c>
      <c r="K7595" t="s">
        <v>1991</v>
      </c>
      <c r="L7595" t="s">
        <v>13895</v>
      </c>
    </row>
    <row r="7596" spans="1:12">
      <c r="A7596" t="s">
        <v>1992</v>
      </c>
      <c r="B7596" s="1" t="s">
        <v>1993</v>
      </c>
      <c r="E7596">
        <v>1</v>
      </c>
      <c r="G7596" t="str">
        <f>HYPERLINK("http://babel.hathitrust.org/cgi/pt?id=uc1.b4320274")</f>
        <v>http://babel.hathitrust.org/cgi/pt?id=uc1.b4320274</v>
      </c>
      <c r="H7596" t="str">
        <f>HYPERLINK("http://catalog.hathitrust.org/Record/010075964")</f>
        <v>http://catalog.hathitrust.org/Record/010075964</v>
      </c>
      <c r="I7596" s="1" t="s">
        <v>20916</v>
      </c>
      <c r="J7596" s="1">
        <v>1888</v>
      </c>
      <c r="K7596" t="s">
        <v>1994</v>
      </c>
      <c r="L7596" t="s">
        <v>20807</v>
      </c>
    </row>
    <row r="7597" spans="1:12">
      <c r="A7597" t="s">
        <v>1995</v>
      </c>
      <c r="B7597" s="1" t="s">
        <v>1993</v>
      </c>
      <c r="E7597">
        <v>1</v>
      </c>
      <c r="G7597" t="str">
        <f>HYPERLINK("http://babel.hathitrust.org/cgi/pt?id=uc1.b4320275")</f>
        <v>http://babel.hathitrust.org/cgi/pt?id=uc1.b4320275</v>
      </c>
      <c r="H7597" t="str">
        <f>HYPERLINK("http://catalog.hathitrust.org/Record/010075964")</f>
        <v>http://catalog.hathitrust.org/Record/010075964</v>
      </c>
      <c r="I7597" s="1" t="s">
        <v>20755</v>
      </c>
      <c r="J7597" s="1">
        <v>1888</v>
      </c>
      <c r="K7597" t="s">
        <v>1994</v>
      </c>
      <c r="L7597" t="s">
        <v>20807</v>
      </c>
    </row>
    <row r="7598" spans="1:12">
      <c r="A7598" t="s">
        <v>1996</v>
      </c>
      <c r="B7598" s="1" t="s">
        <v>1997</v>
      </c>
      <c r="F7598">
        <v>1</v>
      </c>
      <c r="G7598" t="str">
        <f>HYPERLINK("http://babel.hathitrust.org/cgi/pt?id=uc1.b4320321")</f>
        <v>http://babel.hathitrust.org/cgi/pt?id=uc1.b4320321</v>
      </c>
      <c r="H7598" t="str">
        <f>HYPERLINK("http://catalog.hathitrust.org/Record/010075997")</f>
        <v>http://catalog.hathitrust.org/Record/010075997</v>
      </c>
      <c r="J7598" s="1">
        <v>1909</v>
      </c>
      <c r="K7598" t="s">
        <v>1998</v>
      </c>
      <c r="L7598" t="s">
        <v>20193</v>
      </c>
    </row>
    <row r="7599" spans="1:12">
      <c r="A7599" t="s">
        <v>1999</v>
      </c>
      <c r="B7599" s="1" t="s">
        <v>2000</v>
      </c>
      <c r="F7599">
        <v>1</v>
      </c>
      <c r="G7599" t="str">
        <f>HYPERLINK("http://babel.hathitrust.org/cgi/pt?id=uc1.b4320419")</f>
        <v>http://babel.hathitrust.org/cgi/pt?id=uc1.b4320419</v>
      </c>
      <c r="H7599" t="str">
        <f>HYPERLINK("http://catalog.hathitrust.org/Record/010076054")</f>
        <v>http://catalog.hathitrust.org/Record/010076054</v>
      </c>
      <c r="J7599" s="1">
        <v>1907</v>
      </c>
      <c r="K7599" t="s">
        <v>2001</v>
      </c>
      <c r="L7599" t="s">
        <v>19718</v>
      </c>
    </row>
    <row r="7600" spans="1:12">
      <c r="A7600" t="s">
        <v>2002</v>
      </c>
      <c r="B7600" s="1" t="s">
        <v>2003</v>
      </c>
      <c r="F7600">
        <v>1</v>
      </c>
      <c r="G7600" t="str">
        <f>HYPERLINK("http://babel.hathitrust.org/cgi/pt?id=uc1.b4320422")</f>
        <v>http://babel.hathitrust.org/cgi/pt?id=uc1.b4320422</v>
      </c>
      <c r="H7600" t="str">
        <f>HYPERLINK("http://catalog.hathitrust.org/Record/010076057")</f>
        <v>http://catalog.hathitrust.org/Record/010076057</v>
      </c>
      <c r="J7600" s="1">
        <v>1962</v>
      </c>
      <c r="K7600" t="s">
        <v>2004</v>
      </c>
      <c r="L7600" t="s">
        <v>18391</v>
      </c>
    </row>
    <row r="7601" spans="1:12">
      <c r="A7601" t="s">
        <v>2005</v>
      </c>
      <c r="B7601" s="1" t="s">
        <v>2006</v>
      </c>
      <c r="F7601">
        <v>1</v>
      </c>
      <c r="G7601" t="str">
        <f>HYPERLINK("http://babel.hathitrust.org/cgi/pt?id=uc1.b4320445")</f>
        <v>http://babel.hathitrust.org/cgi/pt?id=uc1.b4320445</v>
      </c>
      <c r="H7601" t="str">
        <f>HYPERLINK("http://catalog.hathitrust.org/Record/010076071")</f>
        <v>http://catalog.hathitrust.org/Record/010076071</v>
      </c>
      <c r="J7601" s="1">
        <v>1877</v>
      </c>
      <c r="K7601" t="s">
        <v>4496</v>
      </c>
      <c r="L7601" t="s">
        <v>19827</v>
      </c>
    </row>
    <row r="7602" spans="1:12">
      <c r="A7602" t="s">
        <v>2007</v>
      </c>
      <c r="B7602" s="1" t="s">
        <v>2008</v>
      </c>
      <c r="E7602">
        <v>1</v>
      </c>
      <c r="G7602" t="str">
        <f>HYPERLINK("http://babel.hathitrust.org/cgi/pt?id=uc1.b3386186")</f>
        <v>http://babel.hathitrust.org/cgi/pt?id=uc1.b3386186</v>
      </c>
      <c r="H7602" t="str">
        <f>HYPERLINK("http://catalog.hathitrust.org/Record/010097417")</f>
        <v>http://catalog.hathitrust.org/Record/010097417</v>
      </c>
      <c r="J7602" s="1">
        <v>1919</v>
      </c>
      <c r="K7602" t="s">
        <v>1897</v>
      </c>
      <c r="L7602" t="s">
        <v>19211</v>
      </c>
    </row>
    <row r="7603" spans="1:12">
      <c r="A7603" t="s">
        <v>1898</v>
      </c>
      <c r="B7603" s="1" t="s">
        <v>1899</v>
      </c>
      <c r="E7603">
        <v>1</v>
      </c>
      <c r="F7603">
        <v>1</v>
      </c>
      <c r="G7603" t="str">
        <f>HYPERLINK("http://babel.hathitrust.org/cgi/pt?id=uc1.b3386320")</f>
        <v>http://babel.hathitrust.org/cgi/pt?id=uc1.b3386320</v>
      </c>
      <c r="H7603" t="str">
        <f>HYPERLINK("http://catalog.hathitrust.org/Record/010097494")</f>
        <v>http://catalog.hathitrust.org/Record/010097494</v>
      </c>
      <c r="J7603" s="1">
        <v>1919</v>
      </c>
      <c r="K7603" t="s">
        <v>9748</v>
      </c>
      <c r="L7603" t="s">
        <v>17236</v>
      </c>
    </row>
    <row r="7604" spans="1:12">
      <c r="A7604" t="s">
        <v>1900</v>
      </c>
      <c r="B7604" s="1" t="s">
        <v>1901</v>
      </c>
      <c r="E7604">
        <v>1</v>
      </c>
      <c r="G7604" t="str">
        <f>HYPERLINK("http://babel.hathitrust.org/cgi/pt?id=uc1.b3569187")</f>
        <v>http://babel.hathitrust.org/cgi/pt?id=uc1.b3569187</v>
      </c>
      <c r="H7604" t="str">
        <f>HYPERLINK("http://catalog.hathitrust.org/Record/010118842")</f>
        <v>http://catalog.hathitrust.org/Record/010118842</v>
      </c>
      <c r="J7604" s="1">
        <v>1879</v>
      </c>
      <c r="K7604" t="s">
        <v>20473</v>
      </c>
      <c r="L7604" t="s">
        <v>20467</v>
      </c>
    </row>
    <row r="7605" spans="1:12">
      <c r="A7605" t="s">
        <v>1902</v>
      </c>
      <c r="B7605" s="1" t="s">
        <v>1903</v>
      </c>
      <c r="F7605">
        <v>1</v>
      </c>
      <c r="G7605" t="str">
        <f>HYPERLINK("http://babel.hathitrust.org/cgi/pt?id=uc1.b3629934")</f>
        <v>http://babel.hathitrust.org/cgi/pt?id=uc1.b3629934</v>
      </c>
      <c r="H7605" t="str">
        <f>HYPERLINK("http://catalog.hathitrust.org/Record/010120602")</f>
        <v>http://catalog.hathitrust.org/Record/010120602</v>
      </c>
      <c r="J7605" s="1">
        <v>1886</v>
      </c>
      <c r="K7605" t="s">
        <v>13444</v>
      </c>
      <c r="L7605" t="s">
        <v>15226</v>
      </c>
    </row>
    <row r="7606" spans="1:12">
      <c r="A7606" t="s">
        <v>1904</v>
      </c>
      <c r="B7606" s="1" t="s">
        <v>1905</v>
      </c>
      <c r="F7606">
        <v>1</v>
      </c>
      <c r="G7606" t="str">
        <f>HYPERLINK("http://babel.hathitrust.org/cgi/pt?id=uc1.b3630107")</f>
        <v>http://babel.hathitrust.org/cgi/pt?id=uc1.b3630107</v>
      </c>
      <c r="H7606" t="str">
        <f>HYPERLINK("http://catalog.hathitrust.org/Record/010120706")</f>
        <v>http://catalog.hathitrust.org/Record/010120706</v>
      </c>
      <c r="J7606" s="1">
        <v>1879</v>
      </c>
      <c r="K7606" t="s">
        <v>8174</v>
      </c>
      <c r="L7606" t="s">
        <v>8175</v>
      </c>
    </row>
    <row r="7607" spans="1:12">
      <c r="A7607" t="s">
        <v>1906</v>
      </c>
      <c r="B7607" s="1" t="s">
        <v>1907</v>
      </c>
      <c r="F7607">
        <v>1</v>
      </c>
      <c r="G7607" t="str">
        <f>HYPERLINK("http://babel.hathitrust.org/cgi/pt?id=uc1.b3630112")</f>
        <v>http://babel.hathitrust.org/cgi/pt?id=uc1.b3630112</v>
      </c>
      <c r="H7607" t="str">
        <f>HYPERLINK("http://catalog.hathitrust.org/Record/010120709")</f>
        <v>http://catalog.hathitrust.org/Record/010120709</v>
      </c>
      <c r="J7607" s="1">
        <v>1956</v>
      </c>
      <c r="K7607" t="s">
        <v>1908</v>
      </c>
      <c r="L7607" t="s">
        <v>18973</v>
      </c>
    </row>
    <row r="7608" spans="1:12">
      <c r="A7608" t="s">
        <v>1909</v>
      </c>
      <c r="B7608" s="1" t="s">
        <v>1910</v>
      </c>
      <c r="E7608">
        <v>1</v>
      </c>
      <c r="G7608" t="str">
        <f>HYPERLINK("http://babel.hathitrust.org/cgi/pt?id=uc1.b3741660")</f>
        <v>http://babel.hathitrust.org/cgi/pt?id=uc1.b3741660</v>
      </c>
      <c r="H7608" t="str">
        <f>HYPERLINK("http://catalog.hathitrust.org/Record/010155326")</f>
        <v>http://catalog.hathitrust.org/Record/010155326</v>
      </c>
      <c r="J7608" s="1">
        <v>1917</v>
      </c>
      <c r="K7608" t="s">
        <v>1911</v>
      </c>
      <c r="L7608" t="s">
        <v>19211</v>
      </c>
    </row>
    <row r="7609" spans="1:12">
      <c r="A7609" t="s">
        <v>1912</v>
      </c>
      <c r="B7609" s="1" t="s">
        <v>1913</v>
      </c>
      <c r="F7609">
        <v>1</v>
      </c>
      <c r="G7609" t="str">
        <f>HYPERLINK("http://babel.hathitrust.org/cgi/pt?id=uc1.b3337717")</f>
        <v>http://babel.hathitrust.org/cgi/pt?id=uc1.b3337717</v>
      </c>
      <c r="H7609" t="str">
        <f>HYPERLINK("http://catalog.hathitrust.org/Record/010309602")</f>
        <v>http://catalog.hathitrust.org/Record/010309602</v>
      </c>
      <c r="J7609" s="1">
        <v>1875</v>
      </c>
      <c r="K7609" t="s">
        <v>1914</v>
      </c>
      <c r="L7609" t="s">
        <v>15226</v>
      </c>
    </row>
    <row r="7610" spans="1:12">
      <c r="A7610" t="s">
        <v>1915</v>
      </c>
      <c r="B7610" s="1" t="s">
        <v>1916</v>
      </c>
      <c r="F7610">
        <v>1</v>
      </c>
      <c r="G7610" t="str">
        <f>HYPERLINK("http://babel.hathitrust.org/cgi/pt?id=uc1.b3337753")</f>
        <v>http://babel.hathitrust.org/cgi/pt?id=uc1.b3337753</v>
      </c>
      <c r="H7610" t="str">
        <f>HYPERLINK("http://catalog.hathitrust.org/Record/010309615")</f>
        <v>http://catalog.hathitrust.org/Record/010309615</v>
      </c>
      <c r="I7610" s="1" t="s">
        <v>20796</v>
      </c>
      <c r="J7610" s="1">
        <v>1824</v>
      </c>
      <c r="K7610" t="s">
        <v>1917</v>
      </c>
      <c r="L7610" t="s">
        <v>17879</v>
      </c>
    </row>
    <row r="7611" spans="1:12">
      <c r="A7611" t="s">
        <v>1918</v>
      </c>
      <c r="B7611" s="1" t="s">
        <v>1916</v>
      </c>
      <c r="F7611">
        <v>1</v>
      </c>
      <c r="G7611" t="str">
        <f>HYPERLINK("http://babel.hathitrust.org/cgi/pt?id=uc1.b3337754")</f>
        <v>http://babel.hathitrust.org/cgi/pt?id=uc1.b3337754</v>
      </c>
      <c r="H7611" t="str">
        <f>HYPERLINK("http://catalog.hathitrust.org/Record/010309615")</f>
        <v>http://catalog.hathitrust.org/Record/010309615</v>
      </c>
      <c r="I7611" s="1" t="s">
        <v>20799</v>
      </c>
      <c r="J7611" s="1">
        <v>1824</v>
      </c>
      <c r="K7611" t="s">
        <v>1917</v>
      </c>
      <c r="L7611" t="s">
        <v>17879</v>
      </c>
    </row>
    <row r="7612" spans="1:12">
      <c r="A7612" t="s">
        <v>1919</v>
      </c>
      <c r="B7612" s="1" t="s">
        <v>1916</v>
      </c>
      <c r="F7612">
        <v>1</v>
      </c>
      <c r="G7612" t="str">
        <f>HYPERLINK("http://babel.hathitrust.org/cgi/pt?id=uc1.b3337755")</f>
        <v>http://babel.hathitrust.org/cgi/pt?id=uc1.b3337755</v>
      </c>
      <c r="H7612" t="str">
        <f>HYPERLINK("http://catalog.hathitrust.org/Record/010309615")</f>
        <v>http://catalog.hathitrust.org/Record/010309615</v>
      </c>
      <c r="I7612" s="1" t="s">
        <v>20801</v>
      </c>
      <c r="J7612" s="1">
        <v>1824</v>
      </c>
      <c r="K7612" t="s">
        <v>1917</v>
      </c>
      <c r="L7612" t="s">
        <v>17879</v>
      </c>
    </row>
    <row r="7613" spans="1:12">
      <c r="A7613" t="s">
        <v>1920</v>
      </c>
      <c r="B7613" s="1" t="s">
        <v>1916</v>
      </c>
      <c r="F7613">
        <v>1</v>
      </c>
      <c r="G7613" t="str">
        <f>HYPERLINK("http://babel.hathitrust.org/cgi/pt?id=uc1.b3337782")</f>
        <v>http://babel.hathitrust.org/cgi/pt?id=uc1.b3337782</v>
      </c>
      <c r="H7613" t="str">
        <f>HYPERLINK("http://catalog.hathitrust.org/Record/010309615")</f>
        <v>http://catalog.hathitrust.org/Record/010309615</v>
      </c>
      <c r="I7613" s="1" t="s">
        <v>20803</v>
      </c>
      <c r="J7613" s="1">
        <v>1824</v>
      </c>
      <c r="K7613" t="s">
        <v>1917</v>
      </c>
      <c r="L7613" t="s">
        <v>17879</v>
      </c>
    </row>
    <row r="7614" spans="1:12">
      <c r="A7614" t="s">
        <v>1921</v>
      </c>
      <c r="B7614" s="1" t="s">
        <v>1922</v>
      </c>
      <c r="F7614">
        <v>1</v>
      </c>
      <c r="G7614" t="str">
        <f>HYPERLINK("http://babel.hathitrust.org/cgi/pt?id=uc1.b3337767")</f>
        <v>http://babel.hathitrust.org/cgi/pt?id=uc1.b3337767</v>
      </c>
      <c r="H7614" t="str">
        <f>HYPERLINK("http://catalog.hathitrust.org/Record/010309620")</f>
        <v>http://catalog.hathitrust.org/Record/010309620</v>
      </c>
      <c r="J7614" s="1">
        <v>1910</v>
      </c>
      <c r="K7614" t="s">
        <v>13954</v>
      </c>
      <c r="L7614" t="s">
        <v>19690</v>
      </c>
    </row>
    <row r="7615" spans="1:12">
      <c r="A7615" t="s">
        <v>1923</v>
      </c>
      <c r="B7615" s="1" t="s">
        <v>1924</v>
      </c>
      <c r="F7615">
        <v>1</v>
      </c>
      <c r="G7615" t="str">
        <f>HYPERLINK("http://babel.hathitrust.org/cgi/pt?id=uc1.b3337812")</f>
        <v>http://babel.hathitrust.org/cgi/pt?id=uc1.b3337812</v>
      </c>
      <c r="H7615" t="str">
        <f>HYPERLINK("http://catalog.hathitrust.org/Record/010309648")</f>
        <v>http://catalog.hathitrust.org/Record/010309648</v>
      </c>
      <c r="J7615" s="1">
        <v>1931</v>
      </c>
      <c r="K7615" t="s">
        <v>17795</v>
      </c>
      <c r="L7615" t="s">
        <v>1925</v>
      </c>
    </row>
    <row r="7616" spans="1:12">
      <c r="A7616" t="s">
        <v>1926</v>
      </c>
      <c r="B7616" s="1" t="s">
        <v>1927</v>
      </c>
      <c r="F7616">
        <v>1</v>
      </c>
      <c r="G7616" t="str">
        <f>HYPERLINK("http://babel.hathitrust.org/cgi/pt?id=uc1.b3337815")</f>
        <v>http://babel.hathitrust.org/cgi/pt?id=uc1.b3337815</v>
      </c>
      <c r="H7616" t="str">
        <f>HYPERLINK("http://catalog.hathitrust.org/Record/010309650")</f>
        <v>http://catalog.hathitrust.org/Record/010309650</v>
      </c>
      <c r="J7616" s="1">
        <v>1885</v>
      </c>
      <c r="K7616" t="s">
        <v>1928</v>
      </c>
      <c r="L7616" t="s">
        <v>19211</v>
      </c>
    </row>
    <row r="7617" spans="1:12">
      <c r="A7617" t="s">
        <v>1929</v>
      </c>
      <c r="B7617" s="1" t="s">
        <v>1930</v>
      </c>
      <c r="F7617">
        <v>1</v>
      </c>
      <c r="G7617" t="str">
        <f>HYPERLINK("http://babel.hathitrust.org/cgi/pt?id=uc1.b3337817")</f>
        <v>http://babel.hathitrust.org/cgi/pt?id=uc1.b3337817</v>
      </c>
      <c r="H7617" t="str">
        <f>HYPERLINK("http://catalog.hathitrust.org/Record/010309652")</f>
        <v>http://catalog.hathitrust.org/Record/010309652</v>
      </c>
      <c r="J7617" s="1">
        <v>1897</v>
      </c>
      <c r="K7617" t="s">
        <v>1931</v>
      </c>
      <c r="L7617" t="s">
        <v>19211</v>
      </c>
    </row>
    <row r="7618" spans="1:12">
      <c r="A7618" t="s">
        <v>1932</v>
      </c>
      <c r="B7618" s="1" t="s">
        <v>1933</v>
      </c>
      <c r="F7618">
        <v>1</v>
      </c>
      <c r="G7618" t="str">
        <f>HYPERLINK("http://babel.hathitrust.org/cgi/pt?id=uc1.b3240069")</f>
        <v>http://babel.hathitrust.org/cgi/pt?id=uc1.b3240069</v>
      </c>
      <c r="H7618" t="str">
        <f>HYPERLINK("http://catalog.hathitrust.org/Record/010316456")</f>
        <v>http://catalog.hathitrust.org/Record/010316456</v>
      </c>
      <c r="J7618" s="1">
        <v>1910</v>
      </c>
      <c r="K7618" t="s">
        <v>1934</v>
      </c>
      <c r="L7618" t="s">
        <v>16178</v>
      </c>
    </row>
    <row r="7619" spans="1:12">
      <c r="A7619" t="s">
        <v>1935</v>
      </c>
      <c r="B7619" s="1" t="s">
        <v>1936</v>
      </c>
      <c r="F7619">
        <v>1</v>
      </c>
      <c r="G7619" t="str">
        <f>HYPERLINK("http://babel.hathitrust.org/cgi/pt?id=uc1.b3341603")</f>
        <v>http://babel.hathitrust.org/cgi/pt?id=uc1.b3341603</v>
      </c>
      <c r="H7619" t="str">
        <f>HYPERLINK("http://catalog.hathitrust.org/Record/010328633")</f>
        <v>http://catalog.hathitrust.org/Record/010328633</v>
      </c>
      <c r="J7619" s="1">
        <v>1831</v>
      </c>
      <c r="K7619" t="s">
        <v>1937</v>
      </c>
      <c r="L7619" t="s">
        <v>15675</v>
      </c>
    </row>
    <row r="7620" spans="1:12">
      <c r="A7620" t="s">
        <v>1938</v>
      </c>
      <c r="B7620" s="1" t="s">
        <v>1939</v>
      </c>
      <c r="F7620">
        <v>1</v>
      </c>
      <c r="G7620" t="str">
        <f>HYPERLINK("http://babel.hathitrust.org/cgi/pt?id=mdp.39015074840003")</f>
        <v>http://babel.hathitrust.org/cgi/pt?id=mdp.39015074840003</v>
      </c>
      <c r="H7620" t="str">
        <f>HYPERLINK("http://catalog.hathitrust.org/Record/010540123")</f>
        <v>http://catalog.hathitrust.org/Record/010540123</v>
      </c>
      <c r="I7620" s="1">
        <v>1923</v>
      </c>
      <c r="J7620" s="1">
        <v>1923</v>
      </c>
      <c r="K7620" t="s">
        <v>1940</v>
      </c>
    </row>
    <row r="7621" spans="1:12">
      <c r="A7621" t="s">
        <v>1941</v>
      </c>
      <c r="B7621" s="1" t="s">
        <v>1942</v>
      </c>
      <c r="F7621">
        <v>1</v>
      </c>
      <c r="G7621" t="str">
        <f>HYPERLINK("http://babel.hathitrust.org/cgi/pt?id=mdp.39015074839963")</f>
        <v>http://babel.hathitrust.org/cgi/pt?id=mdp.39015074839963</v>
      </c>
      <c r="H7621" t="str">
        <f>HYPERLINK("http://catalog.hathitrust.org/Record/010540443")</f>
        <v>http://catalog.hathitrust.org/Record/010540443</v>
      </c>
      <c r="I7621" s="1">
        <v>1939</v>
      </c>
      <c r="J7621" s="1">
        <v>1939</v>
      </c>
      <c r="K7621" t="s">
        <v>1943</v>
      </c>
    </row>
    <row r="7622" spans="1:12">
      <c r="A7622" t="s">
        <v>1944</v>
      </c>
      <c r="B7622" s="1" t="s">
        <v>1945</v>
      </c>
      <c r="F7622">
        <v>1</v>
      </c>
      <c r="G7622" t="str">
        <f>HYPERLINK("http://babel.hathitrust.org/cgi/pt?id=uc1.b5045111")</f>
        <v>http://babel.hathitrust.org/cgi/pt?id=uc1.b5045111</v>
      </c>
      <c r="H7622" t="str">
        <f>HYPERLINK("http://catalog.hathitrust.org/Record/010545162")</f>
        <v>http://catalog.hathitrust.org/Record/010545162</v>
      </c>
      <c r="J7622" s="1">
        <v>1947</v>
      </c>
      <c r="K7622" t="s">
        <v>1857</v>
      </c>
    </row>
    <row r="7623" spans="1:12">
      <c r="A7623" t="s">
        <v>1858</v>
      </c>
      <c r="B7623" s="1" t="s">
        <v>1859</v>
      </c>
      <c r="E7623">
        <v>1</v>
      </c>
      <c r="G7623" t="str">
        <f>HYPERLINK("http://babel.hathitrust.org/cgi/pt?id=inu.32000001003567")</f>
        <v>http://babel.hathitrust.org/cgi/pt?id=inu.32000001003567</v>
      </c>
      <c r="H7623" t="str">
        <f>HYPERLINK("http://catalog.hathitrust.org/Record/010551133")</f>
        <v>http://catalog.hathitrust.org/Record/010551133</v>
      </c>
      <c r="J7623" s="1">
        <v>1848</v>
      </c>
      <c r="K7623" t="s">
        <v>1860</v>
      </c>
      <c r="L7623" t="s">
        <v>12780</v>
      </c>
    </row>
    <row r="7624" spans="1:12">
      <c r="A7624" t="s">
        <v>1861</v>
      </c>
      <c r="B7624" s="1" t="s">
        <v>1862</v>
      </c>
      <c r="F7624">
        <v>1</v>
      </c>
      <c r="G7624" t="str">
        <f>HYPERLINK("http://babel.hathitrust.org/cgi/pt?id=inu.30000092051097")</f>
        <v>http://babel.hathitrust.org/cgi/pt?id=inu.30000092051097</v>
      </c>
      <c r="H7624" t="str">
        <f>HYPERLINK("http://catalog.hathitrust.org/Record/010558080")</f>
        <v>http://catalog.hathitrust.org/Record/010558080</v>
      </c>
      <c r="J7624" s="1">
        <v>1836</v>
      </c>
      <c r="K7624" t="s">
        <v>1863</v>
      </c>
      <c r="L7624" t="s">
        <v>1864</v>
      </c>
    </row>
    <row r="7625" spans="1:12">
      <c r="A7625" t="s">
        <v>1865</v>
      </c>
      <c r="B7625" s="1" t="s">
        <v>1866</v>
      </c>
      <c r="F7625">
        <v>1</v>
      </c>
      <c r="G7625" t="str">
        <f>HYPERLINK("http://babel.hathitrust.org/cgi/pt?id=inu.30000092095821")</f>
        <v>http://babel.hathitrust.org/cgi/pt?id=inu.30000092095821</v>
      </c>
      <c r="H7625" t="str">
        <f>HYPERLINK("http://catalog.hathitrust.org/Record/010558107")</f>
        <v>http://catalog.hathitrust.org/Record/010558107</v>
      </c>
      <c r="J7625" s="1">
        <v>1844</v>
      </c>
      <c r="K7625" t="s">
        <v>2595</v>
      </c>
      <c r="L7625" t="s">
        <v>19514</v>
      </c>
    </row>
    <row r="7626" spans="1:12">
      <c r="A7626" t="s">
        <v>1867</v>
      </c>
      <c r="B7626" s="1" t="s">
        <v>1868</v>
      </c>
      <c r="F7626">
        <v>1</v>
      </c>
      <c r="G7626" t="str">
        <f>HYPERLINK("http://babel.hathitrust.org/cgi/pt?id=inu.30000099965604")</f>
        <v>http://babel.hathitrust.org/cgi/pt?id=inu.30000099965604</v>
      </c>
      <c r="H7626" t="str">
        <f>HYPERLINK("http://catalog.hathitrust.org/Record/010558109")</f>
        <v>http://catalog.hathitrust.org/Record/010558109</v>
      </c>
      <c r="J7626" s="1">
        <v>1824</v>
      </c>
      <c r="K7626" t="s">
        <v>1869</v>
      </c>
      <c r="L7626" t="s">
        <v>19496</v>
      </c>
    </row>
    <row r="7627" spans="1:12">
      <c r="A7627" t="s">
        <v>1870</v>
      </c>
      <c r="B7627" s="1" t="s">
        <v>1871</v>
      </c>
      <c r="F7627">
        <v>1</v>
      </c>
      <c r="G7627" t="str">
        <f>HYPERLINK("http://babel.hathitrust.org/cgi/pt?id=inu.30000099952610")</f>
        <v>http://babel.hathitrust.org/cgi/pt?id=inu.30000099952610</v>
      </c>
      <c r="H7627" t="str">
        <f>HYPERLINK("http://catalog.hathitrust.org/Record/010558112")</f>
        <v>http://catalog.hathitrust.org/Record/010558112</v>
      </c>
      <c r="J7627" s="1">
        <v>1849</v>
      </c>
      <c r="K7627" t="s">
        <v>1872</v>
      </c>
      <c r="L7627" t="s">
        <v>12679</v>
      </c>
    </row>
    <row r="7628" spans="1:12">
      <c r="A7628" t="s">
        <v>1873</v>
      </c>
      <c r="B7628" s="1" t="s">
        <v>1874</v>
      </c>
      <c r="F7628">
        <v>1</v>
      </c>
      <c r="G7628" t="str">
        <f>HYPERLINK("http://babel.hathitrust.org/cgi/pt?id=inu.30000092095763")</f>
        <v>http://babel.hathitrust.org/cgi/pt?id=inu.30000092095763</v>
      </c>
      <c r="H7628" t="str">
        <f>HYPERLINK("http://catalog.hathitrust.org/Record/010558113")</f>
        <v>http://catalog.hathitrust.org/Record/010558113</v>
      </c>
      <c r="J7628" s="1">
        <v>1837</v>
      </c>
      <c r="K7628" t="s">
        <v>1875</v>
      </c>
      <c r="L7628" t="s">
        <v>1876</v>
      </c>
    </row>
    <row r="7629" spans="1:12">
      <c r="A7629" t="s">
        <v>1877</v>
      </c>
      <c r="B7629" s="1" t="s">
        <v>1878</v>
      </c>
      <c r="F7629">
        <v>1</v>
      </c>
      <c r="G7629" t="str">
        <f>HYPERLINK("http://babel.hathitrust.org/cgi/pt?id=ien.35556034324996")</f>
        <v>http://babel.hathitrust.org/cgi/pt?id=ien.35556034324996</v>
      </c>
      <c r="H7629" t="str">
        <f>HYPERLINK("http://catalog.hathitrust.org/Record/010602675")</f>
        <v>http://catalog.hathitrust.org/Record/010602675</v>
      </c>
      <c r="J7629" s="1">
        <v>1903</v>
      </c>
      <c r="K7629" t="s">
        <v>1879</v>
      </c>
      <c r="L7629" t="s">
        <v>18627</v>
      </c>
    </row>
    <row r="7630" spans="1:12">
      <c r="A7630" t="s">
        <v>1880</v>
      </c>
      <c r="B7630" s="1" t="s">
        <v>1878</v>
      </c>
      <c r="F7630">
        <v>1</v>
      </c>
      <c r="G7630" t="str">
        <f>HYPERLINK("http://babel.hathitrust.org/cgi/pt?id=uc2.ark:/13960/t4nk3jc29")</f>
        <v>http://babel.hathitrust.org/cgi/pt?id=uc2.ark:/13960/t4nk3jc29</v>
      </c>
      <c r="H7630" t="str">
        <f>HYPERLINK("http://catalog.hathitrust.org/Record/010602675")</f>
        <v>http://catalog.hathitrust.org/Record/010602675</v>
      </c>
      <c r="J7630" s="1">
        <v>1903</v>
      </c>
      <c r="K7630" t="s">
        <v>1879</v>
      </c>
      <c r="L7630" t="s">
        <v>18627</v>
      </c>
    </row>
    <row r="7631" spans="1:12">
      <c r="A7631" t="s">
        <v>1881</v>
      </c>
      <c r="B7631" s="1" t="s">
        <v>1882</v>
      </c>
      <c r="F7631">
        <v>1</v>
      </c>
      <c r="G7631" t="str">
        <f>HYPERLINK("http://babel.hathitrust.org/cgi/pt?id=uc1.31822009495094")</f>
        <v>http://babel.hathitrust.org/cgi/pt?id=uc1.31822009495094</v>
      </c>
      <c r="H7631" t="str">
        <f>HYPERLINK("http://catalog.hathitrust.org/Record/010823434")</f>
        <v>http://catalog.hathitrust.org/Record/010823434</v>
      </c>
      <c r="J7631" s="1">
        <v>1783</v>
      </c>
      <c r="K7631" t="s">
        <v>1883</v>
      </c>
      <c r="L7631" t="s">
        <v>1884</v>
      </c>
    </row>
    <row r="7632" spans="1:12">
      <c r="A7632" t="s">
        <v>1885</v>
      </c>
      <c r="B7632" s="1" t="s">
        <v>1886</v>
      </c>
      <c r="F7632">
        <v>1</v>
      </c>
      <c r="G7632" t="str">
        <f>HYPERLINK("http://babel.hathitrust.org/cgi/pt?id=uc1.31822038197968")</f>
        <v>http://babel.hathitrust.org/cgi/pt?id=uc1.31822038197968</v>
      </c>
      <c r="H7632" t="str">
        <f>HYPERLINK("http://catalog.hathitrust.org/Record/010823637")</f>
        <v>http://catalog.hathitrust.org/Record/010823637</v>
      </c>
      <c r="J7632" s="1">
        <v>1797</v>
      </c>
      <c r="K7632" t="s">
        <v>1887</v>
      </c>
      <c r="L7632" t="s">
        <v>1888</v>
      </c>
    </row>
    <row r="7633" spans="1:12">
      <c r="A7633" t="s">
        <v>1889</v>
      </c>
      <c r="B7633" s="1" t="s">
        <v>1890</v>
      </c>
      <c r="F7633">
        <v>1</v>
      </c>
      <c r="G7633" t="str">
        <f>HYPERLINK("http://babel.hathitrust.org/cgi/pt?id=uc1.31822038198073")</f>
        <v>http://babel.hathitrust.org/cgi/pt?id=uc1.31822038198073</v>
      </c>
      <c r="H7633" t="str">
        <f>HYPERLINK("http://catalog.hathitrust.org/Record/010823646")</f>
        <v>http://catalog.hathitrust.org/Record/010823646</v>
      </c>
      <c r="J7633" s="1">
        <v>1761</v>
      </c>
      <c r="K7633" t="s">
        <v>1891</v>
      </c>
      <c r="L7633" t="s">
        <v>20716</v>
      </c>
    </row>
    <row r="7634" spans="1:12">
      <c r="A7634" t="s">
        <v>1892</v>
      </c>
      <c r="B7634" s="1" t="s">
        <v>1893</v>
      </c>
      <c r="F7634">
        <v>1</v>
      </c>
      <c r="G7634" t="str">
        <f>HYPERLINK("http://babel.hathitrust.org/cgi/pt?id=uc1.31822038199550")</f>
        <v>http://babel.hathitrust.org/cgi/pt?id=uc1.31822038199550</v>
      </c>
      <c r="H7634" t="str">
        <f>HYPERLINK("http://catalog.hathitrust.org/Record/010823677")</f>
        <v>http://catalog.hathitrust.org/Record/010823677</v>
      </c>
      <c r="J7634" s="1">
        <v>1759</v>
      </c>
      <c r="K7634" t="s">
        <v>1894</v>
      </c>
      <c r="L7634" t="s">
        <v>14012</v>
      </c>
    </row>
    <row r="7635" spans="1:12">
      <c r="A7635" t="s">
        <v>1895</v>
      </c>
      <c r="B7635" s="1" t="s">
        <v>1896</v>
      </c>
      <c r="F7635">
        <v>1</v>
      </c>
      <c r="G7635" t="str">
        <f>HYPERLINK("http://babel.hathitrust.org/cgi/pt?id=uc1.31822038199642")</f>
        <v>http://babel.hathitrust.org/cgi/pt?id=uc1.31822038199642</v>
      </c>
      <c r="H7635" t="str">
        <f>HYPERLINK("http://catalog.hathitrust.org/Record/010823686")</f>
        <v>http://catalog.hathitrust.org/Record/010823686</v>
      </c>
      <c r="J7635" s="1">
        <v>1916</v>
      </c>
      <c r="K7635" t="s">
        <v>1819</v>
      </c>
      <c r="L7635" t="s">
        <v>1820</v>
      </c>
    </row>
    <row r="7636" spans="1:12">
      <c r="A7636" t="s">
        <v>1821</v>
      </c>
      <c r="B7636" s="1" t="s">
        <v>1822</v>
      </c>
      <c r="E7636">
        <v>1</v>
      </c>
      <c r="F7636">
        <v>1</v>
      </c>
      <c r="G7636" t="str">
        <f>HYPERLINK("http://babel.hathitrust.org/cgi/pt?id=uc1.31822038199782")</f>
        <v>http://babel.hathitrust.org/cgi/pt?id=uc1.31822038199782</v>
      </c>
      <c r="H7636" t="str">
        <f>HYPERLINK("http://catalog.hathitrust.org/Record/010823697")</f>
        <v>http://catalog.hathitrust.org/Record/010823697</v>
      </c>
      <c r="J7636" s="1">
        <v>1832</v>
      </c>
      <c r="K7636" t="s">
        <v>1823</v>
      </c>
      <c r="L7636" t="s">
        <v>12717</v>
      </c>
    </row>
    <row r="7637" spans="1:12">
      <c r="A7637" t="s">
        <v>1824</v>
      </c>
      <c r="B7637" s="1" t="s">
        <v>1825</v>
      </c>
      <c r="E7637">
        <v>1</v>
      </c>
      <c r="G7637" t="str">
        <f>HYPERLINK("http://babel.hathitrust.org/cgi/pt?id=uc1.31822038199022")</f>
        <v>http://babel.hathitrust.org/cgi/pt?id=uc1.31822038199022</v>
      </c>
      <c r="H7637" t="str">
        <f>HYPERLINK("http://catalog.hathitrust.org/Record/010824033")</f>
        <v>http://catalog.hathitrust.org/Record/010824033</v>
      </c>
      <c r="J7637" s="1">
        <v>1820</v>
      </c>
      <c r="K7637" t="s">
        <v>1826</v>
      </c>
    </row>
    <row r="7638" spans="1:12">
      <c r="A7638" t="s">
        <v>1827</v>
      </c>
      <c r="B7638" s="1" t="s">
        <v>1828</v>
      </c>
      <c r="D7638">
        <v>1</v>
      </c>
      <c r="G7638" t="str">
        <f>HYPERLINK("http://babel.hathitrust.org/cgi/pt?id=uc1.31822038199147")</f>
        <v>http://babel.hathitrust.org/cgi/pt?id=uc1.31822038199147</v>
      </c>
      <c r="H7638" t="str">
        <f>HYPERLINK("http://catalog.hathitrust.org/Record/010824044")</f>
        <v>http://catalog.hathitrust.org/Record/010824044</v>
      </c>
      <c r="J7638" s="1">
        <v>1715</v>
      </c>
      <c r="K7638" t="s">
        <v>1829</v>
      </c>
      <c r="L7638" t="s">
        <v>6479</v>
      </c>
    </row>
    <row r="7639" spans="1:12">
      <c r="A7639" t="s">
        <v>1830</v>
      </c>
      <c r="B7639" s="1" t="s">
        <v>1831</v>
      </c>
      <c r="F7639">
        <v>1</v>
      </c>
      <c r="G7639" t="str">
        <f>HYPERLINK("http://babel.hathitrust.org/cgi/pt?id=uc1.31822038203659")</f>
        <v>http://babel.hathitrust.org/cgi/pt?id=uc1.31822038203659</v>
      </c>
      <c r="H7639" t="str">
        <f>HYPERLINK("http://catalog.hathitrust.org/Record/010824163")</f>
        <v>http://catalog.hathitrust.org/Record/010824163</v>
      </c>
      <c r="J7639" s="1">
        <v>1799</v>
      </c>
      <c r="K7639" t="s">
        <v>1832</v>
      </c>
    </row>
    <row r="7640" spans="1:12">
      <c r="A7640" t="s">
        <v>1833</v>
      </c>
      <c r="B7640" s="1" t="s">
        <v>1834</v>
      </c>
      <c r="F7640">
        <v>1</v>
      </c>
      <c r="G7640" t="str">
        <f>HYPERLINK("http://babel.hathitrust.org/cgi/pt?id=uc1.l0059637843")</f>
        <v>http://babel.hathitrust.org/cgi/pt?id=uc1.l0059637843</v>
      </c>
      <c r="H7640" t="str">
        <f>HYPERLINK("http://catalog.hathitrust.org/Record/010882544")</f>
        <v>http://catalog.hathitrust.org/Record/010882544</v>
      </c>
      <c r="J7640" s="1">
        <v>1911</v>
      </c>
      <c r="K7640" t="s">
        <v>1835</v>
      </c>
      <c r="L7640" t="s">
        <v>11141</v>
      </c>
    </row>
    <row r="7641" spans="1:12">
      <c r="A7641" t="s">
        <v>1836</v>
      </c>
      <c r="B7641" s="1" t="s">
        <v>1837</v>
      </c>
      <c r="F7641">
        <v>1</v>
      </c>
      <c r="G7641" t="str">
        <f>HYPERLINK("http://babel.hathitrust.org/cgi/pt?id=uc1.l0074905860")</f>
        <v>http://babel.hathitrust.org/cgi/pt?id=uc1.l0074905860</v>
      </c>
      <c r="H7641" t="str">
        <f>HYPERLINK("http://catalog.hathitrust.org/Record/010882614")</f>
        <v>http://catalog.hathitrust.org/Record/010882614</v>
      </c>
      <c r="J7641" s="1">
        <v>1882</v>
      </c>
      <c r="K7641" t="s">
        <v>1838</v>
      </c>
      <c r="L7641" t="s">
        <v>1839</v>
      </c>
    </row>
    <row r="7642" spans="1:12">
      <c r="A7642" t="s">
        <v>1840</v>
      </c>
      <c r="B7642" s="1" t="s">
        <v>1841</v>
      </c>
      <c r="F7642">
        <v>1</v>
      </c>
      <c r="G7642" t="str">
        <f>HYPERLINK("http://babel.hathitrust.org/cgi/pt?id=uc1.l0101197655")</f>
        <v>http://babel.hathitrust.org/cgi/pt?id=uc1.l0101197655</v>
      </c>
      <c r="H7642" t="str">
        <f>HYPERLINK("http://catalog.hathitrust.org/Record/010882615")</f>
        <v>http://catalog.hathitrust.org/Record/010882615</v>
      </c>
      <c r="J7642" s="1">
        <v>1870</v>
      </c>
      <c r="K7642" t="s">
        <v>1842</v>
      </c>
      <c r="L7642" t="s">
        <v>1843</v>
      </c>
    </row>
    <row r="7643" spans="1:12">
      <c r="A7643" t="s">
        <v>1844</v>
      </c>
      <c r="B7643" s="1" t="s">
        <v>1845</v>
      </c>
      <c r="F7643">
        <v>1</v>
      </c>
      <c r="G7643" t="str">
        <f>HYPERLINK("http://babel.hathitrust.org/cgi/pt?id=uc1.l0069133312")</f>
        <v>http://babel.hathitrust.org/cgi/pt?id=uc1.l0069133312</v>
      </c>
      <c r="H7643" t="str">
        <f>HYPERLINK("http://catalog.hathitrust.org/Record/010882749")</f>
        <v>http://catalog.hathitrust.org/Record/010882749</v>
      </c>
      <c r="J7643" s="1">
        <v>1902</v>
      </c>
      <c r="K7643" t="s">
        <v>1846</v>
      </c>
      <c r="L7643" t="s">
        <v>1847</v>
      </c>
    </row>
    <row r="7644" spans="1:12">
      <c r="A7644" t="s">
        <v>1848</v>
      </c>
      <c r="B7644" s="1" t="s">
        <v>1849</v>
      </c>
      <c r="D7644">
        <v>1</v>
      </c>
      <c r="G7644" t="str">
        <f>HYPERLINK("http://babel.hathitrust.org/cgi/pt?id=uc1.31158008543265")</f>
        <v>http://babel.hathitrust.org/cgi/pt?id=uc1.31158008543265</v>
      </c>
      <c r="H7644" t="str">
        <f>HYPERLINK("http://catalog.hathitrust.org/Record/010883145")</f>
        <v>http://catalog.hathitrust.org/Record/010883145</v>
      </c>
      <c r="J7644" s="1">
        <v>1853</v>
      </c>
      <c r="K7644" t="s">
        <v>1850</v>
      </c>
      <c r="L7644" t="s">
        <v>20086</v>
      </c>
    </row>
    <row r="7645" spans="1:12">
      <c r="A7645" t="s">
        <v>1851</v>
      </c>
      <c r="B7645" s="1" t="s">
        <v>1852</v>
      </c>
      <c r="F7645">
        <v>1</v>
      </c>
      <c r="G7645" t="str">
        <f>HYPERLINK("http://babel.hathitrust.org/cgi/pt?id=uc1.31158002874443")</f>
        <v>http://babel.hathitrust.org/cgi/pt?id=uc1.31158002874443</v>
      </c>
      <c r="H7645" t="str">
        <f>HYPERLINK("http://catalog.hathitrust.org/Record/010883169")</f>
        <v>http://catalog.hathitrust.org/Record/010883169</v>
      </c>
      <c r="J7645" s="1">
        <v>1859</v>
      </c>
      <c r="K7645" t="s">
        <v>1853</v>
      </c>
      <c r="L7645" t="s">
        <v>1854</v>
      </c>
    </row>
    <row r="7646" spans="1:12">
      <c r="A7646" t="s">
        <v>1855</v>
      </c>
      <c r="B7646" s="1" t="s">
        <v>1856</v>
      </c>
      <c r="E7646">
        <v>1</v>
      </c>
      <c r="F7646">
        <v>1</v>
      </c>
      <c r="G7646" t="str">
        <f>HYPERLINK("http://babel.hathitrust.org/cgi/pt?id=uc1.31158004749270")</f>
        <v>http://babel.hathitrust.org/cgi/pt?id=uc1.31158004749270</v>
      </c>
      <c r="H7646" t="str">
        <f>HYPERLINK("http://catalog.hathitrust.org/Record/010883181")</f>
        <v>http://catalog.hathitrust.org/Record/010883181</v>
      </c>
      <c r="J7646" s="1">
        <v>1896</v>
      </c>
      <c r="K7646" t="s">
        <v>1770</v>
      </c>
      <c r="L7646" t="s">
        <v>1771</v>
      </c>
    </row>
    <row r="7647" spans="1:12">
      <c r="A7647" t="s">
        <v>1772</v>
      </c>
      <c r="B7647" s="1" t="s">
        <v>1773</v>
      </c>
      <c r="F7647">
        <v>1</v>
      </c>
      <c r="G7647" t="str">
        <f>HYPERLINK("http://babel.hathitrust.org/cgi/pt?id=uc1.l0058503814")</f>
        <v>http://babel.hathitrust.org/cgi/pt?id=uc1.l0058503814</v>
      </c>
      <c r="H7647" t="str">
        <f>HYPERLINK("http://catalog.hathitrust.org/Record/010883218")</f>
        <v>http://catalog.hathitrust.org/Record/010883218</v>
      </c>
      <c r="J7647" s="1">
        <v>1680</v>
      </c>
      <c r="K7647" t="s">
        <v>1774</v>
      </c>
      <c r="L7647" t="s">
        <v>1775</v>
      </c>
    </row>
    <row r="7648" spans="1:12">
      <c r="A7648" t="s">
        <v>1776</v>
      </c>
      <c r="B7648" s="1" t="s">
        <v>1777</v>
      </c>
      <c r="F7648">
        <v>1</v>
      </c>
      <c r="G7648" t="str">
        <f>HYPERLINK("http://babel.hathitrust.org/cgi/pt?id=uc1.31158003239810")</f>
        <v>http://babel.hathitrust.org/cgi/pt?id=uc1.31158003239810</v>
      </c>
      <c r="H7648" t="str">
        <f>HYPERLINK("http://catalog.hathitrust.org/Record/010883382")</f>
        <v>http://catalog.hathitrust.org/Record/010883382</v>
      </c>
      <c r="J7648" s="1">
        <v>1869</v>
      </c>
      <c r="K7648" t="s">
        <v>1778</v>
      </c>
      <c r="L7648" t="s">
        <v>1779</v>
      </c>
    </row>
    <row r="7649" spans="1:12">
      <c r="A7649" t="s">
        <v>1780</v>
      </c>
      <c r="B7649" s="1" t="s">
        <v>1781</v>
      </c>
      <c r="F7649">
        <v>1</v>
      </c>
      <c r="G7649" t="str">
        <f>HYPERLINK("http://babel.hathitrust.org/cgi/pt?id=uc1.l0066709585")</f>
        <v>http://babel.hathitrust.org/cgi/pt?id=uc1.l0066709585</v>
      </c>
      <c r="H7649" t="str">
        <f>HYPERLINK("http://catalog.hathitrust.org/Record/010883578")</f>
        <v>http://catalog.hathitrust.org/Record/010883578</v>
      </c>
      <c r="J7649" s="1">
        <v>1894</v>
      </c>
      <c r="K7649" t="s">
        <v>1782</v>
      </c>
      <c r="L7649" t="s">
        <v>1783</v>
      </c>
    </row>
    <row r="7650" spans="1:12">
      <c r="A7650" t="s">
        <v>1784</v>
      </c>
      <c r="B7650" s="1" t="s">
        <v>1785</v>
      </c>
      <c r="F7650">
        <v>1</v>
      </c>
      <c r="G7650" t="str">
        <f>HYPERLINK("http://babel.hathitrust.org/cgi/pt?id=uc1.31158001283190")</f>
        <v>http://babel.hathitrust.org/cgi/pt?id=uc1.31158001283190</v>
      </c>
      <c r="H7650" t="str">
        <f t="shared" ref="H7650:H7658" si="71">HYPERLINK("http://catalog.hathitrust.org/Record/010883681")</f>
        <v>http://catalog.hathitrust.org/Record/010883681</v>
      </c>
      <c r="I7650" s="1" t="s">
        <v>15823</v>
      </c>
      <c r="J7650" s="1">
        <v>1901</v>
      </c>
      <c r="K7650" t="s">
        <v>1786</v>
      </c>
      <c r="L7650" t="s">
        <v>13492</v>
      </c>
    </row>
    <row r="7651" spans="1:12">
      <c r="A7651" t="s">
        <v>1787</v>
      </c>
      <c r="B7651" s="1" t="s">
        <v>1785</v>
      </c>
      <c r="F7651">
        <v>1</v>
      </c>
      <c r="G7651" t="str">
        <f>HYPERLINK("http://babel.hathitrust.org/cgi/pt?id=uc1.31158004650932")</f>
        <v>http://babel.hathitrust.org/cgi/pt?id=uc1.31158004650932</v>
      </c>
      <c r="H7651" t="str">
        <f t="shared" si="71"/>
        <v>http://catalog.hathitrust.org/Record/010883681</v>
      </c>
      <c r="I7651" s="1" t="s">
        <v>16574</v>
      </c>
      <c r="J7651" s="1">
        <v>1901</v>
      </c>
      <c r="K7651" t="s">
        <v>1786</v>
      </c>
      <c r="L7651" t="s">
        <v>13492</v>
      </c>
    </row>
    <row r="7652" spans="1:12">
      <c r="A7652" t="s">
        <v>1788</v>
      </c>
      <c r="B7652" s="1" t="s">
        <v>1785</v>
      </c>
      <c r="F7652">
        <v>1</v>
      </c>
      <c r="G7652" t="str">
        <f>HYPERLINK("http://babel.hathitrust.org/cgi/pt?id=uc1.31158004854906")</f>
        <v>http://babel.hathitrust.org/cgi/pt?id=uc1.31158004854906</v>
      </c>
      <c r="H7652" t="str">
        <f t="shared" si="71"/>
        <v>http://catalog.hathitrust.org/Record/010883681</v>
      </c>
      <c r="I7652" s="1" t="s">
        <v>15826</v>
      </c>
      <c r="J7652" s="1">
        <v>1901</v>
      </c>
      <c r="K7652" t="s">
        <v>1786</v>
      </c>
      <c r="L7652" t="s">
        <v>13492</v>
      </c>
    </row>
    <row r="7653" spans="1:12">
      <c r="A7653" t="s">
        <v>1789</v>
      </c>
      <c r="B7653" s="1" t="s">
        <v>1785</v>
      </c>
      <c r="F7653">
        <v>1</v>
      </c>
      <c r="G7653" t="str">
        <f>HYPERLINK("http://babel.hathitrust.org/cgi/pt?id=uc1.31158006589245")</f>
        <v>http://babel.hathitrust.org/cgi/pt?id=uc1.31158006589245</v>
      </c>
      <c r="H7653" t="str">
        <f t="shared" si="71"/>
        <v>http://catalog.hathitrust.org/Record/010883681</v>
      </c>
      <c r="I7653" s="1" t="s">
        <v>15066</v>
      </c>
      <c r="J7653" s="1">
        <v>1901</v>
      </c>
      <c r="K7653" t="s">
        <v>1786</v>
      </c>
      <c r="L7653" t="s">
        <v>13492</v>
      </c>
    </row>
    <row r="7654" spans="1:12">
      <c r="A7654" t="s">
        <v>1790</v>
      </c>
      <c r="B7654" s="1" t="s">
        <v>1785</v>
      </c>
      <c r="F7654">
        <v>1</v>
      </c>
      <c r="G7654" t="str">
        <f>HYPERLINK("http://babel.hathitrust.org/cgi/pt?id=uc1.31158008699901")</f>
        <v>http://babel.hathitrust.org/cgi/pt?id=uc1.31158008699901</v>
      </c>
      <c r="H7654" t="str">
        <f t="shared" si="71"/>
        <v>http://catalog.hathitrust.org/Record/010883681</v>
      </c>
      <c r="I7654" s="1" t="s">
        <v>1791</v>
      </c>
      <c r="J7654" s="1">
        <v>1901</v>
      </c>
      <c r="K7654" t="s">
        <v>1786</v>
      </c>
      <c r="L7654" t="s">
        <v>13492</v>
      </c>
    </row>
    <row r="7655" spans="1:12">
      <c r="A7655" t="s">
        <v>1792</v>
      </c>
      <c r="B7655" s="1" t="s">
        <v>1785</v>
      </c>
      <c r="F7655">
        <v>1</v>
      </c>
      <c r="G7655" t="str">
        <f>HYPERLINK("http://babel.hathitrust.org/cgi/pt?id=uc1.31158008804634")</f>
        <v>http://babel.hathitrust.org/cgi/pt?id=uc1.31158008804634</v>
      </c>
      <c r="H7655" t="str">
        <f t="shared" si="71"/>
        <v>http://catalog.hathitrust.org/Record/010883681</v>
      </c>
      <c r="I7655" s="1" t="s">
        <v>15072</v>
      </c>
      <c r="J7655" s="1">
        <v>1901</v>
      </c>
      <c r="K7655" t="s">
        <v>1786</v>
      </c>
      <c r="L7655" t="s">
        <v>13492</v>
      </c>
    </row>
    <row r="7656" spans="1:12">
      <c r="A7656" t="s">
        <v>1793</v>
      </c>
      <c r="B7656" s="1" t="s">
        <v>1785</v>
      </c>
      <c r="F7656">
        <v>1</v>
      </c>
      <c r="G7656" t="str">
        <f>HYPERLINK("http://babel.hathitrust.org/cgi/pt?id=uc1.31158009025908")</f>
        <v>http://babel.hathitrust.org/cgi/pt?id=uc1.31158009025908</v>
      </c>
      <c r="H7656" t="str">
        <f t="shared" si="71"/>
        <v>http://catalog.hathitrust.org/Record/010883681</v>
      </c>
      <c r="I7656" s="1" t="s">
        <v>1794</v>
      </c>
      <c r="J7656" s="1">
        <v>1901</v>
      </c>
      <c r="K7656" t="s">
        <v>1786</v>
      </c>
      <c r="L7656" t="s">
        <v>13492</v>
      </c>
    </row>
    <row r="7657" spans="1:12">
      <c r="A7657" t="s">
        <v>1795</v>
      </c>
      <c r="B7657" s="1" t="s">
        <v>1785</v>
      </c>
      <c r="F7657">
        <v>1</v>
      </c>
      <c r="G7657" t="str">
        <f>HYPERLINK("http://babel.hathitrust.org/cgi/pt?id=uc1.31158009783142")</f>
        <v>http://babel.hathitrust.org/cgi/pt?id=uc1.31158009783142</v>
      </c>
      <c r="H7657" t="str">
        <f t="shared" si="71"/>
        <v>http://catalog.hathitrust.org/Record/010883681</v>
      </c>
      <c r="I7657" s="1" t="s">
        <v>1796</v>
      </c>
      <c r="J7657" s="1">
        <v>1901</v>
      </c>
      <c r="K7657" t="s">
        <v>1786</v>
      </c>
      <c r="L7657" t="s">
        <v>13492</v>
      </c>
    </row>
    <row r="7658" spans="1:12">
      <c r="A7658" t="s">
        <v>1797</v>
      </c>
      <c r="B7658" s="1" t="s">
        <v>1785</v>
      </c>
      <c r="F7658">
        <v>1</v>
      </c>
      <c r="G7658" t="str">
        <f>HYPERLINK("http://babel.hathitrust.org/cgi/pt?id=uc1.l0080501810")</f>
        <v>http://babel.hathitrust.org/cgi/pt?id=uc1.l0080501810</v>
      </c>
      <c r="H7658" t="str">
        <f t="shared" si="71"/>
        <v>http://catalog.hathitrust.org/Record/010883681</v>
      </c>
      <c r="I7658" s="1" t="s">
        <v>2658</v>
      </c>
      <c r="J7658" s="1">
        <v>1901</v>
      </c>
      <c r="K7658" t="s">
        <v>1786</v>
      </c>
      <c r="L7658" t="s">
        <v>13492</v>
      </c>
    </row>
    <row r="7659" spans="1:12">
      <c r="A7659" t="s">
        <v>1798</v>
      </c>
      <c r="B7659" s="1" t="s">
        <v>1799</v>
      </c>
      <c r="F7659">
        <v>1</v>
      </c>
      <c r="G7659" t="str">
        <f>HYPERLINK("http://babel.hathitrust.org/cgi/pt?id=uc1.31158004622279")</f>
        <v>http://babel.hathitrust.org/cgi/pt?id=uc1.31158004622279</v>
      </c>
      <c r="H7659" t="str">
        <f>HYPERLINK("http://catalog.hathitrust.org/Record/010883879")</f>
        <v>http://catalog.hathitrust.org/Record/010883879</v>
      </c>
      <c r="J7659" s="1">
        <v>1866</v>
      </c>
      <c r="K7659" t="s">
        <v>1800</v>
      </c>
      <c r="L7659" t="s">
        <v>20960</v>
      </c>
    </row>
    <row r="7660" spans="1:12">
      <c r="A7660" t="s">
        <v>1801</v>
      </c>
      <c r="B7660" s="1" t="s">
        <v>1802</v>
      </c>
      <c r="F7660">
        <v>1</v>
      </c>
      <c r="G7660" t="str">
        <f>HYPERLINK("http://babel.hathitrust.org/cgi/pt?id=uc1.l0070585740")</f>
        <v>http://babel.hathitrust.org/cgi/pt?id=uc1.l0070585740</v>
      </c>
      <c r="H7660" t="str">
        <f>HYPERLINK("http://catalog.hathitrust.org/Record/010883908")</f>
        <v>http://catalog.hathitrust.org/Record/010883908</v>
      </c>
      <c r="J7660" s="1">
        <v>1906</v>
      </c>
      <c r="K7660" t="s">
        <v>1803</v>
      </c>
      <c r="L7660" t="s">
        <v>5180</v>
      </c>
    </row>
    <row r="7661" spans="1:12">
      <c r="A7661" t="s">
        <v>1804</v>
      </c>
      <c r="B7661" s="1" t="s">
        <v>1805</v>
      </c>
      <c r="D7661">
        <v>1</v>
      </c>
      <c r="G7661" t="str">
        <f>HYPERLINK("http://babel.hathitrust.org/cgi/pt?id=uc1.l0087460507")</f>
        <v>http://babel.hathitrust.org/cgi/pt?id=uc1.l0087460507</v>
      </c>
      <c r="H7661" t="str">
        <f>HYPERLINK("http://catalog.hathitrust.org/Record/010884078")</f>
        <v>http://catalog.hathitrust.org/Record/010884078</v>
      </c>
      <c r="J7661" s="1">
        <v>1879</v>
      </c>
      <c r="K7661" t="s">
        <v>1806</v>
      </c>
      <c r="L7661" t="s">
        <v>18477</v>
      </c>
    </row>
    <row r="7662" spans="1:12">
      <c r="A7662" t="s">
        <v>1807</v>
      </c>
      <c r="B7662" s="1" t="s">
        <v>1808</v>
      </c>
      <c r="F7662">
        <v>1</v>
      </c>
      <c r="G7662" t="str">
        <f>HYPERLINK("http://babel.hathitrust.org/cgi/pt?id=nc01.ark:/13960/t88g9dk9n")</f>
        <v>http://babel.hathitrust.org/cgi/pt?id=nc01.ark:/13960/t88g9dk9n</v>
      </c>
      <c r="H7662" t="str">
        <f>HYPERLINK("http://catalog.hathitrust.org/Record/010938472")</f>
        <v>http://catalog.hathitrust.org/Record/010938472</v>
      </c>
      <c r="J7662" s="1">
        <v>1832</v>
      </c>
      <c r="K7662" t="s">
        <v>1809</v>
      </c>
      <c r="L7662" t="s">
        <v>1810</v>
      </c>
    </row>
    <row r="7663" spans="1:12">
      <c r="A7663" t="s">
        <v>1811</v>
      </c>
      <c r="B7663" s="1" t="s">
        <v>1812</v>
      </c>
      <c r="D7663">
        <v>1</v>
      </c>
      <c r="G7663" t="str">
        <f>HYPERLINK("http://babel.hathitrust.org/cgi/pt?id=nc01.ark:/13960/t5x64b243")</f>
        <v>http://babel.hathitrust.org/cgi/pt?id=nc01.ark:/13960/t5x64b243</v>
      </c>
      <c r="H7663" t="str">
        <f>HYPERLINK("http://catalog.hathitrust.org/Record/010938476")</f>
        <v>http://catalog.hathitrust.org/Record/010938476</v>
      </c>
      <c r="J7663" s="1">
        <v>1853</v>
      </c>
      <c r="K7663" t="s">
        <v>19693</v>
      </c>
      <c r="L7663" t="s">
        <v>19694</v>
      </c>
    </row>
    <row r="7664" spans="1:12">
      <c r="A7664" t="s">
        <v>1813</v>
      </c>
      <c r="B7664" s="1" t="s">
        <v>1814</v>
      </c>
      <c r="F7664">
        <v>1</v>
      </c>
      <c r="G7664" t="str">
        <f>HYPERLINK("http://babel.hathitrust.org/cgi/pt?id=dul1.ark:/13960/t05x32t3t")</f>
        <v>http://babel.hathitrust.org/cgi/pt?id=dul1.ark:/13960/t05x32t3t</v>
      </c>
      <c r="H7664" t="str">
        <f>HYPERLINK("http://catalog.hathitrust.org/Record/010942450")</f>
        <v>http://catalog.hathitrust.org/Record/010942450</v>
      </c>
      <c r="J7664" s="1">
        <v>1863</v>
      </c>
      <c r="K7664" t="s">
        <v>1815</v>
      </c>
      <c r="L7664" t="s">
        <v>1816</v>
      </c>
    </row>
    <row r="7665" spans="1:12">
      <c r="A7665" t="s">
        <v>1817</v>
      </c>
      <c r="B7665" s="1" t="s">
        <v>1818</v>
      </c>
      <c r="E7665">
        <v>1</v>
      </c>
      <c r="G7665" t="str">
        <f>HYPERLINK("http://babel.hathitrust.org/cgi/pt?id=dul1.ark:/13960/t5j970j9d")</f>
        <v>http://babel.hathitrust.org/cgi/pt?id=dul1.ark:/13960/t5j970j9d</v>
      </c>
      <c r="H7665" t="str">
        <f>HYPERLINK("http://catalog.hathitrust.org/Record/010943725")</f>
        <v>http://catalog.hathitrust.org/Record/010943725</v>
      </c>
      <c r="J7665" s="1">
        <v>1825</v>
      </c>
      <c r="K7665" t="s">
        <v>1722</v>
      </c>
    </row>
    <row r="7666" spans="1:12">
      <c r="A7666" t="s">
        <v>1723</v>
      </c>
      <c r="B7666" s="1" t="s">
        <v>1724</v>
      </c>
      <c r="F7666">
        <v>1</v>
      </c>
      <c r="G7666" t="str">
        <f>HYPERLINK("http://babel.hathitrust.org/cgi/pt?id=dul1.ark:/13960/t6252gj3z")</f>
        <v>http://babel.hathitrust.org/cgi/pt?id=dul1.ark:/13960/t6252gj3z</v>
      </c>
      <c r="H7666" t="str">
        <f>HYPERLINK("http://catalog.hathitrust.org/Record/010943919")</f>
        <v>http://catalog.hathitrust.org/Record/010943919</v>
      </c>
      <c r="J7666" s="1">
        <v>1911</v>
      </c>
      <c r="K7666" t="s">
        <v>1725</v>
      </c>
      <c r="L7666" t="s">
        <v>20331</v>
      </c>
    </row>
    <row r="7667" spans="1:12">
      <c r="A7667" t="s">
        <v>1726</v>
      </c>
      <c r="B7667" s="1" t="s">
        <v>1727</v>
      </c>
      <c r="F7667">
        <v>1</v>
      </c>
      <c r="G7667" t="str">
        <f>HYPERLINK("http://babel.hathitrust.org/cgi/pt?id=dul1.ark:/13960/t6543k69k")</f>
        <v>http://babel.hathitrust.org/cgi/pt?id=dul1.ark:/13960/t6543k69k</v>
      </c>
      <c r="H7667" t="str">
        <f>HYPERLINK("http://catalog.hathitrust.org/Record/010943920")</f>
        <v>http://catalog.hathitrust.org/Record/010943920</v>
      </c>
      <c r="J7667" s="1">
        <v>1892</v>
      </c>
      <c r="K7667" t="s">
        <v>1725</v>
      </c>
      <c r="L7667" t="s">
        <v>20331</v>
      </c>
    </row>
    <row r="7668" spans="1:12">
      <c r="A7668" t="s">
        <v>1728</v>
      </c>
      <c r="B7668" s="1" t="s">
        <v>1729</v>
      </c>
      <c r="E7668">
        <v>1</v>
      </c>
      <c r="F7668">
        <v>1</v>
      </c>
      <c r="G7668" t="str">
        <f>HYPERLINK("http://babel.hathitrust.org/cgi/pt?id=dul1.ark:/13960/t6640hf35")</f>
        <v>http://babel.hathitrust.org/cgi/pt?id=dul1.ark:/13960/t6640hf35</v>
      </c>
      <c r="H7668" t="str">
        <f>HYPERLINK("http://catalog.hathitrust.org/Record/010944427")</f>
        <v>http://catalog.hathitrust.org/Record/010944427</v>
      </c>
      <c r="J7668" s="1">
        <v>1863</v>
      </c>
      <c r="K7668" t="s">
        <v>1730</v>
      </c>
      <c r="L7668" t="s">
        <v>1731</v>
      </c>
    </row>
    <row r="7669" spans="1:12">
      <c r="A7669" t="s">
        <v>1732</v>
      </c>
      <c r="B7669" s="1" t="s">
        <v>1733</v>
      </c>
      <c r="F7669">
        <v>1</v>
      </c>
      <c r="G7669" t="str">
        <f>HYPERLINK("http://babel.hathitrust.org/cgi/pt?id=dul1.ark:/13960/t46q2qm7w")</f>
        <v>http://babel.hathitrust.org/cgi/pt?id=dul1.ark:/13960/t46q2qm7w</v>
      </c>
      <c r="H7669" t="str">
        <f>HYPERLINK("http://catalog.hathitrust.org/Record/010944428")</f>
        <v>http://catalog.hathitrust.org/Record/010944428</v>
      </c>
      <c r="J7669" s="1">
        <v>1861</v>
      </c>
      <c r="K7669" t="s">
        <v>1734</v>
      </c>
      <c r="L7669" t="s">
        <v>1731</v>
      </c>
    </row>
    <row r="7670" spans="1:12">
      <c r="A7670" t="s">
        <v>1735</v>
      </c>
      <c r="B7670" s="1" t="s">
        <v>1736</v>
      </c>
      <c r="F7670">
        <v>1</v>
      </c>
      <c r="G7670" t="str">
        <f>HYPERLINK("http://babel.hathitrust.org/cgi/pt?id=dul1.ark:/13960/t0zp4ss73")</f>
        <v>http://babel.hathitrust.org/cgi/pt?id=dul1.ark:/13960/t0zp4ss73</v>
      </c>
      <c r="H7670" t="str">
        <f>HYPERLINK("http://catalog.hathitrust.org/Record/010944429")</f>
        <v>http://catalog.hathitrust.org/Record/010944429</v>
      </c>
      <c r="J7670" s="1">
        <v>1862</v>
      </c>
      <c r="K7670" t="s">
        <v>1737</v>
      </c>
      <c r="L7670" t="s">
        <v>1731</v>
      </c>
    </row>
    <row r="7671" spans="1:12">
      <c r="A7671" t="s">
        <v>1738</v>
      </c>
      <c r="B7671" s="1" t="s">
        <v>1739</v>
      </c>
      <c r="F7671">
        <v>1</v>
      </c>
      <c r="G7671" t="str">
        <f>HYPERLINK("http://babel.hathitrust.org/cgi/pt?id=dul1.ark:/13960/t0ht3fx7q")</f>
        <v>http://babel.hathitrust.org/cgi/pt?id=dul1.ark:/13960/t0ht3fx7q</v>
      </c>
      <c r="H7671" t="str">
        <f>HYPERLINK("http://catalog.hathitrust.org/Record/010944431")</f>
        <v>http://catalog.hathitrust.org/Record/010944431</v>
      </c>
      <c r="J7671" s="1">
        <v>1865</v>
      </c>
      <c r="K7671" t="s">
        <v>1740</v>
      </c>
      <c r="L7671" t="s">
        <v>11681</v>
      </c>
    </row>
    <row r="7672" spans="1:12">
      <c r="A7672" t="s">
        <v>1741</v>
      </c>
      <c r="B7672" s="1" t="s">
        <v>1739</v>
      </c>
      <c r="F7672">
        <v>1</v>
      </c>
      <c r="G7672" t="str">
        <f>HYPERLINK("http://babel.hathitrust.org/cgi/pt?id=dul1.ark:/13960/t2989264r")</f>
        <v>http://babel.hathitrust.org/cgi/pt?id=dul1.ark:/13960/t2989264r</v>
      </c>
      <c r="H7672" t="str">
        <f>HYPERLINK("http://catalog.hathitrust.org/Record/010944431")</f>
        <v>http://catalog.hathitrust.org/Record/010944431</v>
      </c>
      <c r="J7672" s="1">
        <v>1865</v>
      </c>
      <c r="K7672" t="s">
        <v>1740</v>
      </c>
      <c r="L7672" t="s">
        <v>11681</v>
      </c>
    </row>
    <row r="7673" spans="1:12">
      <c r="A7673" t="s">
        <v>1742</v>
      </c>
      <c r="B7673" s="1" t="s">
        <v>1739</v>
      </c>
      <c r="F7673">
        <v>1</v>
      </c>
      <c r="G7673" t="str">
        <f>HYPERLINK("http://babel.hathitrust.org/cgi/pt?id=hvd.hw2q58")</f>
        <v>http://babel.hathitrust.org/cgi/pt?id=hvd.hw2q58</v>
      </c>
      <c r="H7673" t="str">
        <f>HYPERLINK("http://catalog.hathitrust.org/Record/010944431")</f>
        <v>http://catalog.hathitrust.org/Record/010944431</v>
      </c>
      <c r="J7673" s="1">
        <v>1865</v>
      </c>
      <c r="K7673" t="s">
        <v>1740</v>
      </c>
      <c r="L7673" t="s">
        <v>11681</v>
      </c>
    </row>
    <row r="7674" spans="1:12">
      <c r="A7674" t="s">
        <v>1743</v>
      </c>
      <c r="B7674" s="1" t="s">
        <v>1744</v>
      </c>
      <c r="E7674">
        <v>1</v>
      </c>
      <c r="F7674">
        <v>1</v>
      </c>
      <c r="G7674" t="str">
        <f>HYPERLINK("http://babel.hathitrust.org/cgi/pt?id=dul1.ark:/13960/t12n5wk7w")</f>
        <v>http://babel.hathitrust.org/cgi/pt?id=dul1.ark:/13960/t12n5wk7w</v>
      </c>
      <c r="H7674" t="str">
        <f>HYPERLINK("http://catalog.hathitrust.org/Record/010944432")</f>
        <v>http://catalog.hathitrust.org/Record/010944432</v>
      </c>
      <c r="J7674" s="1">
        <v>1864</v>
      </c>
      <c r="K7674" t="s">
        <v>1745</v>
      </c>
      <c r="L7674" t="s">
        <v>11681</v>
      </c>
    </row>
    <row r="7675" spans="1:12">
      <c r="A7675" t="s">
        <v>1746</v>
      </c>
      <c r="B7675" s="1" t="s">
        <v>1747</v>
      </c>
      <c r="F7675">
        <v>1</v>
      </c>
      <c r="G7675" t="str">
        <f>HYPERLINK("http://babel.hathitrust.org/cgi/pt?id=dul1.ark:/13960/t9b57bq47")</f>
        <v>http://babel.hathitrust.org/cgi/pt?id=dul1.ark:/13960/t9b57bq47</v>
      </c>
      <c r="H7675" t="str">
        <f>HYPERLINK("http://catalog.hathitrust.org/Record/010944708")</f>
        <v>http://catalog.hathitrust.org/Record/010944708</v>
      </c>
      <c r="J7675" s="1">
        <v>1861</v>
      </c>
      <c r="K7675" t="s">
        <v>1748</v>
      </c>
      <c r="L7675" t="s">
        <v>16039</v>
      </c>
    </row>
    <row r="7676" spans="1:12">
      <c r="A7676" t="s">
        <v>1749</v>
      </c>
      <c r="B7676" s="1" t="s">
        <v>1750</v>
      </c>
      <c r="F7676">
        <v>1</v>
      </c>
      <c r="G7676" t="str">
        <f>HYPERLINK("http://babel.hathitrust.org/cgi/pt?id=dul1.ark:/13960/t4zg7f81h")</f>
        <v>http://babel.hathitrust.org/cgi/pt?id=dul1.ark:/13960/t4zg7f81h</v>
      </c>
      <c r="H7676" t="str">
        <f>HYPERLINK("http://catalog.hathitrust.org/Record/010944744")</f>
        <v>http://catalog.hathitrust.org/Record/010944744</v>
      </c>
      <c r="J7676" s="1">
        <v>1864</v>
      </c>
      <c r="K7676" t="s">
        <v>1751</v>
      </c>
      <c r="L7676" t="s">
        <v>12780</v>
      </c>
    </row>
    <row r="7677" spans="1:12">
      <c r="A7677" t="s">
        <v>1752</v>
      </c>
      <c r="B7677" s="1" t="s">
        <v>1753</v>
      </c>
      <c r="F7677">
        <v>1</v>
      </c>
      <c r="G7677" t="str">
        <f>HYPERLINK("http://babel.hathitrust.org/cgi/pt?id=dul1.ark:/13960/t6sx72n0w")</f>
        <v>http://babel.hathitrust.org/cgi/pt?id=dul1.ark:/13960/t6sx72n0w</v>
      </c>
      <c r="H7677" t="str">
        <f>HYPERLINK("http://catalog.hathitrust.org/Record/010944745")</f>
        <v>http://catalog.hathitrust.org/Record/010944745</v>
      </c>
      <c r="J7677" s="1">
        <v>1861</v>
      </c>
      <c r="K7677" t="s">
        <v>1754</v>
      </c>
      <c r="L7677" t="s">
        <v>1755</v>
      </c>
    </row>
    <row r="7678" spans="1:12">
      <c r="A7678" t="s">
        <v>1756</v>
      </c>
      <c r="B7678" s="1" t="s">
        <v>1757</v>
      </c>
      <c r="F7678">
        <v>1</v>
      </c>
      <c r="G7678" t="str">
        <f>HYPERLINK("http://babel.hathitrust.org/cgi/pt?id=dul1.ark:/13960/t83j47g42")</f>
        <v>http://babel.hathitrust.org/cgi/pt?id=dul1.ark:/13960/t83j47g42</v>
      </c>
      <c r="H7678" t="str">
        <f>HYPERLINK("http://catalog.hathitrust.org/Record/010944748")</f>
        <v>http://catalog.hathitrust.org/Record/010944748</v>
      </c>
      <c r="J7678" s="1">
        <v>1862</v>
      </c>
      <c r="K7678" t="s">
        <v>1758</v>
      </c>
      <c r="L7678" t="s">
        <v>1759</v>
      </c>
    </row>
    <row r="7679" spans="1:12">
      <c r="A7679" t="s">
        <v>1760</v>
      </c>
      <c r="B7679" s="1" t="s">
        <v>1761</v>
      </c>
      <c r="F7679">
        <v>1</v>
      </c>
      <c r="G7679" t="str">
        <f>HYPERLINK("http://babel.hathitrust.org/cgi/pt?id=dul1.ark:/13960/t8cg0hx8d")</f>
        <v>http://babel.hathitrust.org/cgi/pt?id=dul1.ark:/13960/t8cg0hx8d</v>
      </c>
      <c r="H7679" t="str">
        <f>HYPERLINK("http://catalog.hathitrust.org/Record/010944749")</f>
        <v>http://catalog.hathitrust.org/Record/010944749</v>
      </c>
      <c r="J7679" s="1">
        <v>1865</v>
      </c>
      <c r="K7679" t="s">
        <v>1762</v>
      </c>
      <c r="L7679" t="s">
        <v>1759</v>
      </c>
    </row>
    <row r="7680" spans="1:12">
      <c r="A7680" t="s">
        <v>1763</v>
      </c>
      <c r="B7680" s="1" t="s">
        <v>1764</v>
      </c>
      <c r="F7680">
        <v>1</v>
      </c>
      <c r="G7680" t="str">
        <f>HYPERLINK("http://babel.hathitrust.org/cgi/pt?id=dul1.ark:/13960/t80k34w28")</f>
        <v>http://babel.hathitrust.org/cgi/pt?id=dul1.ark:/13960/t80k34w28</v>
      </c>
      <c r="H7680" t="str">
        <f>HYPERLINK("http://catalog.hathitrust.org/Record/010944750")</f>
        <v>http://catalog.hathitrust.org/Record/010944750</v>
      </c>
      <c r="J7680" s="1">
        <v>1864</v>
      </c>
      <c r="K7680" t="s">
        <v>1765</v>
      </c>
      <c r="L7680" t="s">
        <v>1759</v>
      </c>
    </row>
    <row r="7681" spans="1:12">
      <c r="A7681" t="s">
        <v>1766</v>
      </c>
      <c r="B7681" s="1" t="s">
        <v>1767</v>
      </c>
      <c r="F7681">
        <v>1</v>
      </c>
      <c r="G7681" t="str">
        <f>HYPERLINK("http://babel.hathitrust.org/cgi/pt?id=dul1.ark:/13960/t4hm60s5r")</f>
        <v>http://babel.hathitrust.org/cgi/pt?id=dul1.ark:/13960/t4hm60s5r</v>
      </c>
      <c r="H7681" t="str">
        <f>HYPERLINK("http://catalog.hathitrust.org/Record/010944757")</f>
        <v>http://catalog.hathitrust.org/Record/010944757</v>
      </c>
      <c r="J7681" s="1">
        <v>1864</v>
      </c>
      <c r="K7681" t="s">
        <v>1768</v>
      </c>
      <c r="L7681" t="s">
        <v>1759</v>
      </c>
    </row>
    <row r="7682" spans="1:12">
      <c r="A7682" t="s">
        <v>1769</v>
      </c>
      <c r="B7682" s="1" t="s">
        <v>1668</v>
      </c>
      <c r="F7682">
        <v>1</v>
      </c>
      <c r="G7682" t="str">
        <f>HYPERLINK("http://babel.hathitrust.org/cgi/pt?id=dul1.ark:/13960/t3tt5cs8z")</f>
        <v>http://babel.hathitrust.org/cgi/pt?id=dul1.ark:/13960/t3tt5cs8z</v>
      </c>
      <c r="H7682" t="str">
        <f>HYPERLINK("http://catalog.hathitrust.org/Record/010945015")</f>
        <v>http://catalog.hathitrust.org/Record/010945015</v>
      </c>
      <c r="J7682" s="1">
        <v>1862</v>
      </c>
      <c r="K7682" t="s">
        <v>1734</v>
      </c>
      <c r="L7682" t="s">
        <v>1731</v>
      </c>
    </row>
    <row r="7683" spans="1:12">
      <c r="A7683" t="s">
        <v>1669</v>
      </c>
      <c r="B7683" s="1" t="s">
        <v>1670</v>
      </c>
      <c r="F7683">
        <v>1</v>
      </c>
      <c r="G7683" t="str">
        <f>HYPERLINK("http://babel.hathitrust.org/cgi/pt?id=uc1.b4628154")</f>
        <v>http://babel.hathitrust.org/cgi/pt?id=uc1.b4628154</v>
      </c>
      <c r="H7683" t="str">
        <f>HYPERLINK("http://catalog.hathitrust.org/Record/011157684")</f>
        <v>http://catalog.hathitrust.org/Record/011157684</v>
      </c>
      <c r="J7683" s="1">
        <v>1857</v>
      </c>
      <c r="K7683" t="s">
        <v>1671</v>
      </c>
      <c r="L7683" t="s">
        <v>17516</v>
      </c>
    </row>
    <row r="7684" spans="1:12">
      <c r="A7684" t="s">
        <v>1672</v>
      </c>
      <c r="B7684" s="1" t="s">
        <v>1673</v>
      </c>
      <c r="E7684">
        <v>1</v>
      </c>
      <c r="G7684" t="str">
        <f>HYPERLINK("http://babel.hathitrust.org/cgi/pt?id=uc1.31158004572698")</f>
        <v>http://babel.hathitrust.org/cgi/pt?id=uc1.31158004572698</v>
      </c>
      <c r="H7684" t="str">
        <f>HYPERLINK("http://catalog.hathitrust.org/Record/011158985")</f>
        <v>http://catalog.hathitrust.org/Record/011158985</v>
      </c>
      <c r="J7684" s="1">
        <v>1903</v>
      </c>
      <c r="K7684" t="s">
        <v>1674</v>
      </c>
      <c r="L7684" t="s">
        <v>20629</v>
      </c>
    </row>
    <row r="7685" spans="1:12">
      <c r="A7685" t="s">
        <v>1675</v>
      </c>
      <c r="B7685" s="1" t="s">
        <v>1676</v>
      </c>
      <c r="F7685">
        <v>1</v>
      </c>
      <c r="G7685" t="str">
        <f>HYPERLINK("http://babel.hathitrust.org/cgi/pt?id=uc1.l0084038165")</f>
        <v>http://babel.hathitrust.org/cgi/pt?id=uc1.l0084038165</v>
      </c>
      <c r="H7685" t="str">
        <f>HYPERLINK("http://catalog.hathitrust.org/Record/011159136")</f>
        <v>http://catalog.hathitrust.org/Record/011159136</v>
      </c>
      <c r="J7685" s="1">
        <v>1902</v>
      </c>
      <c r="K7685" t="s">
        <v>1677</v>
      </c>
      <c r="L7685" t="s">
        <v>10953</v>
      </c>
    </row>
    <row r="7686" spans="1:12">
      <c r="A7686" t="s">
        <v>1678</v>
      </c>
      <c r="B7686" s="1" t="s">
        <v>1679</v>
      </c>
      <c r="F7686">
        <v>1</v>
      </c>
      <c r="G7686" t="str">
        <f>HYPERLINK("http://babel.hathitrust.org/cgi/pt?id=uc1.l0073754574")</f>
        <v>http://babel.hathitrust.org/cgi/pt?id=uc1.l0073754574</v>
      </c>
      <c r="H7686" t="str">
        <f>HYPERLINK("http://catalog.hathitrust.org/Record/011159267")</f>
        <v>http://catalog.hathitrust.org/Record/011159267</v>
      </c>
      <c r="J7686" s="1">
        <v>1907</v>
      </c>
      <c r="K7686" t="s">
        <v>1680</v>
      </c>
    </row>
    <row r="7687" spans="1:12">
      <c r="A7687" t="s">
        <v>1681</v>
      </c>
      <c r="B7687" s="1" t="s">
        <v>1682</v>
      </c>
      <c r="F7687">
        <v>1</v>
      </c>
      <c r="G7687" t="str">
        <f>HYPERLINK("http://babel.hathitrust.org/cgi/pt?id=uc1.l0073270613")</f>
        <v>http://babel.hathitrust.org/cgi/pt?id=uc1.l0073270613</v>
      </c>
      <c r="H7687" t="str">
        <f>HYPERLINK("http://catalog.hathitrust.org/Record/011159350")</f>
        <v>http://catalog.hathitrust.org/Record/011159350</v>
      </c>
      <c r="J7687" s="1">
        <v>1914</v>
      </c>
      <c r="K7687" t="s">
        <v>1683</v>
      </c>
      <c r="L7687" t="s">
        <v>1684</v>
      </c>
    </row>
    <row r="7688" spans="1:12">
      <c r="A7688" t="s">
        <v>1685</v>
      </c>
      <c r="B7688" s="1" t="s">
        <v>1686</v>
      </c>
      <c r="F7688">
        <v>1</v>
      </c>
      <c r="G7688" t="str">
        <f>HYPERLINK("http://babel.hathitrust.org/cgi/pt?id=uc1.31158007904948")</f>
        <v>http://babel.hathitrust.org/cgi/pt?id=uc1.31158007904948</v>
      </c>
      <c r="H7688" t="str">
        <f>HYPERLINK("http://catalog.hathitrust.org/Record/011159587")</f>
        <v>http://catalog.hathitrust.org/Record/011159587</v>
      </c>
      <c r="J7688" s="1">
        <v>1881</v>
      </c>
      <c r="K7688" t="s">
        <v>1687</v>
      </c>
      <c r="L7688" t="s">
        <v>18477</v>
      </c>
    </row>
    <row r="7689" spans="1:12">
      <c r="A7689" t="s">
        <v>1688</v>
      </c>
      <c r="B7689" s="1" t="s">
        <v>1689</v>
      </c>
      <c r="F7689">
        <v>1</v>
      </c>
      <c r="G7689" t="str">
        <f>HYPERLINK("http://babel.hathitrust.org/cgi/pt?id=pst.000018568660")</f>
        <v>http://babel.hathitrust.org/cgi/pt?id=pst.000018568660</v>
      </c>
      <c r="H7689" t="str">
        <f>HYPERLINK("http://catalog.hathitrust.org/Record/011199183")</f>
        <v>http://catalog.hathitrust.org/Record/011199183</v>
      </c>
      <c r="I7689" s="1" t="s">
        <v>20755</v>
      </c>
      <c r="J7689" s="1">
        <v>1921</v>
      </c>
      <c r="K7689" t="s">
        <v>1690</v>
      </c>
      <c r="L7689" t="s">
        <v>1691</v>
      </c>
    </row>
    <row r="7690" spans="1:12">
      <c r="A7690" t="s">
        <v>1692</v>
      </c>
      <c r="B7690" s="1" t="s">
        <v>1693</v>
      </c>
      <c r="F7690">
        <v>1</v>
      </c>
      <c r="G7690" t="str">
        <f>HYPERLINK("http://babel.hathitrust.org/cgi/pt?id=pst.000004393931")</f>
        <v>http://babel.hathitrust.org/cgi/pt?id=pst.000004393931</v>
      </c>
      <c r="H7690" t="str">
        <f>HYPERLINK("http://catalog.hathitrust.org/Record/011199479")</f>
        <v>http://catalog.hathitrust.org/Record/011199479</v>
      </c>
      <c r="J7690" s="1">
        <v>1868</v>
      </c>
      <c r="K7690" t="s">
        <v>1694</v>
      </c>
      <c r="L7690" t="s">
        <v>1695</v>
      </c>
    </row>
    <row r="7691" spans="1:12">
      <c r="A7691" t="s">
        <v>1696</v>
      </c>
      <c r="B7691" s="1" t="s">
        <v>1697</v>
      </c>
      <c r="F7691">
        <v>1</v>
      </c>
      <c r="G7691" t="str">
        <f>HYPERLINK("http://babel.hathitrust.org/cgi/pt?id=hvd.hwp996")</f>
        <v>http://babel.hathitrust.org/cgi/pt?id=hvd.hwp996</v>
      </c>
      <c r="H7691" t="str">
        <f>HYPERLINK("http://catalog.hathitrust.org/Record/011199490")</f>
        <v>http://catalog.hathitrust.org/Record/011199490</v>
      </c>
      <c r="J7691" s="1">
        <v>1862</v>
      </c>
      <c r="K7691" t="s">
        <v>1698</v>
      </c>
      <c r="L7691" t="s">
        <v>20518</v>
      </c>
    </row>
    <row r="7692" spans="1:12">
      <c r="A7692" t="s">
        <v>1699</v>
      </c>
      <c r="B7692" s="1" t="s">
        <v>1700</v>
      </c>
      <c r="F7692">
        <v>1</v>
      </c>
      <c r="G7692" t="str">
        <f>HYPERLINK("http://babel.hathitrust.org/cgi/pt?id=pst.000018582055")</f>
        <v>http://babel.hathitrust.org/cgi/pt?id=pst.000018582055</v>
      </c>
      <c r="H7692" t="str">
        <f>HYPERLINK("http://catalog.hathitrust.org/Record/011199495")</f>
        <v>http://catalog.hathitrust.org/Record/011199495</v>
      </c>
      <c r="I7692" s="1" t="s">
        <v>16391</v>
      </c>
      <c r="J7692" s="1">
        <v>1862</v>
      </c>
      <c r="K7692" t="s">
        <v>1701</v>
      </c>
      <c r="L7692" t="s">
        <v>1759</v>
      </c>
    </row>
    <row r="7693" spans="1:12">
      <c r="A7693" t="s">
        <v>1702</v>
      </c>
      <c r="B7693" s="1" t="s">
        <v>1703</v>
      </c>
      <c r="F7693">
        <v>1</v>
      </c>
      <c r="G7693" t="str">
        <f>HYPERLINK("http://babel.hathitrust.org/cgi/pt?id=pst.000003079126")</f>
        <v>http://babel.hathitrust.org/cgi/pt?id=pst.000003079126</v>
      </c>
      <c r="H7693" t="str">
        <f>HYPERLINK("http://catalog.hathitrust.org/Record/011199508")</f>
        <v>http://catalog.hathitrust.org/Record/011199508</v>
      </c>
      <c r="J7693" s="1">
        <v>1914</v>
      </c>
      <c r="K7693" t="s">
        <v>1704</v>
      </c>
      <c r="L7693" t="s">
        <v>1705</v>
      </c>
    </row>
    <row r="7694" spans="1:12">
      <c r="A7694" t="s">
        <v>1706</v>
      </c>
      <c r="B7694" s="1" t="s">
        <v>1707</v>
      </c>
      <c r="F7694">
        <v>1</v>
      </c>
      <c r="G7694" t="str">
        <f>HYPERLINK("http://babel.hathitrust.org/cgi/pt?id=pst.000004929383")</f>
        <v>http://babel.hathitrust.org/cgi/pt?id=pst.000004929383</v>
      </c>
      <c r="H7694" t="str">
        <f>HYPERLINK("http://catalog.hathitrust.org/Record/011199580")</f>
        <v>http://catalog.hathitrust.org/Record/011199580</v>
      </c>
      <c r="J7694" s="1">
        <v>1851</v>
      </c>
      <c r="K7694" t="s">
        <v>1708</v>
      </c>
      <c r="L7694" t="s">
        <v>10091</v>
      </c>
    </row>
    <row r="7695" spans="1:12">
      <c r="A7695" t="s">
        <v>1709</v>
      </c>
      <c r="B7695" s="1" t="s">
        <v>1710</v>
      </c>
      <c r="F7695">
        <v>1</v>
      </c>
      <c r="G7695" t="str">
        <f>HYPERLINK("http://babel.hathitrust.org/cgi/pt?id=pst.000057480701")</f>
        <v>http://babel.hathitrust.org/cgi/pt?id=pst.000057480701</v>
      </c>
      <c r="H7695" t="str">
        <f>HYPERLINK("http://catalog.hathitrust.org/Record/011199725")</f>
        <v>http://catalog.hathitrust.org/Record/011199725</v>
      </c>
      <c r="I7695" s="1" t="s">
        <v>20916</v>
      </c>
      <c r="J7695" s="1">
        <v>1911</v>
      </c>
      <c r="K7695" t="s">
        <v>1711</v>
      </c>
      <c r="L7695" t="s">
        <v>1712</v>
      </c>
    </row>
    <row r="7696" spans="1:12">
      <c r="A7696" t="s">
        <v>1713</v>
      </c>
      <c r="B7696" s="1" t="s">
        <v>1710</v>
      </c>
      <c r="F7696">
        <v>1</v>
      </c>
      <c r="G7696" t="str">
        <f>HYPERLINK("http://babel.hathitrust.org/cgi/pt?id=pst.000057480718")</f>
        <v>http://babel.hathitrust.org/cgi/pt?id=pst.000057480718</v>
      </c>
      <c r="H7696" t="str">
        <f>HYPERLINK("http://catalog.hathitrust.org/Record/011199725")</f>
        <v>http://catalog.hathitrust.org/Record/011199725</v>
      </c>
      <c r="I7696" s="1" t="s">
        <v>20755</v>
      </c>
      <c r="J7696" s="1">
        <v>1911</v>
      </c>
      <c r="K7696" t="s">
        <v>1711</v>
      </c>
      <c r="L7696" t="s">
        <v>1712</v>
      </c>
    </row>
    <row r="7697" spans="1:12">
      <c r="A7697" t="s">
        <v>1714</v>
      </c>
      <c r="B7697" s="1" t="s">
        <v>1715</v>
      </c>
      <c r="E7697">
        <v>1</v>
      </c>
      <c r="G7697" t="str">
        <f>HYPERLINK("http://babel.hathitrust.org/cgi/pt?id=pst.000057479811")</f>
        <v>http://babel.hathitrust.org/cgi/pt?id=pst.000057479811</v>
      </c>
      <c r="H7697" t="str">
        <f>HYPERLINK("http://catalog.hathitrust.org/Record/011199731")</f>
        <v>http://catalog.hathitrust.org/Record/011199731</v>
      </c>
      <c r="J7697" s="1">
        <v>1855</v>
      </c>
      <c r="K7697" t="s">
        <v>4370</v>
      </c>
      <c r="L7697" t="s">
        <v>4371</v>
      </c>
    </row>
    <row r="7698" spans="1:12">
      <c r="A7698" t="s">
        <v>1716</v>
      </c>
      <c r="B7698" s="1" t="s">
        <v>1717</v>
      </c>
      <c r="F7698">
        <v>1</v>
      </c>
      <c r="G7698" t="str">
        <f>HYPERLINK("http://babel.hathitrust.org/cgi/pt?id=pst.000057479828")</f>
        <v>http://babel.hathitrust.org/cgi/pt?id=pst.000057479828</v>
      </c>
      <c r="H7698" t="str">
        <f>HYPERLINK("http://catalog.hathitrust.org/Record/011199732")</f>
        <v>http://catalog.hathitrust.org/Record/011199732</v>
      </c>
      <c r="J7698" s="1">
        <v>1893</v>
      </c>
      <c r="K7698" t="s">
        <v>1718</v>
      </c>
      <c r="L7698" t="s">
        <v>1719</v>
      </c>
    </row>
    <row r="7699" spans="1:12">
      <c r="A7699" t="s">
        <v>1720</v>
      </c>
      <c r="B7699" s="1" t="s">
        <v>1721</v>
      </c>
      <c r="F7699">
        <v>1</v>
      </c>
      <c r="G7699" t="str">
        <f>HYPERLINK("http://babel.hathitrust.org/cgi/pt?id=pst.000057479705")</f>
        <v>http://babel.hathitrust.org/cgi/pt?id=pst.000057479705</v>
      </c>
      <c r="H7699" t="str">
        <f>HYPERLINK("http://catalog.hathitrust.org/Record/011199734")</f>
        <v>http://catalog.hathitrust.org/Record/011199734</v>
      </c>
      <c r="J7699" s="1">
        <v>1845</v>
      </c>
      <c r="K7699" t="s">
        <v>1617</v>
      </c>
      <c r="L7699" t="s">
        <v>16785</v>
      </c>
    </row>
    <row r="7700" spans="1:12">
      <c r="A7700" t="s">
        <v>1618</v>
      </c>
      <c r="B7700" s="1" t="s">
        <v>1619</v>
      </c>
      <c r="E7700">
        <v>1</v>
      </c>
      <c r="F7700">
        <v>1</v>
      </c>
      <c r="G7700" t="str">
        <f>HYPERLINK("http://babel.hathitrust.org/cgi/pt?id=pst.000057479699")</f>
        <v>http://babel.hathitrust.org/cgi/pt?id=pst.000057479699</v>
      </c>
      <c r="H7700" t="str">
        <f>HYPERLINK("http://catalog.hathitrust.org/Record/011199735")</f>
        <v>http://catalog.hathitrust.org/Record/011199735</v>
      </c>
      <c r="J7700" s="1">
        <v>1904</v>
      </c>
      <c r="K7700" t="s">
        <v>1620</v>
      </c>
      <c r="L7700" t="s">
        <v>1621</v>
      </c>
    </row>
    <row r="7701" spans="1:12">
      <c r="A7701" t="s">
        <v>1622</v>
      </c>
      <c r="B7701" s="1" t="s">
        <v>1623</v>
      </c>
      <c r="E7701">
        <v>1</v>
      </c>
      <c r="F7701">
        <v>1</v>
      </c>
      <c r="G7701" t="str">
        <f>HYPERLINK("http://babel.hathitrust.org/cgi/pt?id=pst.000057479606")</f>
        <v>http://babel.hathitrust.org/cgi/pt?id=pst.000057479606</v>
      </c>
      <c r="H7701" t="str">
        <f>HYPERLINK("http://catalog.hathitrust.org/Record/011199736")</f>
        <v>http://catalog.hathitrust.org/Record/011199736</v>
      </c>
      <c r="J7701" s="1">
        <v>1865</v>
      </c>
      <c r="K7701" t="s">
        <v>1624</v>
      </c>
      <c r="L7701" t="s">
        <v>5177</v>
      </c>
    </row>
    <row r="7702" spans="1:12">
      <c r="A7702" t="s">
        <v>1625</v>
      </c>
      <c r="B7702" s="1" t="s">
        <v>1626</v>
      </c>
      <c r="F7702">
        <v>1</v>
      </c>
      <c r="G7702" t="str">
        <f>HYPERLINK("http://babel.hathitrust.org/cgi/pt?id=pst.000057479309")</f>
        <v>http://babel.hathitrust.org/cgi/pt?id=pst.000057479309</v>
      </c>
      <c r="H7702" t="str">
        <f>HYPERLINK("http://catalog.hathitrust.org/Record/011199738")</f>
        <v>http://catalog.hathitrust.org/Record/011199738</v>
      </c>
      <c r="J7702" s="1">
        <v>1860</v>
      </c>
      <c r="K7702" t="s">
        <v>1627</v>
      </c>
      <c r="L7702" t="s">
        <v>1628</v>
      </c>
    </row>
    <row r="7703" spans="1:12">
      <c r="A7703" t="s">
        <v>1629</v>
      </c>
      <c r="B7703" s="1" t="s">
        <v>1630</v>
      </c>
      <c r="F7703">
        <v>1</v>
      </c>
      <c r="G7703" t="str">
        <f>HYPERLINK("http://babel.hathitrust.org/cgi/pt?id=loc.ark:/13960/t9378774m")</f>
        <v>http://babel.hathitrust.org/cgi/pt?id=loc.ark:/13960/t9378774m</v>
      </c>
      <c r="H7703" t="str">
        <f>HYPERLINK("http://catalog.hathitrust.org/Record/011202060")</f>
        <v>http://catalog.hathitrust.org/Record/011202060</v>
      </c>
      <c r="J7703" s="1">
        <v>1827</v>
      </c>
      <c r="K7703" t="s">
        <v>1631</v>
      </c>
      <c r="L7703" t="s">
        <v>1632</v>
      </c>
    </row>
    <row r="7704" spans="1:12">
      <c r="A7704" t="s">
        <v>1633</v>
      </c>
      <c r="B7704" s="1" t="s">
        <v>1634</v>
      </c>
      <c r="F7704">
        <v>1</v>
      </c>
      <c r="G7704" t="str">
        <f>HYPERLINK("http://babel.hathitrust.org/cgi/pt?id=loc.ark:/13960/t13n3214w")</f>
        <v>http://babel.hathitrust.org/cgi/pt?id=loc.ark:/13960/t13n3214w</v>
      </c>
      <c r="H7704" t="str">
        <f>HYPERLINK("http://catalog.hathitrust.org/Record/011202725")</f>
        <v>http://catalog.hathitrust.org/Record/011202725</v>
      </c>
      <c r="J7704" s="1">
        <v>1854</v>
      </c>
      <c r="K7704" t="s">
        <v>1635</v>
      </c>
      <c r="L7704" t="s">
        <v>1636</v>
      </c>
    </row>
    <row r="7705" spans="1:12">
      <c r="A7705" t="s">
        <v>1637</v>
      </c>
      <c r="B7705" s="1" t="s">
        <v>1638</v>
      </c>
      <c r="F7705">
        <v>1</v>
      </c>
      <c r="G7705" t="str">
        <f>HYPERLINK("http://babel.hathitrust.org/cgi/pt?id=loc.ark:/13960/t5n884v54")</f>
        <v>http://babel.hathitrust.org/cgi/pt?id=loc.ark:/13960/t5n884v54</v>
      </c>
      <c r="H7705" t="str">
        <f>HYPERLINK("http://catalog.hathitrust.org/Record/011203054")</f>
        <v>http://catalog.hathitrust.org/Record/011203054</v>
      </c>
      <c r="J7705" s="1">
        <v>1913</v>
      </c>
      <c r="K7705" t="s">
        <v>1639</v>
      </c>
      <c r="L7705" t="s">
        <v>1640</v>
      </c>
    </row>
    <row r="7706" spans="1:12">
      <c r="A7706" t="s">
        <v>1641</v>
      </c>
      <c r="B7706" s="1" t="s">
        <v>1642</v>
      </c>
      <c r="F7706">
        <v>1</v>
      </c>
      <c r="G7706" t="str">
        <f>HYPERLINK("http://babel.hathitrust.org/cgi/pt?id=loc.ark:/13960/t5w67c56n")</f>
        <v>http://babel.hathitrust.org/cgi/pt?id=loc.ark:/13960/t5w67c56n</v>
      </c>
      <c r="H7706" t="str">
        <f>HYPERLINK("http://catalog.hathitrust.org/Record/011203513")</f>
        <v>http://catalog.hathitrust.org/Record/011203513</v>
      </c>
      <c r="J7706" s="1">
        <v>1901</v>
      </c>
      <c r="K7706" t="s">
        <v>1643</v>
      </c>
      <c r="L7706" t="s">
        <v>20026</v>
      </c>
    </row>
    <row r="7707" spans="1:12">
      <c r="A7707" t="s">
        <v>1644</v>
      </c>
      <c r="B7707" s="1" t="s">
        <v>1645</v>
      </c>
      <c r="F7707">
        <v>1</v>
      </c>
      <c r="G7707" t="str">
        <f>HYPERLINK("http://babel.hathitrust.org/cgi/pt?id=loc.ark:/13960/t7sn13w15")</f>
        <v>http://babel.hathitrust.org/cgi/pt?id=loc.ark:/13960/t7sn13w15</v>
      </c>
      <c r="H7707" t="str">
        <f>HYPERLINK("http://catalog.hathitrust.org/Record/011203695")</f>
        <v>http://catalog.hathitrust.org/Record/011203695</v>
      </c>
      <c r="J7707" s="1">
        <v>1914</v>
      </c>
      <c r="K7707" t="s">
        <v>1646</v>
      </c>
      <c r="L7707" t="s">
        <v>1647</v>
      </c>
    </row>
    <row r="7708" spans="1:12">
      <c r="A7708" t="s">
        <v>1648</v>
      </c>
      <c r="B7708" s="1" t="s">
        <v>1649</v>
      </c>
      <c r="F7708">
        <v>1</v>
      </c>
      <c r="G7708" t="str">
        <f>HYPERLINK("http://babel.hathitrust.org/cgi/pt?id=loc.ark:/13960/t6ww88b5q")</f>
        <v>http://babel.hathitrust.org/cgi/pt?id=loc.ark:/13960/t6ww88b5q</v>
      </c>
      <c r="H7708" t="str">
        <f>HYPERLINK("http://catalog.hathitrust.org/Record/011203777")</f>
        <v>http://catalog.hathitrust.org/Record/011203777</v>
      </c>
      <c r="J7708" s="1">
        <v>1922</v>
      </c>
      <c r="K7708" t="s">
        <v>1650</v>
      </c>
      <c r="L7708" t="s">
        <v>11476</v>
      </c>
    </row>
    <row r="7709" spans="1:12">
      <c r="A7709" t="s">
        <v>1651</v>
      </c>
      <c r="B7709" s="1" t="s">
        <v>1652</v>
      </c>
      <c r="F7709">
        <v>1</v>
      </c>
      <c r="G7709" t="str">
        <f>HYPERLINK("http://babel.hathitrust.org/cgi/pt?id=loc.ark:/13960/t1xd1c20d")</f>
        <v>http://babel.hathitrust.org/cgi/pt?id=loc.ark:/13960/t1xd1c20d</v>
      </c>
      <c r="H7709" t="str">
        <f>HYPERLINK("http://catalog.hathitrust.org/Record/011204369")</f>
        <v>http://catalog.hathitrust.org/Record/011204369</v>
      </c>
      <c r="J7709" s="1">
        <v>1898</v>
      </c>
      <c r="K7709" t="s">
        <v>1653</v>
      </c>
      <c r="L7709" t="s">
        <v>11642</v>
      </c>
    </row>
    <row r="7710" spans="1:12">
      <c r="A7710" t="s">
        <v>1654</v>
      </c>
      <c r="B7710" s="1" t="s">
        <v>1655</v>
      </c>
      <c r="F7710">
        <v>1</v>
      </c>
      <c r="G7710" t="str">
        <f>HYPERLINK("http://babel.hathitrust.org/cgi/pt?id=loc.ark:/13960/t0ht3hw35")</f>
        <v>http://babel.hathitrust.org/cgi/pt?id=loc.ark:/13960/t0ht3hw35</v>
      </c>
      <c r="H7710" t="str">
        <f>HYPERLINK("http://catalog.hathitrust.org/Record/011204370")</f>
        <v>http://catalog.hathitrust.org/Record/011204370</v>
      </c>
      <c r="J7710" s="1">
        <v>1901</v>
      </c>
      <c r="K7710" t="s">
        <v>1656</v>
      </c>
      <c r="L7710" t="s">
        <v>19211</v>
      </c>
    </row>
    <row r="7711" spans="1:12">
      <c r="A7711" t="s">
        <v>1657</v>
      </c>
      <c r="B7711" s="1" t="s">
        <v>1658</v>
      </c>
      <c r="E7711">
        <v>1</v>
      </c>
      <c r="G7711" t="str">
        <f>HYPERLINK("http://babel.hathitrust.org/cgi/pt?id=loc.ark:/13960/t1fj3bf35")</f>
        <v>http://babel.hathitrust.org/cgi/pt?id=loc.ark:/13960/t1fj3bf35</v>
      </c>
      <c r="H7711" t="str">
        <f>HYPERLINK("http://catalog.hathitrust.org/Record/011205163")</f>
        <v>http://catalog.hathitrust.org/Record/011205163</v>
      </c>
      <c r="J7711" s="1">
        <v>1892</v>
      </c>
      <c r="K7711" t="s">
        <v>1659</v>
      </c>
      <c r="L7711" t="s">
        <v>1660</v>
      </c>
    </row>
    <row r="7712" spans="1:12">
      <c r="A7712" t="s">
        <v>1661</v>
      </c>
      <c r="B7712" s="1" t="s">
        <v>1662</v>
      </c>
      <c r="F7712">
        <v>1</v>
      </c>
      <c r="G7712" t="str">
        <f>HYPERLINK("http://babel.hathitrust.org/cgi/pt?id=loc.ark:/13960/t8pc3w580")</f>
        <v>http://babel.hathitrust.org/cgi/pt?id=loc.ark:/13960/t8pc3w580</v>
      </c>
      <c r="H7712" t="str">
        <f>HYPERLINK("http://catalog.hathitrust.org/Record/011205302")</f>
        <v>http://catalog.hathitrust.org/Record/011205302</v>
      </c>
      <c r="J7712" s="1">
        <v>1866</v>
      </c>
      <c r="K7712" t="s">
        <v>11788</v>
      </c>
      <c r="L7712" t="s">
        <v>4404</v>
      </c>
    </row>
    <row r="7713" spans="1:12">
      <c r="A7713" t="s">
        <v>1663</v>
      </c>
      <c r="B7713" s="1" t="s">
        <v>1664</v>
      </c>
      <c r="D7713">
        <v>1</v>
      </c>
      <c r="G7713" t="str">
        <f>HYPERLINK("http://babel.hathitrust.org/cgi/pt?id=loc.ark:/13960/t0xp7wn6w")</f>
        <v>http://babel.hathitrust.org/cgi/pt?id=loc.ark:/13960/t0xp7wn6w</v>
      </c>
      <c r="H7713" t="str">
        <f>HYPERLINK("http://catalog.hathitrust.org/Record/011205666")</f>
        <v>http://catalog.hathitrust.org/Record/011205666</v>
      </c>
      <c r="J7713" s="1">
        <v>1896</v>
      </c>
      <c r="K7713" t="s">
        <v>1665</v>
      </c>
      <c r="L7713" t="s">
        <v>20467</v>
      </c>
    </row>
    <row r="7714" spans="1:12">
      <c r="A7714" t="s">
        <v>1666</v>
      </c>
      <c r="B7714" s="1" t="s">
        <v>1667</v>
      </c>
      <c r="F7714">
        <v>1</v>
      </c>
      <c r="G7714" t="str">
        <f>HYPERLINK("http://babel.hathitrust.org/cgi/pt?id=loc.ark:/13960/t6k080g1h")</f>
        <v>http://babel.hathitrust.org/cgi/pt?id=loc.ark:/13960/t6k080g1h</v>
      </c>
      <c r="H7714" t="str">
        <f>HYPERLINK("http://catalog.hathitrust.org/Record/011205725")</f>
        <v>http://catalog.hathitrust.org/Record/011205725</v>
      </c>
      <c r="J7714" s="1">
        <v>1907</v>
      </c>
      <c r="K7714" t="s">
        <v>1556</v>
      </c>
      <c r="L7714" t="s">
        <v>1557</v>
      </c>
    </row>
    <row r="7715" spans="1:12">
      <c r="A7715" t="s">
        <v>1558</v>
      </c>
      <c r="B7715" s="1" t="s">
        <v>1559</v>
      </c>
      <c r="D7715">
        <v>1</v>
      </c>
      <c r="G7715" t="str">
        <f>HYPERLINK("http://babel.hathitrust.org/cgi/pt?id=loc.ark:/13960/t7qn71b0b")</f>
        <v>http://babel.hathitrust.org/cgi/pt?id=loc.ark:/13960/t7qn71b0b</v>
      </c>
      <c r="H7715" t="str">
        <f>HYPERLINK("http://catalog.hathitrust.org/Record/011206148")</f>
        <v>http://catalog.hathitrust.org/Record/011206148</v>
      </c>
      <c r="J7715" s="1">
        <v>1854</v>
      </c>
      <c r="K7715" t="s">
        <v>1560</v>
      </c>
      <c r="L7715" t="s">
        <v>6479</v>
      </c>
    </row>
    <row r="7716" spans="1:12">
      <c r="A7716" t="s">
        <v>1561</v>
      </c>
      <c r="B7716" s="1" t="s">
        <v>1562</v>
      </c>
      <c r="F7716">
        <v>1</v>
      </c>
      <c r="G7716" t="str">
        <f>HYPERLINK("http://babel.hathitrust.org/cgi/pt?id=loc.ark:/13960/t9378840r")</f>
        <v>http://babel.hathitrust.org/cgi/pt?id=loc.ark:/13960/t9378840r</v>
      </c>
      <c r="H7716" t="str">
        <f>HYPERLINK("http://catalog.hathitrust.org/Record/011207240")</f>
        <v>http://catalog.hathitrust.org/Record/011207240</v>
      </c>
      <c r="J7716" s="1">
        <v>1897</v>
      </c>
      <c r="K7716" t="s">
        <v>1563</v>
      </c>
      <c r="L7716" t="s">
        <v>20026</v>
      </c>
    </row>
    <row r="7717" spans="1:12">
      <c r="A7717" t="s">
        <v>1564</v>
      </c>
      <c r="B7717" s="1" t="s">
        <v>1565</v>
      </c>
      <c r="F7717">
        <v>1</v>
      </c>
      <c r="G7717" t="str">
        <f>HYPERLINK("http://babel.hathitrust.org/cgi/pt?id=loc.ark:/13960/t3806082x")</f>
        <v>http://babel.hathitrust.org/cgi/pt?id=loc.ark:/13960/t3806082x</v>
      </c>
      <c r="H7717" t="str">
        <f>HYPERLINK("http://catalog.hathitrust.org/Record/011207282")</f>
        <v>http://catalog.hathitrust.org/Record/011207282</v>
      </c>
      <c r="J7717" s="1">
        <v>1868</v>
      </c>
      <c r="K7717" t="s">
        <v>1566</v>
      </c>
    </row>
    <row r="7718" spans="1:12">
      <c r="A7718" t="s">
        <v>1567</v>
      </c>
      <c r="B7718" s="1" t="s">
        <v>1568</v>
      </c>
      <c r="D7718">
        <v>1</v>
      </c>
      <c r="G7718" t="str">
        <f>HYPERLINK("http://babel.hathitrust.org/cgi/pt?id=loc.ark:/13960/t8ff4mt5n")</f>
        <v>http://babel.hathitrust.org/cgi/pt?id=loc.ark:/13960/t8ff4mt5n</v>
      </c>
      <c r="H7718" t="str">
        <f>HYPERLINK("http://catalog.hathitrust.org/Record/011207745")</f>
        <v>http://catalog.hathitrust.org/Record/011207745</v>
      </c>
      <c r="J7718" s="1">
        <v>1909</v>
      </c>
      <c r="K7718" t="s">
        <v>1569</v>
      </c>
      <c r="L7718" t="s">
        <v>20467</v>
      </c>
    </row>
    <row r="7719" spans="1:12">
      <c r="A7719" t="s">
        <v>1570</v>
      </c>
      <c r="B7719" s="1" t="s">
        <v>1571</v>
      </c>
      <c r="D7719">
        <v>1</v>
      </c>
      <c r="G7719" t="str">
        <f>HYPERLINK("http://babel.hathitrust.org/cgi/pt?id=loc.ark:/13960/t6pz63z7r")</f>
        <v>http://babel.hathitrust.org/cgi/pt?id=loc.ark:/13960/t6pz63z7r</v>
      </c>
      <c r="H7719" t="str">
        <f>HYPERLINK("http://catalog.hathitrust.org/Record/011208169")</f>
        <v>http://catalog.hathitrust.org/Record/011208169</v>
      </c>
      <c r="J7719" s="1">
        <v>1910</v>
      </c>
      <c r="K7719" t="s">
        <v>1572</v>
      </c>
      <c r="L7719" t="s">
        <v>1573</v>
      </c>
    </row>
    <row r="7720" spans="1:12">
      <c r="A7720" t="s">
        <v>1574</v>
      </c>
      <c r="B7720" s="1" t="s">
        <v>1575</v>
      </c>
      <c r="F7720">
        <v>1</v>
      </c>
      <c r="G7720" t="str">
        <f>HYPERLINK("http://babel.hathitrust.org/cgi/pt?id=loc.ark:/13960/t22b9w18w")</f>
        <v>http://babel.hathitrust.org/cgi/pt?id=loc.ark:/13960/t22b9w18w</v>
      </c>
      <c r="H7720" t="str">
        <f>HYPERLINK("http://catalog.hathitrust.org/Record/011208984")</f>
        <v>http://catalog.hathitrust.org/Record/011208984</v>
      </c>
      <c r="J7720" s="1">
        <v>1876</v>
      </c>
      <c r="K7720" t="s">
        <v>1576</v>
      </c>
      <c r="L7720" t="s">
        <v>1577</v>
      </c>
    </row>
    <row r="7721" spans="1:12">
      <c r="A7721" t="s">
        <v>1578</v>
      </c>
      <c r="B7721" s="1" t="s">
        <v>1579</v>
      </c>
      <c r="F7721">
        <v>1</v>
      </c>
      <c r="G7721" t="str">
        <f>HYPERLINK("http://babel.hathitrust.org/cgi/pt?id=loc.ark:/13960/t4bp10n94")</f>
        <v>http://babel.hathitrust.org/cgi/pt?id=loc.ark:/13960/t4bp10n94</v>
      </c>
      <c r="H7721" t="str">
        <f>HYPERLINK("http://catalog.hathitrust.org/Record/011209655")</f>
        <v>http://catalog.hathitrust.org/Record/011209655</v>
      </c>
      <c r="J7721" s="1">
        <v>1920</v>
      </c>
      <c r="K7721" t="s">
        <v>13368</v>
      </c>
      <c r="L7721" t="s">
        <v>13369</v>
      </c>
    </row>
    <row r="7722" spans="1:12">
      <c r="A7722" t="s">
        <v>1580</v>
      </c>
      <c r="B7722" s="1" t="s">
        <v>1581</v>
      </c>
      <c r="F7722">
        <v>1</v>
      </c>
      <c r="G7722" t="str">
        <f>HYPERLINK("http://babel.hathitrust.org/cgi/pt?id=loc.ark:/13960/t6d22sb0m")</f>
        <v>http://babel.hathitrust.org/cgi/pt?id=loc.ark:/13960/t6d22sb0m</v>
      </c>
      <c r="H7722" t="str">
        <f>HYPERLINK("http://catalog.hathitrust.org/Record/011210086")</f>
        <v>http://catalog.hathitrust.org/Record/011210086</v>
      </c>
      <c r="J7722" s="1">
        <v>1892</v>
      </c>
      <c r="K7722" t="s">
        <v>1582</v>
      </c>
      <c r="L7722" t="s">
        <v>1583</v>
      </c>
    </row>
    <row r="7723" spans="1:12">
      <c r="A7723" t="s">
        <v>1584</v>
      </c>
      <c r="B7723" s="1" t="s">
        <v>1585</v>
      </c>
      <c r="F7723">
        <v>1</v>
      </c>
      <c r="G7723" t="str">
        <f>HYPERLINK("http://babel.hathitrust.org/cgi/pt?id=loc.ark:/13960/t91844t08")</f>
        <v>http://babel.hathitrust.org/cgi/pt?id=loc.ark:/13960/t91844t08</v>
      </c>
      <c r="H7723" t="str">
        <f>HYPERLINK("http://catalog.hathitrust.org/Record/011210100")</f>
        <v>http://catalog.hathitrust.org/Record/011210100</v>
      </c>
      <c r="J7723" s="1">
        <v>1911</v>
      </c>
      <c r="K7723" t="s">
        <v>1586</v>
      </c>
      <c r="L7723" t="s">
        <v>11514</v>
      </c>
    </row>
    <row r="7724" spans="1:12">
      <c r="A7724" t="s">
        <v>1587</v>
      </c>
      <c r="B7724" s="1" t="s">
        <v>1588</v>
      </c>
      <c r="F7724">
        <v>1</v>
      </c>
      <c r="G7724" t="str">
        <f>HYPERLINK("http://babel.hathitrust.org/cgi/pt?id=loc.ark:/13960/t4zg7gx99")</f>
        <v>http://babel.hathitrust.org/cgi/pt?id=loc.ark:/13960/t4zg7gx99</v>
      </c>
      <c r="H7724" t="str">
        <f>HYPERLINK("http://catalog.hathitrust.org/Record/011210467")</f>
        <v>http://catalog.hathitrust.org/Record/011210467</v>
      </c>
      <c r="J7724" s="1">
        <v>1890</v>
      </c>
      <c r="K7724" t="s">
        <v>15087</v>
      </c>
      <c r="L7724" t="s">
        <v>15226</v>
      </c>
    </row>
    <row r="7725" spans="1:12">
      <c r="A7725" t="s">
        <v>1589</v>
      </c>
      <c r="B7725" s="1" t="s">
        <v>1590</v>
      </c>
      <c r="F7725">
        <v>1</v>
      </c>
      <c r="G7725" t="str">
        <f>HYPERLINK("http://babel.hathitrust.org/cgi/pt?id=loc.ark:/13960/t56d6qd9v")</f>
        <v>http://babel.hathitrust.org/cgi/pt?id=loc.ark:/13960/t56d6qd9v</v>
      </c>
      <c r="H7725" t="str">
        <f>HYPERLINK("http://catalog.hathitrust.org/Record/011210468")</f>
        <v>http://catalog.hathitrust.org/Record/011210468</v>
      </c>
      <c r="J7725" s="1">
        <v>1885</v>
      </c>
      <c r="K7725" t="s">
        <v>15087</v>
      </c>
      <c r="L7725" t="s">
        <v>15226</v>
      </c>
    </row>
    <row r="7726" spans="1:12">
      <c r="A7726" t="s">
        <v>1591</v>
      </c>
      <c r="B7726" s="1" t="s">
        <v>1592</v>
      </c>
      <c r="F7726">
        <v>1</v>
      </c>
      <c r="G7726" t="str">
        <f>HYPERLINK("http://babel.hathitrust.org/cgi/pt?id=loc.ark:/13960/t5p85650r")</f>
        <v>http://babel.hathitrust.org/cgi/pt?id=loc.ark:/13960/t5p85650r</v>
      </c>
      <c r="H7726" t="str">
        <f>HYPERLINK("http://catalog.hathitrust.org/Record/011211306")</f>
        <v>http://catalog.hathitrust.org/Record/011211306</v>
      </c>
      <c r="J7726" s="1">
        <v>1914</v>
      </c>
      <c r="K7726" t="s">
        <v>1593</v>
      </c>
      <c r="L7726" t="s">
        <v>1594</v>
      </c>
    </row>
    <row r="7727" spans="1:12">
      <c r="A7727" t="s">
        <v>1595</v>
      </c>
      <c r="B7727" s="1" t="s">
        <v>1596</v>
      </c>
      <c r="F7727">
        <v>1</v>
      </c>
      <c r="G7727" t="str">
        <f>HYPERLINK("http://babel.hathitrust.org/cgi/pt?id=loc.ark:/13960/t8df7nn5n")</f>
        <v>http://babel.hathitrust.org/cgi/pt?id=loc.ark:/13960/t8df7nn5n</v>
      </c>
      <c r="H7727" t="str">
        <f>HYPERLINK("http://catalog.hathitrust.org/Record/011211321")</f>
        <v>http://catalog.hathitrust.org/Record/011211321</v>
      </c>
      <c r="J7727" s="1">
        <v>1870</v>
      </c>
      <c r="K7727" t="s">
        <v>1597</v>
      </c>
    </row>
    <row r="7728" spans="1:12">
      <c r="A7728" t="s">
        <v>1598</v>
      </c>
      <c r="B7728" s="1" t="s">
        <v>1599</v>
      </c>
      <c r="F7728">
        <v>1</v>
      </c>
      <c r="G7728" t="str">
        <f>HYPERLINK("http://babel.hathitrust.org/cgi/pt?id=loc.ark:/13960/t27950k61")</f>
        <v>http://babel.hathitrust.org/cgi/pt?id=loc.ark:/13960/t27950k61</v>
      </c>
      <c r="H7728" t="str">
        <f>HYPERLINK("http://catalog.hathitrust.org/Record/011212017")</f>
        <v>http://catalog.hathitrust.org/Record/011212017</v>
      </c>
      <c r="J7728" s="1">
        <v>1912</v>
      </c>
      <c r="K7728" t="s">
        <v>1600</v>
      </c>
      <c r="L7728" t="s">
        <v>5065</v>
      </c>
    </row>
    <row r="7729" spans="1:12">
      <c r="A7729" t="s">
        <v>1601</v>
      </c>
      <c r="B7729" s="1" t="s">
        <v>1602</v>
      </c>
      <c r="F7729">
        <v>1</v>
      </c>
      <c r="G7729" t="str">
        <f>HYPERLINK("http://babel.hathitrust.org/cgi/pt?id=loc.ark:/13960/t6f19tn34")</f>
        <v>http://babel.hathitrust.org/cgi/pt?id=loc.ark:/13960/t6f19tn34</v>
      </c>
      <c r="H7729" t="str">
        <f>HYPERLINK("http://catalog.hathitrust.org/Record/011212226")</f>
        <v>http://catalog.hathitrust.org/Record/011212226</v>
      </c>
      <c r="J7729" s="1">
        <v>1901</v>
      </c>
      <c r="K7729" t="s">
        <v>1603</v>
      </c>
      <c r="L7729" t="s">
        <v>1604</v>
      </c>
    </row>
    <row r="7730" spans="1:12">
      <c r="A7730" t="s">
        <v>1605</v>
      </c>
      <c r="B7730" s="1" t="s">
        <v>1606</v>
      </c>
      <c r="F7730">
        <v>1</v>
      </c>
      <c r="G7730" t="str">
        <f>HYPERLINK("http://babel.hathitrust.org/cgi/pt?id=loc.ark:/13960/t3126sm5w")</f>
        <v>http://babel.hathitrust.org/cgi/pt?id=loc.ark:/13960/t3126sm5w</v>
      </c>
      <c r="H7730" t="str">
        <f>HYPERLINK("http://catalog.hathitrust.org/Record/011212233")</f>
        <v>http://catalog.hathitrust.org/Record/011212233</v>
      </c>
      <c r="J7730" s="1">
        <v>1914</v>
      </c>
      <c r="K7730" t="s">
        <v>8304</v>
      </c>
      <c r="L7730" t="s">
        <v>19211</v>
      </c>
    </row>
    <row r="7731" spans="1:12">
      <c r="A7731" t="s">
        <v>1607</v>
      </c>
      <c r="B7731" s="1" t="s">
        <v>1608</v>
      </c>
      <c r="E7731">
        <v>1</v>
      </c>
      <c r="G7731" t="str">
        <f>HYPERLINK("http://babel.hathitrust.org/cgi/pt?id=loc.ark:/13960/t06x05r97")</f>
        <v>http://babel.hathitrust.org/cgi/pt?id=loc.ark:/13960/t06x05r97</v>
      </c>
      <c r="H7731" t="str">
        <f>HYPERLINK("http://catalog.hathitrust.org/Record/011212530")</f>
        <v>http://catalog.hathitrust.org/Record/011212530</v>
      </c>
      <c r="J7731" s="1">
        <v>1880</v>
      </c>
      <c r="K7731" t="s">
        <v>1609</v>
      </c>
      <c r="L7731" t="s">
        <v>10096</v>
      </c>
    </row>
    <row r="7732" spans="1:12">
      <c r="A7732" t="s">
        <v>1610</v>
      </c>
      <c r="B7732" s="1" t="s">
        <v>1611</v>
      </c>
      <c r="F7732">
        <v>1</v>
      </c>
      <c r="G7732" t="str">
        <f>HYPERLINK("http://babel.hathitrust.org/cgi/pt?id=loc.ark:/13960/t3nw0cv26")</f>
        <v>http://babel.hathitrust.org/cgi/pt?id=loc.ark:/13960/t3nw0cv26</v>
      </c>
      <c r="H7732" t="str">
        <f>HYPERLINK("http://catalog.hathitrust.org/Record/011212806")</f>
        <v>http://catalog.hathitrust.org/Record/011212806</v>
      </c>
      <c r="J7732" s="1">
        <v>1917</v>
      </c>
      <c r="K7732" t="s">
        <v>1612</v>
      </c>
      <c r="L7732" t="s">
        <v>12267</v>
      </c>
    </row>
    <row r="7733" spans="1:12">
      <c r="A7733" t="s">
        <v>1613</v>
      </c>
      <c r="B7733" s="1" t="s">
        <v>1614</v>
      </c>
      <c r="F7733">
        <v>1</v>
      </c>
      <c r="G7733" t="str">
        <f>HYPERLINK("http://babel.hathitrust.org/cgi/pt?id=loc.ark:/13960/t9z040d77")</f>
        <v>http://babel.hathitrust.org/cgi/pt?id=loc.ark:/13960/t9z040d77</v>
      </c>
      <c r="H7733" t="str">
        <f>HYPERLINK("http://catalog.hathitrust.org/Record/011213029")</f>
        <v>http://catalog.hathitrust.org/Record/011213029</v>
      </c>
      <c r="J7733" s="1">
        <v>1891</v>
      </c>
      <c r="K7733" t="s">
        <v>17159</v>
      </c>
      <c r="L7733" t="s">
        <v>20670</v>
      </c>
    </row>
    <row r="7734" spans="1:12">
      <c r="A7734" t="s">
        <v>1615</v>
      </c>
      <c r="B7734" s="1" t="s">
        <v>1616</v>
      </c>
      <c r="F7734">
        <v>1</v>
      </c>
      <c r="G7734" t="str">
        <f>HYPERLINK("http://babel.hathitrust.org/cgi/pt?id=loc.ark:/13960/t1rf6ns76")</f>
        <v>http://babel.hathitrust.org/cgi/pt?id=loc.ark:/13960/t1rf6ns76</v>
      </c>
      <c r="H7734" t="str">
        <f>HYPERLINK("http://catalog.hathitrust.org/Record/011213151")</f>
        <v>http://catalog.hathitrust.org/Record/011213151</v>
      </c>
      <c r="J7734" s="1">
        <v>1912</v>
      </c>
      <c r="K7734" t="s">
        <v>1495</v>
      </c>
      <c r="L7734" t="s">
        <v>1496</v>
      </c>
    </row>
    <row r="7735" spans="1:12">
      <c r="A7735" t="s">
        <v>1497</v>
      </c>
      <c r="B7735" s="1" t="s">
        <v>1498</v>
      </c>
      <c r="E7735">
        <v>1</v>
      </c>
      <c r="G7735" t="str">
        <f>HYPERLINK("http://babel.hathitrust.org/cgi/pt?id=loc.ark:/13960/t14n0109m")</f>
        <v>http://babel.hathitrust.org/cgi/pt?id=loc.ark:/13960/t14n0109m</v>
      </c>
      <c r="H7735" t="str">
        <f>HYPERLINK("http://catalog.hathitrust.org/Record/011213330")</f>
        <v>http://catalog.hathitrust.org/Record/011213330</v>
      </c>
      <c r="J7735" s="1">
        <v>1885</v>
      </c>
      <c r="K7735" t="s">
        <v>15704</v>
      </c>
      <c r="L7735" t="s">
        <v>15705</v>
      </c>
    </row>
    <row r="7736" spans="1:12">
      <c r="A7736" t="s">
        <v>1499</v>
      </c>
      <c r="B7736" s="1" t="s">
        <v>1500</v>
      </c>
      <c r="E7736">
        <v>1</v>
      </c>
      <c r="G7736" t="str">
        <f>HYPERLINK("http://babel.hathitrust.org/cgi/pt?id=loc.ark:/13960/t8jd5q87n")</f>
        <v>http://babel.hathitrust.org/cgi/pt?id=loc.ark:/13960/t8jd5q87n</v>
      </c>
      <c r="H7736" t="str">
        <f>HYPERLINK("http://catalog.hathitrust.org/Record/011213998")</f>
        <v>http://catalog.hathitrust.org/Record/011213998</v>
      </c>
      <c r="J7736" s="1">
        <v>1864</v>
      </c>
      <c r="K7736" t="s">
        <v>1501</v>
      </c>
      <c r="L7736" t="s">
        <v>5700</v>
      </c>
    </row>
    <row r="7737" spans="1:12">
      <c r="A7737" t="s">
        <v>1502</v>
      </c>
      <c r="B7737" s="1" t="s">
        <v>1503</v>
      </c>
      <c r="F7737">
        <v>1</v>
      </c>
      <c r="G7737" t="str">
        <f>HYPERLINK("http://babel.hathitrust.org/cgi/pt?id=loc.ark:/13960/t8pc3tc5d")</f>
        <v>http://babel.hathitrust.org/cgi/pt?id=loc.ark:/13960/t8pc3tc5d</v>
      </c>
      <c r="H7737" t="str">
        <f>HYPERLINK("http://catalog.hathitrust.org/Record/011214051")</f>
        <v>http://catalog.hathitrust.org/Record/011214051</v>
      </c>
      <c r="J7737" s="1">
        <v>1917</v>
      </c>
      <c r="K7737" t="s">
        <v>1504</v>
      </c>
      <c r="L7737" t="s">
        <v>14052</v>
      </c>
    </row>
    <row r="7738" spans="1:12">
      <c r="A7738" t="s">
        <v>1505</v>
      </c>
      <c r="B7738" s="1" t="s">
        <v>1506</v>
      </c>
      <c r="F7738">
        <v>1</v>
      </c>
      <c r="G7738" t="str">
        <f>HYPERLINK("http://babel.hathitrust.org/cgi/pt?id=loc.ark:/13960/t1gj0ct7m")</f>
        <v>http://babel.hathitrust.org/cgi/pt?id=loc.ark:/13960/t1gj0ct7m</v>
      </c>
      <c r="H7738" t="str">
        <f>HYPERLINK("http://catalog.hathitrust.org/Record/011214339")</f>
        <v>http://catalog.hathitrust.org/Record/011214339</v>
      </c>
      <c r="J7738" s="1">
        <v>1917</v>
      </c>
      <c r="K7738" t="s">
        <v>1507</v>
      </c>
      <c r="L7738" t="s">
        <v>5466</v>
      </c>
    </row>
    <row r="7739" spans="1:12">
      <c r="A7739" t="s">
        <v>1508</v>
      </c>
      <c r="B7739" s="1" t="s">
        <v>1509</v>
      </c>
      <c r="F7739">
        <v>1</v>
      </c>
      <c r="G7739" t="str">
        <f>HYPERLINK("http://babel.hathitrust.org/cgi/pt?id=loc.ark:/13960/t3zs3k482")</f>
        <v>http://babel.hathitrust.org/cgi/pt?id=loc.ark:/13960/t3zs3k482</v>
      </c>
      <c r="H7739" t="str">
        <f>HYPERLINK("http://catalog.hathitrust.org/Record/011214368")</f>
        <v>http://catalog.hathitrust.org/Record/011214368</v>
      </c>
      <c r="J7739" s="1">
        <v>1861</v>
      </c>
      <c r="K7739" t="s">
        <v>1510</v>
      </c>
      <c r="L7739" t="s">
        <v>1511</v>
      </c>
    </row>
    <row r="7740" spans="1:12">
      <c r="A7740" t="s">
        <v>1512</v>
      </c>
      <c r="B7740" s="1" t="s">
        <v>1509</v>
      </c>
      <c r="F7740">
        <v>1</v>
      </c>
      <c r="G7740" t="str">
        <f>HYPERLINK("http://babel.hathitrust.org/cgi/pt?id=loc.ark:/13960/t6xw5bm8r")</f>
        <v>http://babel.hathitrust.org/cgi/pt?id=loc.ark:/13960/t6xw5bm8r</v>
      </c>
      <c r="H7740" t="str">
        <f>HYPERLINK("http://catalog.hathitrust.org/Record/011214368")</f>
        <v>http://catalog.hathitrust.org/Record/011214368</v>
      </c>
      <c r="J7740" s="1">
        <v>1861</v>
      </c>
      <c r="K7740" t="s">
        <v>1510</v>
      </c>
      <c r="L7740" t="s">
        <v>1511</v>
      </c>
    </row>
    <row r="7741" spans="1:12">
      <c r="A7741" t="s">
        <v>1513</v>
      </c>
      <c r="B7741" s="1" t="s">
        <v>1514</v>
      </c>
      <c r="F7741">
        <v>1</v>
      </c>
      <c r="G7741" t="str">
        <f>HYPERLINK("http://babel.hathitrust.org/cgi/pt?id=umn.319510015768579")</f>
        <v>http://babel.hathitrust.org/cgi/pt?id=umn.319510015768579</v>
      </c>
      <c r="H7741" t="str">
        <f>HYPERLINK("http://catalog.hathitrust.org/Record/011222898")</f>
        <v>http://catalog.hathitrust.org/Record/011222898</v>
      </c>
      <c r="J7741" s="1">
        <v>1855</v>
      </c>
      <c r="K7741" t="s">
        <v>1515</v>
      </c>
      <c r="L7741" t="s">
        <v>1516</v>
      </c>
    </row>
    <row r="7742" spans="1:12">
      <c r="A7742" t="s">
        <v>1517</v>
      </c>
      <c r="B7742" s="1" t="s">
        <v>1518</v>
      </c>
      <c r="F7742">
        <v>1</v>
      </c>
      <c r="G7742" t="str">
        <f>HYPERLINK("http://babel.hathitrust.org/cgi/pt?id=umn.319510016217171")</f>
        <v>http://babel.hathitrust.org/cgi/pt?id=umn.319510016217171</v>
      </c>
      <c r="H7742" t="str">
        <f>HYPERLINK("http://catalog.hathitrust.org/Record/011223451")</f>
        <v>http://catalog.hathitrust.org/Record/011223451</v>
      </c>
      <c r="J7742" s="1">
        <v>1912</v>
      </c>
      <c r="K7742" t="s">
        <v>1519</v>
      </c>
      <c r="L7742" t="s">
        <v>1520</v>
      </c>
    </row>
    <row r="7743" spans="1:12">
      <c r="A7743" t="s">
        <v>1521</v>
      </c>
      <c r="B7743" s="1" t="s">
        <v>1522</v>
      </c>
      <c r="E7743">
        <v>1</v>
      </c>
      <c r="G7743" t="str">
        <f>HYPERLINK("http://babel.hathitrust.org/cgi/pt?id=umn.31951002463082q")</f>
        <v>http://babel.hathitrust.org/cgi/pt?id=umn.31951002463082q</v>
      </c>
      <c r="H7743" t="str">
        <f>HYPERLINK("http://catalog.hathitrust.org/Record/011223523")</f>
        <v>http://catalog.hathitrust.org/Record/011223523</v>
      </c>
      <c r="J7743" s="1">
        <v>1908</v>
      </c>
      <c r="K7743" t="s">
        <v>1523</v>
      </c>
      <c r="L7743" t="s">
        <v>1524</v>
      </c>
    </row>
    <row r="7744" spans="1:12">
      <c r="A7744" t="s">
        <v>1525</v>
      </c>
      <c r="B7744" s="1" t="s">
        <v>1526</v>
      </c>
      <c r="F7744">
        <v>1</v>
      </c>
      <c r="G7744" t="str">
        <f>HYPERLINK("http://babel.hathitrust.org/cgi/pt?id=umn.31951001549677e")</f>
        <v>http://babel.hathitrust.org/cgi/pt?id=umn.31951001549677e</v>
      </c>
      <c r="H7744" t="str">
        <f>HYPERLINK("http://catalog.hathitrust.org/Record/011223688")</f>
        <v>http://catalog.hathitrust.org/Record/011223688</v>
      </c>
      <c r="J7744" s="1">
        <v>1920</v>
      </c>
      <c r="K7744" t="s">
        <v>1527</v>
      </c>
      <c r="L7744" t="s">
        <v>21025</v>
      </c>
    </row>
    <row r="7745" spans="1:12">
      <c r="A7745" t="s">
        <v>1528</v>
      </c>
      <c r="B7745" s="1" t="s">
        <v>1529</v>
      </c>
      <c r="F7745">
        <v>1</v>
      </c>
      <c r="G7745" t="str">
        <f>HYPERLINK("http://babel.hathitrust.org/cgi/pt?id=umn.31951002402620t")</f>
        <v>http://babel.hathitrust.org/cgi/pt?id=umn.31951002402620t</v>
      </c>
      <c r="H7745" t="str">
        <f>HYPERLINK("http://catalog.hathitrust.org/Record/011224153")</f>
        <v>http://catalog.hathitrust.org/Record/011224153</v>
      </c>
      <c r="J7745" s="1">
        <v>1914</v>
      </c>
      <c r="K7745" t="s">
        <v>1530</v>
      </c>
      <c r="L7745" t="s">
        <v>16950</v>
      </c>
    </row>
    <row r="7746" spans="1:12">
      <c r="A7746" t="s">
        <v>1531</v>
      </c>
      <c r="B7746" s="1" t="s">
        <v>1532</v>
      </c>
      <c r="F7746">
        <v>1</v>
      </c>
      <c r="G7746" t="str">
        <f>HYPERLINK("http://babel.hathitrust.org/cgi/pt?id=umn.319510020747972")</f>
        <v>http://babel.hathitrust.org/cgi/pt?id=umn.319510020747972</v>
      </c>
      <c r="H7746" t="str">
        <f>HYPERLINK("http://catalog.hathitrust.org/Record/011224398")</f>
        <v>http://catalog.hathitrust.org/Record/011224398</v>
      </c>
      <c r="I7746" s="1" t="s">
        <v>1534</v>
      </c>
      <c r="J7746" s="1">
        <v>1917</v>
      </c>
      <c r="K7746" t="s">
        <v>1533</v>
      </c>
      <c r="L7746" t="s">
        <v>1535</v>
      </c>
    </row>
    <row r="7747" spans="1:12">
      <c r="A7747" t="s">
        <v>1536</v>
      </c>
      <c r="B7747" s="1" t="s">
        <v>1537</v>
      </c>
      <c r="F7747">
        <v>1</v>
      </c>
      <c r="G7747" t="str">
        <f>HYPERLINK("http://babel.hathitrust.org/cgi/pt?id=umn.319510023479324")</f>
        <v>http://babel.hathitrust.org/cgi/pt?id=umn.319510023479324</v>
      </c>
      <c r="H7747" t="str">
        <f>HYPERLINK("http://catalog.hathitrust.org/Record/011224645")</f>
        <v>http://catalog.hathitrust.org/Record/011224645</v>
      </c>
      <c r="J7747" s="1">
        <v>1915</v>
      </c>
      <c r="K7747" t="s">
        <v>1538</v>
      </c>
      <c r="L7747" t="s">
        <v>11727</v>
      </c>
    </row>
    <row r="7748" spans="1:12">
      <c r="A7748" t="s">
        <v>1539</v>
      </c>
      <c r="B7748" s="1" t="s">
        <v>1540</v>
      </c>
      <c r="F7748">
        <v>1</v>
      </c>
      <c r="G7748" t="str">
        <f>HYPERLINK("http://babel.hathitrust.org/cgi/pt?id=umn.31951002080026v")</f>
        <v>http://babel.hathitrust.org/cgi/pt?id=umn.31951002080026v</v>
      </c>
      <c r="H7748" t="str">
        <f>HYPERLINK("http://catalog.hathitrust.org/Record/011225072")</f>
        <v>http://catalog.hathitrust.org/Record/011225072</v>
      </c>
      <c r="J7748" s="1">
        <v>1912</v>
      </c>
      <c r="K7748" t="s">
        <v>1541</v>
      </c>
      <c r="L7748" t="s">
        <v>1542</v>
      </c>
    </row>
    <row r="7749" spans="1:12">
      <c r="A7749" t="s">
        <v>1543</v>
      </c>
      <c r="B7749" s="1" t="s">
        <v>1544</v>
      </c>
      <c r="F7749">
        <v>1</v>
      </c>
      <c r="G7749" t="str">
        <f>HYPERLINK("http://babel.hathitrust.org/cgi/pt?id=umn.31951001549652u")</f>
        <v>http://babel.hathitrust.org/cgi/pt?id=umn.31951001549652u</v>
      </c>
      <c r="H7749" t="str">
        <f>HYPERLINK("http://catalog.hathitrust.org/Record/011225182")</f>
        <v>http://catalog.hathitrust.org/Record/011225182</v>
      </c>
      <c r="I7749" s="1" t="s">
        <v>1546</v>
      </c>
      <c r="J7749" s="1">
        <v>1920</v>
      </c>
      <c r="K7749" t="s">
        <v>1545</v>
      </c>
      <c r="L7749" t="s">
        <v>1547</v>
      </c>
    </row>
    <row r="7750" spans="1:12">
      <c r="A7750" t="s">
        <v>1548</v>
      </c>
      <c r="B7750" s="1" t="s">
        <v>1549</v>
      </c>
      <c r="F7750">
        <v>1</v>
      </c>
      <c r="G7750" t="str">
        <f>HYPERLINK("http://babel.hathitrust.org/cgi/pt?id=umn.31951001549658i")</f>
        <v>http://babel.hathitrust.org/cgi/pt?id=umn.31951001549658i</v>
      </c>
      <c r="H7750" t="str">
        <f>HYPERLINK("http://catalog.hathitrust.org/Record/011225265")</f>
        <v>http://catalog.hathitrust.org/Record/011225265</v>
      </c>
      <c r="J7750" s="1">
        <v>1921</v>
      </c>
      <c r="K7750" t="s">
        <v>1550</v>
      </c>
      <c r="L7750" t="s">
        <v>11280</v>
      </c>
    </row>
    <row r="7751" spans="1:12">
      <c r="A7751" t="s">
        <v>1551</v>
      </c>
      <c r="B7751" s="1" t="s">
        <v>1552</v>
      </c>
      <c r="F7751">
        <v>1</v>
      </c>
      <c r="G7751" t="str">
        <f>HYPERLINK("http://babel.hathitrust.org/cgi/pt?id=umn.31951001596110f")</f>
        <v>http://babel.hathitrust.org/cgi/pt?id=umn.31951001596110f</v>
      </c>
      <c r="H7751" t="str">
        <f>HYPERLINK("http://catalog.hathitrust.org/Record/011225360")</f>
        <v>http://catalog.hathitrust.org/Record/011225360</v>
      </c>
      <c r="J7751" s="1">
        <v>1914</v>
      </c>
      <c r="K7751" t="s">
        <v>1553</v>
      </c>
      <c r="L7751" t="s">
        <v>13294</v>
      </c>
    </row>
    <row r="7752" spans="1:12">
      <c r="A7752" t="s">
        <v>1554</v>
      </c>
      <c r="B7752" s="1" t="s">
        <v>1555</v>
      </c>
      <c r="F7752">
        <v>1</v>
      </c>
      <c r="G7752" t="str">
        <f>HYPERLINK("http://babel.hathitrust.org/cgi/pt?id=umn.31951002040956a")</f>
        <v>http://babel.hathitrust.org/cgi/pt?id=umn.31951002040956a</v>
      </c>
      <c r="H7752" t="str">
        <f>HYPERLINK("http://catalog.hathitrust.org/Record/011225723")</f>
        <v>http://catalog.hathitrust.org/Record/011225723</v>
      </c>
      <c r="J7752" s="1">
        <v>1903</v>
      </c>
      <c r="K7752" t="s">
        <v>1448</v>
      </c>
      <c r="L7752" t="s">
        <v>1449</v>
      </c>
    </row>
    <row r="7753" spans="1:12">
      <c r="A7753" t="s">
        <v>1450</v>
      </c>
      <c r="B7753" s="1" t="s">
        <v>1451</v>
      </c>
      <c r="F7753">
        <v>1</v>
      </c>
      <c r="G7753" t="str">
        <f>HYPERLINK("http://babel.hathitrust.org/cgi/pt?id=umn.31951001549634w")</f>
        <v>http://babel.hathitrust.org/cgi/pt?id=umn.31951001549634w</v>
      </c>
      <c r="H7753" t="str">
        <f>HYPERLINK("http://catalog.hathitrust.org/Record/011225919")</f>
        <v>http://catalog.hathitrust.org/Record/011225919</v>
      </c>
      <c r="J7753" s="1">
        <v>1916</v>
      </c>
      <c r="K7753" t="s">
        <v>1452</v>
      </c>
      <c r="L7753" t="s">
        <v>11692</v>
      </c>
    </row>
    <row r="7754" spans="1:12">
      <c r="A7754" t="s">
        <v>1453</v>
      </c>
      <c r="B7754" s="1" t="s">
        <v>1454</v>
      </c>
      <c r="F7754">
        <v>1</v>
      </c>
      <c r="G7754" t="str">
        <f>HYPERLINK("http://babel.hathitrust.org/cgi/pt?id=uc1.b4745803")</f>
        <v>http://babel.hathitrust.org/cgi/pt?id=uc1.b4745803</v>
      </c>
      <c r="H7754" t="str">
        <f>HYPERLINK("http://catalog.hathitrust.org/Record/011257180")</f>
        <v>http://catalog.hathitrust.org/Record/011257180</v>
      </c>
      <c r="J7754" s="1">
        <v>1818</v>
      </c>
      <c r="K7754" t="s">
        <v>1455</v>
      </c>
      <c r="L7754" t="s">
        <v>20960</v>
      </c>
    </row>
    <row r="7755" spans="1:12">
      <c r="A7755" t="s">
        <v>1456</v>
      </c>
      <c r="B7755" s="1" t="s">
        <v>1457</v>
      </c>
      <c r="E7755">
        <v>1</v>
      </c>
      <c r="F7755">
        <v>1</v>
      </c>
      <c r="G7755" t="str">
        <f>HYPERLINK("http://babel.hathitrust.org/cgi/pt?id=wu.89004543997")</f>
        <v>http://babel.hathitrust.org/cgi/pt?id=wu.89004543997</v>
      </c>
      <c r="H7755" t="str">
        <f>HYPERLINK("http://catalog.hathitrust.org/Record/011259860")</f>
        <v>http://catalog.hathitrust.org/Record/011259860</v>
      </c>
      <c r="J7755" s="1">
        <v>1906</v>
      </c>
      <c r="K7755" t="s">
        <v>1458</v>
      </c>
      <c r="L7755" t="s">
        <v>1459</v>
      </c>
    </row>
    <row r="7756" spans="1:12">
      <c r="A7756" t="s">
        <v>1460</v>
      </c>
      <c r="B7756" s="1" t="s">
        <v>1461</v>
      </c>
      <c r="F7756">
        <v>1</v>
      </c>
      <c r="G7756" t="str">
        <f>HYPERLINK("http://babel.hathitrust.org/cgi/pt?id=wu.89005078837")</f>
        <v>http://babel.hathitrust.org/cgi/pt?id=wu.89005078837</v>
      </c>
      <c r="H7756" t="str">
        <f>HYPERLINK("http://catalog.hathitrust.org/Record/011260426")</f>
        <v>http://catalog.hathitrust.org/Record/011260426</v>
      </c>
      <c r="J7756" s="1">
        <v>1905</v>
      </c>
      <c r="K7756" t="s">
        <v>1462</v>
      </c>
      <c r="L7756" t="s">
        <v>1463</v>
      </c>
    </row>
    <row r="7757" spans="1:12">
      <c r="A7757" t="s">
        <v>1464</v>
      </c>
      <c r="B7757" s="1" t="s">
        <v>1465</v>
      </c>
      <c r="F7757">
        <v>1</v>
      </c>
      <c r="G7757" t="str">
        <f>HYPERLINK("http://babel.hathitrust.org/cgi/pt?id=wu.89035130780")</f>
        <v>http://babel.hathitrust.org/cgi/pt?id=wu.89035130780</v>
      </c>
      <c r="H7757" t="str">
        <f t="shared" ref="H7757:H7770" si="72">HYPERLINK("http://catalog.hathitrust.org/Record/011261003")</f>
        <v>http://catalog.hathitrust.org/Record/011261003</v>
      </c>
      <c r="I7757" s="1">
        <v>1</v>
      </c>
      <c r="J7757" s="1">
        <v>1902</v>
      </c>
      <c r="K7757" t="s">
        <v>1466</v>
      </c>
    </row>
    <row r="7758" spans="1:12">
      <c r="A7758" t="s">
        <v>1467</v>
      </c>
      <c r="B7758" s="1" t="s">
        <v>1465</v>
      </c>
      <c r="F7758">
        <v>1</v>
      </c>
      <c r="G7758" t="str">
        <f>HYPERLINK("http://babel.hathitrust.org/cgi/pt?id=wu.89035130806")</f>
        <v>http://babel.hathitrust.org/cgi/pt?id=wu.89035130806</v>
      </c>
      <c r="H7758" t="str">
        <f t="shared" si="72"/>
        <v>http://catalog.hathitrust.org/Record/011261003</v>
      </c>
      <c r="I7758" s="1">
        <v>2</v>
      </c>
      <c r="J7758" s="1">
        <v>1902</v>
      </c>
      <c r="K7758" t="s">
        <v>1466</v>
      </c>
    </row>
    <row r="7759" spans="1:12">
      <c r="A7759" t="s">
        <v>1468</v>
      </c>
      <c r="B7759" s="1" t="s">
        <v>1465</v>
      </c>
      <c r="F7759">
        <v>1</v>
      </c>
      <c r="G7759" t="str">
        <f>HYPERLINK("http://babel.hathitrust.org/cgi/pt?id=wu.89035130822")</f>
        <v>http://babel.hathitrust.org/cgi/pt?id=wu.89035130822</v>
      </c>
      <c r="H7759" t="str">
        <f t="shared" si="72"/>
        <v>http://catalog.hathitrust.org/Record/011261003</v>
      </c>
      <c r="I7759" s="1">
        <v>3</v>
      </c>
      <c r="J7759" s="1">
        <v>1902</v>
      </c>
      <c r="K7759" t="s">
        <v>1466</v>
      </c>
    </row>
    <row r="7760" spans="1:12">
      <c r="A7760" t="s">
        <v>1469</v>
      </c>
      <c r="B7760" s="1" t="s">
        <v>1465</v>
      </c>
      <c r="F7760">
        <v>1</v>
      </c>
      <c r="G7760" t="str">
        <f>HYPERLINK("http://babel.hathitrust.org/cgi/pt?id=wu.89035130848")</f>
        <v>http://babel.hathitrust.org/cgi/pt?id=wu.89035130848</v>
      </c>
      <c r="H7760" t="str">
        <f t="shared" si="72"/>
        <v>http://catalog.hathitrust.org/Record/011261003</v>
      </c>
      <c r="I7760" s="1">
        <v>4</v>
      </c>
      <c r="J7760" s="1">
        <v>1902</v>
      </c>
      <c r="K7760" t="s">
        <v>1466</v>
      </c>
    </row>
    <row r="7761" spans="1:12">
      <c r="A7761" t="s">
        <v>1470</v>
      </c>
      <c r="B7761" s="1" t="s">
        <v>1465</v>
      </c>
      <c r="F7761">
        <v>1</v>
      </c>
      <c r="G7761" t="str">
        <f>HYPERLINK("http://babel.hathitrust.org/cgi/pt?id=wu.89035130863")</f>
        <v>http://babel.hathitrust.org/cgi/pt?id=wu.89035130863</v>
      </c>
      <c r="H7761" t="str">
        <f t="shared" si="72"/>
        <v>http://catalog.hathitrust.org/Record/011261003</v>
      </c>
      <c r="I7761" s="1">
        <v>5</v>
      </c>
      <c r="J7761" s="1">
        <v>1902</v>
      </c>
      <c r="K7761" t="s">
        <v>1466</v>
      </c>
    </row>
    <row r="7762" spans="1:12">
      <c r="A7762" t="s">
        <v>1471</v>
      </c>
      <c r="B7762" s="1" t="s">
        <v>1465</v>
      </c>
      <c r="F7762">
        <v>1</v>
      </c>
      <c r="G7762" t="str">
        <f>HYPERLINK("http://babel.hathitrust.org/cgi/pt?id=wu.89035130889")</f>
        <v>http://babel.hathitrust.org/cgi/pt?id=wu.89035130889</v>
      </c>
      <c r="H7762" t="str">
        <f t="shared" si="72"/>
        <v>http://catalog.hathitrust.org/Record/011261003</v>
      </c>
      <c r="I7762" s="1">
        <v>6</v>
      </c>
      <c r="J7762" s="1">
        <v>1902</v>
      </c>
      <c r="K7762" t="s">
        <v>1466</v>
      </c>
    </row>
    <row r="7763" spans="1:12">
      <c r="A7763" t="s">
        <v>1472</v>
      </c>
      <c r="B7763" s="1" t="s">
        <v>1465</v>
      </c>
      <c r="F7763">
        <v>1</v>
      </c>
      <c r="G7763" t="str">
        <f>HYPERLINK("http://babel.hathitrust.org/cgi/pt?id=wu.89035130905")</f>
        <v>http://babel.hathitrust.org/cgi/pt?id=wu.89035130905</v>
      </c>
      <c r="H7763" t="str">
        <f t="shared" si="72"/>
        <v>http://catalog.hathitrust.org/Record/011261003</v>
      </c>
      <c r="I7763" s="1">
        <v>7</v>
      </c>
      <c r="J7763" s="1">
        <v>1902</v>
      </c>
      <c r="K7763" t="s">
        <v>1466</v>
      </c>
    </row>
    <row r="7764" spans="1:12">
      <c r="A7764" t="s">
        <v>1473</v>
      </c>
      <c r="B7764" s="1" t="s">
        <v>1465</v>
      </c>
      <c r="F7764">
        <v>1</v>
      </c>
      <c r="G7764" t="str">
        <f>HYPERLINK("http://babel.hathitrust.org/cgi/pt?id=wu.89035130921")</f>
        <v>http://babel.hathitrust.org/cgi/pt?id=wu.89035130921</v>
      </c>
      <c r="H7764" t="str">
        <f t="shared" si="72"/>
        <v>http://catalog.hathitrust.org/Record/011261003</v>
      </c>
      <c r="I7764" s="1">
        <v>8</v>
      </c>
      <c r="J7764" s="1">
        <v>1902</v>
      </c>
      <c r="K7764" t="s">
        <v>1466</v>
      </c>
    </row>
    <row r="7765" spans="1:12">
      <c r="A7765" t="s">
        <v>1474</v>
      </c>
      <c r="B7765" s="1" t="s">
        <v>1465</v>
      </c>
      <c r="F7765">
        <v>1</v>
      </c>
      <c r="G7765" t="str">
        <f>HYPERLINK("http://babel.hathitrust.org/cgi/pt?id=wu.89035130947")</f>
        <v>http://babel.hathitrust.org/cgi/pt?id=wu.89035130947</v>
      </c>
      <c r="H7765" t="str">
        <f t="shared" si="72"/>
        <v>http://catalog.hathitrust.org/Record/011261003</v>
      </c>
      <c r="I7765" s="1">
        <v>9</v>
      </c>
      <c r="J7765" s="1">
        <v>1902</v>
      </c>
      <c r="K7765" t="s">
        <v>1466</v>
      </c>
    </row>
    <row r="7766" spans="1:12">
      <c r="A7766" t="s">
        <v>1475</v>
      </c>
      <c r="B7766" s="1" t="s">
        <v>1465</v>
      </c>
      <c r="F7766">
        <v>1</v>
      </c>
      <c r="G7766" t="str">
        <f>HYPERLINK("http://babel.hathitrust.org/cgi/pt?id=wu.89035130962")</f>
        <v>http://babel.hathitrust.org/cgi/pt?id=wu.89035130962</v>
      </c>
      <c r="H7766" t="str">
        <f t="shared" si="72"/>
        <v>http://catalog.hathitrust.org/Record/011261003</v>
      </c>
      <c r="I7766" s="1">
        <v>10</v>
      </c>
      <c r="J7766" s="1">
        <v>1902</v>
      </c>
      <c r="K7766" t="s">
        <v>1466</v>
      </c>
    </row>
    <row r="7767" spans="1:12">
      <c r="A7767" t="s">
        <v>1476</v>
      </c>
      <c r="B7767" s="1" t="s">
        <v>1465</v>
      </c>
      <c r="F7767">
        <v>1</v>
      </c>
      <c r="G7767" t="str">
        <f>HYPERLINK("http://babel.hathitrust.org/cgi/pt?id=wu.89035131002")</f>
        <v>http://babel.hathitrust.org/cgi/pt?id=wu.89035131002</v>
      </c>
      <c r="H7767" t="str">
        <f t="shared" si="72"/>
        <v>http://catalog.hathitrust.org/Record/011261003</v>
      </c>
      <c r="I7767" s="1">
        <v>12</v>
      </c>
      <c r="J7767" s="1">
        <v>1902</v>
      </c>
      <c r="K7767" t="s">
        <v>1466</v>
      </c>
    </row>
    <row r="7768" spans="1:12">
      <c r="A7768" t="s">
        <v>1477</v>
      </c>
      <c r="B7768" s="1" t="s">
        <v>1465</v>
      </c>
      <c r="F7768">
        <v>1</v>
      </c>
      <c r="G7768" t="str">
        <f>HYPERLINK("http://babel.hathitrust.org/cgi/pt?id=wu.89035131028")</f>
        <v>http://babel.hathitrust.org/cgi/pt?id=wu.89035131028</v>
      </c>
      <c r="H7768" t="str">
        <f t="shared" si="72"/>
        <v>http://catalog.hathitrust.org/Record/011261003</v>
      </c>
      <c r="I7768" s="1">
        <v>13</v>
      </c>
      <c r="J7768" s="1">
        <v>1902</v>
      </c>
      <c r="K7768" t="s">
        <v>1466</v>
      </c>
    </row>
    <row r="7769" spans="1:12">
      <c r="A7769" t="s">
        <v>1478</v>
      </c>
      <c r="B7769" s="1" t="s">
        <v>1465</v>
      </c>
      <c r="F7769">
        <v>1</v>
      </c>
      <c r="G7769" t="str">
        <f>HYPERLINK("http://babel.hathitrust.org/cgi/pt?id=wu.89035131044")</f>
        <v>http://babel.hathitrust.org/cgi/pt?id=wu.89035131044</v>
      </c>
      <c r="H7769" t="str">
        <f t="shared" si="72"/>
        <v>http://catalog.hathitrust.org/Record/011261003</v>
      </c>
      <c r="I7769" s="1">
        <v>14</v>
      </c>
      <c r="J7769" s="1">
        <v>1902</v>
      </c>
      <c r="K7769" t="s">
        <v>1466</v>
      </c>
    </row>
    <row r="7770" spans="1:12">
      <c r="A7770" t="s">
        <v>1479</v>
      </c>
      <c r="B7770" s="1" t="s">
        <v>1465</v>
      </c>
      <c r="F7770">
        <v>1</v>
      </c>
      <c r="G7770" t="str">
        <f>HYPERLINK("http://babel.hathitrust.org/cgi/pt?id=wu.89035131069")</f>
        <v>http://babel.hathitrust.org/cgi/pt?id=wu.89035131069</v>
      </c>
      <c r="H7770" t="str">
        <f t="shared" si="72"/>
        <v>http://catalog.hathitrust.org/Record/011261003</v>
      </c>
      <c r="I7770" s="1">
        <v>15</v>
      </c>
      <c r="J7770" s="1">
        <v>1902</v>
      </c>
      <c r="K7770" t="s">
        <v>1466</v>
      </c>
    </row>
    <row r="7771" spans="1:12">
      <c r="A7771" t="s">
        <v>1480</v>
      </c>
      <c r="B7771" s="1" t="s">
        <v>1481</v>
      </c>
      <c r="E7771">
        <v>1</v>
      </c>
      <c r="G7771" t="str">
        <f>HYPERLINK("http://babel.hathitrust.org/cgi/pt?id=wu.89014931794")</f>
        <v>http://babel.hathitrust.org/cgi/pt?id=wu.89014931794</v>
      </c>
      <c r="H7771" t="str">
        <f>HYPERLINK("http://catalog.hathitrust.org/Record/011261279")</f>
        <v>http://catalog.hathitrust.org/Record/011261279</v>
      </c>
      <c r="J7771" s="1">
        <v>1877</v>
      </c>
      <c r="K7771" t="s">
        <v>1482</v>
      </c>
      <c r="L7771" t="s">
        <v>1483</v>
      </c>
    </row>
    <row r="7772" spans="1:12">
      <c r="A7772" t="s">
        <v>1484</v>
      </c>
      <c r="B7772" s="1" t="s">
        <v>1485</v>
      </c>
      <c r="F7772">
        <v>1</v>
      </c>
      <c r="G7772" t="str">
        <f>HYPERLINK("http://babel.hathitrust.org/cgi/pt?id=wu.89014931323")</f>
        <v>http://babel.hathitrust.org/cgi/pt?id=wu.89014931323</v>
      </c>
      <c r="H7772" t="str">
        <f>HYPERLINK("http://catalog.hathitrust.org/Record/011261280")</f>
        <v>http://catalog.hathitrust.org/Record/011261280</v>
      </c>
      <c r="J7772" s="1">
        <v>1916</v>
      </c>
      <c r="K7772" t="s">
        <v>1486</v>
      </c>
      <c r="L7772" t="s">
        <v>3487</v>
      </c>
    </row>
    <row r="7773" spans="1:12">
      <c r="A7773" t="s">
        <v>1487</v>
      </c>
      <c r="B7773" s="1" t="s">
        <v>1488</v>
      </c>
      <c r="F7773">
        <v>1</v>
      </c>
      <c r="G7773" t="str">
        <f>HYPERLINK("http://babel.hathitrust.org/cgi/pt?id=wu.89014921662")</f>
        <v>http://babel.hathitrust.org/cgi/pt?id=wu.89014921662</v>
      </c>
      <c r="H7773" t="str">
        <f>HYPERLINK("http://catalog.hathitrust.org/Record/011261282")</f>
        <v>http://catalog.hathitrust.org/Record/011261282</v>
      </c>
      <c r="J7773" s="1">
        <v>1569</v>
      </c>
      <c r="K7773" t="s">
        <v>1489</v>
      </c>
      <c r="L7773" t="s">
        <v>4216</v>
      </c>
    </row>
    <row r="7774" spans="1:12">
      <c r="A7774" t="s">
        <v>1490</v>
      </c>
      <c r="B7774" s="1" t="s">
        <v>1491</v>
      </c>
      <c r="F7774">
        <v>1</v>
      </c>
      <c r="G7774" t="str">
        <f>HYPERLINK("http://babel.hathitrust.org/cgi/pt?id=wu.89064141716")</f>
        <v>http://babel.hathitrust.org/cgi/pt?id=wu.89064141716</v>
      </c>
      <c r="H7774" t="str">
        <f>HYPERLINK("http://catalog.hathitrust.org/Record/011261289")</f>
        <v>http://catalog.hathitrust.org/Record/011261289</v>
      </c>
      <c r="J7774" s="1">
        <v>1892</v>
      </c>
      <c r="K7774" t="s">
        <v>1492</v>
      </c>
      <c r="L7774" t="s">
        <v>8045</v>
      </c>
    </row>
    <row r="7775" spans="1:12">
      <c r="A7775" t="s">
        <v>1493</v>
      </c>
      <c r="B7775" s="1" t="s">
        <v>1494</v>
      </c>
      <c r="F7775">
        <v>1</v>
      </c>
      <c r="G7775" t="str">
        <f>HYPERLINK("http://babel.hathitrust.org/cgi/pt?id=wu.89004048153")</f>
        <v>http://babel.hathitrust.org/cgi/pt?id=wu.89004048153</v>
      </c>
      <c r="H7775" t="str">
        <f>HYPERLINK("http://catalog.hathitrust.org/Record/011261290")</f>
        <v>http://catalog.hathitrust.org/Record/011261290</v>
      </c>
      <c r="J7775" s="1">
        <v>1831</v>
      </c>
      <c r="K7775" t="s">
        <v>1414</v>
      </c>
      <c r="L7775" t="s">
        <v>20086</v>
      </c>
    </row>
    <row r="7776" spans="1:12">
      <c r="A7776" t="s">
        <v>1415</v>
      </c>
      <c r="B7776" s="1" t="s">
        <v>1416</v>
      </c>
      <c r="F7776">
        <v>1</v>
      </c>
      <c r="G7776" t="str">
        <f>HYPERLINK("http://babel.hathitrust.org/cgi/pt?id=wu.89001200120")</f>
        <v>http://babel.hathitrust.org/cgi/pt?id=wu.89001200120</v>
      </c>
      <c r="H7776" t="str">
        <f>HYPERLINK("http://catalog.hathitrust.org/Record/011261300")</f>
        <v>http://catalog.hathitrust.org/Record/011261300</v>
      </c>
      <c r="J7776" s="1">
        <v>1912</v>
      </c>
      <c r="K7776" t="s">
        <v>1417</v>
      </c>
    </row>
    <row r="7777" spans="1:12">
      <c r="A7777" t="s">
        <v>1418</v>
      </c>
      <c r="B7777" s="1" t="s">
        <v>1419</v>
      </c>
      <c r="F7777">
        <v>1</v>
      </c>
      <c r="G7777" t="str">
        <f>HYPERLINK("http://babel.hathitrust.org/cgi/pt?id=wu.89003618576")</f>
        <v>http://babel.hathitrust.org/cgi/pt?id=wu.89003618576</v>
      </c>
      <c r="H7777" t="str">
        <f>HYPERLINK("http://catalog.hathitrust.org/Record/011261301")</f>
        <v>http://catalog.hathitrust.org/Record/011261301</v>
      </c>
      <c r="J7777" s="1">
        <v>1617</v>
      </c>
      <c r="K7777" t="s">
        <v>1420</v>
      </c>
      <c r="L7777" t="s">
        <v>1421</v>
      </c>
    </row>
    <row r="7778" spans="1:12">
      <c r="A7778" t="s">
        <v>1422</v>
      </c>
      <c r="B7778" s="1" t="s">
        <v>1423</v>
      </c>
      <c r="F7778">
        <v>1</v>
      </c>
      <c r="G7778" t="str">
        <f>HYPERLINK("http://babel.hathitrust.org/cgi/pt?id=wu.89001200146")</f>
        <v>http://babel.hathitrust.org/cgi/pt?id=wu.89001200146</v>
      </c>
      <c r="H7778" t="str">
        <f>HYPERLINK("http://catalog.hathitrust.org/Record/011261303")</f>
        <v>http://catalog.hathitrust.org/Record/011261303</v>
      </c>
      <c r="J7778" s="1">
        <v>1856</v>
      </c>
      <c r="K7778" t="s">
        <v>1424</v>
      </c>
      <c r="L7778" t="s">
        <v>20553</v>
      </c>
    </row>
    <row r="7779" spans="1:12">
      <c r="A7779" t="s">
        <v>1425</v>
      </c>
      <c r="B7779" s="1" t="s">
        <v>1426</v>
      </c>
      <c r="F7779">
        <v>1</v>
      </c>
      <c r="G7779" t="str">
        <f>HYPERLINK("http://babel.hathitrust.org/cgi/pt?id=wu.89001454917")</f>
        <v>http://babel.hathitrust.org/cgi/pt?id=wu.89001454917</v>
      </c>
      <c r="H7779" t="str">
        <f>HYPERLINK("http://catalog.hathitrust.org/Record/011261326")</f>
        <v>http://catalog.hathitrust.org/Record/011261326</v>
      </c>
      <c r="J7779" s="1">
        <v>1860</v>
      </c>
      <c r="K7779" t="s">
        <v>1427</v>
      </c>
      <c r="L7779" t="s">
        <v>20960</v>
      </c>
    </row>
    <row r="7780" spans="1:12">
      <c r="A7780" t="s">
        <v>1428</v>
      </c>
      <c r="B7780" s="1" t="s">
        <v>1429</v>
      </c>
      <c r="F7780">
        <v>1</v>
      </c>
      <c r="G7780" t="str">
        <f>HYPERLINK("http://babel.hathitrust.org/cgi/pt?id=wu.89016858599")</f>
        <v>http://babel.hathitrust.org/cgi/pt?id=wu.89016858599</v>
      </c>
      <c r="H7780" t="str">
        <f>HYPERLINK("http://catalog.hathitrust.org/Record/011261364")</f>
        <v>http://catalog.hathitrust.org/Record/011261364</v>
      </c>
      <c r="J7780" s="1">
        <v>1845</v>
      </c>
      <c r="K7780" t="s">
        <v>1430</v>
      </c>
      <c r="L7780" t="s">
        <v>16785</v>
      </c>
    </row>
    <row r="7781" spans="1:12">
      <c r="A7781" t="s">
        <v>1431</v>
      </c>
      <c r="B7781" s="1" t="s">
        <v>1432</v>
      </c>
      <c r="F7781">
        <v>1</v>
      </c>
      <c r="G7781" t="str">
        <f>HYPERLINK("http://babel.hathitrust.org/cgi/pt?id=wu.89006410146")</f>
        <v>http://babel.hathitrust.org/cgi/pt?id=wu.89006410146</v>
      </c>
      <c r="H7781" t="str">
        <f>HYPERLINK("http://catalog.hathitrust.org/Record/011261367")</f>
        <v>http://catalog.hathitrust.org/Record/011261367</v>
      </c>
      <c r="J7781" s="1">
        <v>1861</v>
      </c>
      <c r="K7781" t="s">
        <v>1433</v>
      </c>
      <c r="L7781" t="s">
        <v>1434</v>
      </c>
    </row>
    <row r="7782" spans="1:12">
      <c r="A7782" t="s">
        <v>1435</v>
      </c>
      <c r="B7782" s="1" t="s">
        <v>1436</v>
      </c>
      <c r="F7782">
        <v>1</v>
      </c>
      <c r="G7782" t="str">
        <f>HYPERLINK("http://babel.hathitrust.org/cgi/pt?id=pur1.32754067958524")</f>
        <v>http://babel.hathitrust.org/cgi/pt?id=pur1.32754067958524</v>
      </c>
      <c r="H7782" t="str">
        <f>HYPERLINK("http://catalog.hathitrust.org/Record/011326420")</f>
        <v>http://catalog.hathitrust.org/Record/011326420</v>
      </c>
      <c r="J7782" s="1">
        <v>1997</v>
      </c>
      <c r="K7782" t="s">
        <v>1437</v>
      </c>
    </row>
    <row r="7783" spans="1:12">
      <c r="A7783" t="s">
        <v>1438</v>
      </c>
      <c r="B7783" s="1" t="s">
        <v>1439</v>
      </c>
      <c r="F7783">
        <v>1</v>
      </c>
      <c r="G7783" t="str">
        <f>HYPERLINK("http://babel.hathitrust.org/cgi/pt?id=pur1.32754050087752")</f>
        <v>http://babel.hathitrust.org/cgi/pt?id=pur1.32754050087752</v>
      </c>
      <c r="H7783" t="str">
        <f>HYPERLINK("http://catalog.hathitrust.org/Record/011326658")</f>
        <v>http://catalog.hathitrust.org/Record/011326658</v>
      </c>
      <c r="J7783" s="1">
        <v>1987</v>
      </c>
      <c r="K7783" t="s">
        <v>1440</v>
      </c>
      <c r="L7783" t="s">
        <v>1441</v>
      </c>
    </row>
    <row r="7784" spans="1:12">
      <c r="A7784" t="s">
        <v>1442</v>
      </c>
      <c r="B7784" s="1" t="s">
        <v>1443</v>
      </c>
      <c r="F7784">
        <v>1</v>
      </c>
      <c r="G7784" t="str">
        <f>HYPERLINK("http://babel.hathitrust.org/cgi/pt?id=pur1.32754050087745")</f>
        <v>http://babel.hathitrust.org/cgi/pt?id=pur1.32754050087745</v>
      </c>
      <c r="H7784" t="str">
        <f>HYPERLINK("http://catalog.hathitrust.org/Record/011326659")</f>
        <v>http://catalog.hathitrust.org/Record/011326659</v>
      </c>
      <c r="J7784" s="1">
        <v>1987</v>
      </c>
      <c r="K7784" t="s">
        <v>1444</v>
      </c>
      <c r="L7784" t="s">
        <v>1445</v>
      </c>
    </row>
    <row r="7785" spans="1:12">
      <c r="A7785" t="s">
        <v>1446</v>
      </c>
      <c r="B7785" s="1" t="s">
        <v>1447</v>
      </c>
      <c r="F7785">
        <v>1</v>
      </c>
      <c r="G7785" t="str">
        <f>HYPERLINK("http://babel.hathitrust.org/cgi/pt?id=pur1.32754074659057")</f>
        <v>http://babel.hathitrust.org/cgi/pt?id=pur1.32754074659057</v>
      </c>
      <c r="H7785" t="str">
        <f>HYPERLINK("http://catalog.hathitrust.org/Record/011334603")</f>
        <v>http://catalog.hathitrust.org/Record/011334603</v>
      </c>
      <c r="J7785" s="1">
        <v>2001</v>
      </c>
      <c r="K7785" t="s">
        <v>1352</v>
      </c>
      <c r="L7785" t="s">
        <v>1353</v>
      </c>
    </row>
    <row r="7786" spans="1:12">
      <c r="A7786" t="s">
        <v>1354</v>
      </c>
      <c r="B7786" s="1" t="s">
        <v>1355</v>
      </c>
      <c r="F7786">
        <v>1</v>
      </c>
      <c r="G7786" t="str">
        <f>HYPERLINK("http://babel.hathitrust.org/cgi/pt?id=uiug.30112101040290")</f>
        <v>http://babel.hathitrust.org/cgi/pt?id=uiug.30112101040290</v>
      </c>
      <c r="H7786" t="str">
        <f>HYPERLINK("http://catalog.hathitrust.org/Record/011396414")</f>
        <v>http://catalog.hathitrust.org/Record/011396414</v>
      </c>
      <c r="J7786" s="1">
        <v>1992</v>
      </c>
      <c r="K7786" t="s">
        <v>1356</v>
      </c>
    </row>
    <row r="7787" spans="1:12">
      <c r="A7787" t="s">
        <v>1357</v>
      </c>
      <c r="B7787" s="1" t="s">
        <v>1358</v>
      </c>
      <c r="E7787">
        <v>1</v>
      </c>
      <c r="G7787" t="str">
        <f>HYPERLINK("http://babel.hathitrust.org/cgi/pt?id=coo.31924013164953")</f>
        <v>http://babel.hathitrust.org/cgi/pt?id=coo.31924013164953</v>
      </c>
      <c r="H7787" t="str">
        <f>HYPERLINK("http://catalog.hathitrust.org/Record/011405311")</f>
        <v>http://catalog.hathitrust.org/Record/011405311</v>
      </c>
      <c r="J7787" s="1">
        <v>1870</v>
      </c>
      <c r="K7787" t="s">
        <v>17928</v>
      </c>
      <c r="L7787" t="s">
        <v>18991</v>
      </c>
    </row>
    <row r="7788" spans="1:12">
      <c r="A7788" t="s">
        <v>1359</v>
      </c>
      <c r="B7788" s="1" t="s">
        <v>1360</v>
      </c>
      <c r="F7788">
        <v>1</v>
      </c>
      <c r="G7788" t="str">
        <f>HYPERLINK("http://babel.hathitrust.org/cgi/pt?id=coo.31924013355940")</f>
        <v>http://babel.hathitrust.org/cgi/pt?id=coo.31924013355940</v>
      </c>
      <c r="H7788" t="str">
        <f>HYPERLINK("http://catalog.hathitrust.org/Record/011405426")</f>
        <v>http://catalog.hathitrust.org/Record/011405426</v>
      </c>
      <c r="J7788" s="1">
        <v>1904</v>
      </c>
      <c r="K7788" t="s">
        <v>1361</v>
      </c>
      <c r="L7788" t="s">
        <v>17156</v>
      </c>
    </row>
    <row r="7789" spans="1:12">
      <c r="A7789" t="s">
        <v>1362</v>
      </c>
      <c r="B7789" s="1" t="s">
        <v>1363</v>
      </c>
      <c r="F7789">
        <v>1</v>
      </c>
      <c r="G7789" t="str">
        <f>HYPERLINK("http://babel.hathitrust.org/cgi/pt?id=coo.31924022154680")</f>
        <v>http://babel.hathitrust.org/cgi/pt?id=coo.31924022154680</v>
      </c>
      <c r="H7789" t="str">
        <f>HYPERLINK("http://catalog.hathitrust.org/Record/011406285")</f>
        <v>http://catalog.hathitrust.org/Record/011406285</v>
      </c>
      <c r="J7789" s="1">
        <v>1891</v>
      </c>
      <c r="K7789" t="s">
        <v>1364</v>
      </c>
      <c r="L7789" t="s">
        <v>20026</v>
      </c>
    </row>
    <row r="7790" spans="1:12">
      <c r="A7790" t="s">
        <v>1365</v>
      </c>
      <c r="B7790" s="1" t="s">
        <v>1366</v>
      </c>
      <c r="E7790">
        <v>1</v>
      </c>
      <c r="G7790" t="str">
        <f>HYPERLINK("http://babel.hathitrust.org/cgi/pt?id=umn.319510021852106")</f>
        <v>http://babel.hathitrust.org/cgi/pt?id=umn.319510021852106</v>
      </c>
      <c r="H7790" t="str">
        <f>HYPERLINK("http://catalog.hathitrust.org/Record/011407035")</f>
        <v>http://catalog.hathitrust.org/Record/011407035</v>
      </c>
      <c r="I7790" s="1" t="s">
        <v>20679</v>
      </c>
      <c r="J7790" s="1">
        <v>1880</v>
      </c>
      <c r="K7790" t="s">
        <v>1367</v>
      </c>
      <c r="L7790" t="s">
        <v>17963</v>
      </c>
    </row>
    <row r="7791" spans="1:12">
      <c r="A7791" t="s">
        <v>1368</v>
      </c>
      <c r="B7791" s="1" t="s">
        <v>1366</v>
      </c>
      <c r="E7791">
        <v>1</v>
      </c>
      <c r="G7791" t="str">
        <f>HYPERLINK("http://babel.hathitrust.org/cgi/pt?id=umn.319510021852122")</f>
        <v>http://babel.hathitrust.org/cgi/pt?id=umn.319510021852122</v>
      </c>
      <c r="H7791" t="str">
        <f>HYPERLINK("http://catalog.hathitrust.org/Record/011407035")</f>
        <v>http://catalog.hathitrust.org/Record/011407035</v>
      </c>
      <c r="J7791" s="1">
        <v>1880</v>
      </c>
      <c r="K7791" t="s">
        <v>1367</v>
      </c>
      <c r="L7791" t="s">
        <v>17963</v>
      </c>
    </row>
    <row r="7792" spans="1:12">
      <c r="A7792" t="s">
        <v>1369</v>
      </c>
      <c r="B7792" s="1" t="s">
        <v>1370</v>
      </c>
      <c r="F7792">
        <v>1</v>
      </c>
      <c r="G7792" t="str">
        <f>HYPERLINK("http://babel.hathitrust.org/cgi/pt?id=umn.31951002066933g")</f>
        <v>http://babel.hathitrust.org/cgi/pt?id=umn.31951002066933g</v>
      </c>
      <c r="H7792" t="str">
        <f>HYPERLINK("http://catalog.hathitrust.org/Record/011407048")</f>
        <v>http://catalog.hathitrust.org/Record/011407048</v>
      </c>
      <c r="J7792" s="1">
        <v>1895</v>
      </c>
      <c r="K7792" t="s">
        <v>1371</v>
      </c>
      <c r="L7792" t="s">
        <v>1372</v>
      </c>
    </row>
    <row r="7793" spans="1:12">
      <c r="A7793" t="s">
        <v>1373</v>
      </c>
      <c r="B7793" s="1" t="s">
        <v>1374</v>
      </c>
      <c r="E7793">
        <v>1</v>
      </c>
      <c r="F7793">
        <v>1</v>
      </c>
      <c r="G7793" t="str">
        <f>HYPERLINK("http://babel.hathitrust.org/cgi/pt?id=umn.319510021803806")</f>
        <v>http://babel.hathitrust.org/cgi/pt?id=umn.319510021803806</v>
      </c>
      <c r="H7793" t="str">
        <f>HYPERLINK("http://catalog.hathitrust.org/Record/011407724")</f>
        <v>http://catalog.hathitrust.org/Record/011407724</v>
      </c>
      <c r="J7793" s="1">
        <v>1847</v>
      </c>
      <c r="K7793" t="s">
        <v>1375</v>
      </c>
      <c r="L7793" t="s">
        <v>15662</v>
      </c>
    </row>
    <row r="7794" spans="1:12">
      <c r="A7794" t="s">
        <v>1376</v>
      </c>
      <c r="B7794" s="1" t="s">
        <v>1377</v>
      </c>
      <c r="F7794">
        <v>1</v>
      </c>
      <c r="G7794" t="str">
        <f>HYPERLINK("http://babel.hathitrust.org/cgi/pt?id=umn.319510015961309")</f>
        <v>http://babel.hathitrust.org/cgi/pt?id=umn.319510015961309</v>
      </c>
      <c r="H7794" t="str">
        <f>HYPERLINK("http://catalog.hathitrust.org/Record/011407875")</f>
        <v>http://catalog.hathitrust.org/Record/011407875</v>
      </c>
      <c r="J7794" s="1">
        <v>1869</v>
      </c>
      <c r="K7794" t="s">
        <v>1378</v>
      </c>
      <c r="L7794" t="s">
        <v>19442</v>
      </c>
    </row>
    <row r="7795" spans="1:12">
      <c r="A7795" t="s">
        <v>1379</v>
      </c>
      <c r="B7795" s="1" t="s">
        <v>1380</v>
      </c>
      <c r="E7795">
        <v>1</v>
      </c>
      <c r="G7795" t="str">
        <f>HYPERLINK("http://babel.hathitrust.org/cgi/pt?id=umn.31951002097567s")</f>
        <v>http://babel.hathitrust.org/cgi/pt?id=umn.31951002097567s</v>
      </c>
      <c r="H7795" t="str">
        <f>HYPERLINK("http://catalog.hathitrust.org/Record/011407942")</f>
        <v>http://catalog.hathitrust.org/Record/011407942</v>
      </c>
      <c r="J7795" s="1">
        <v>1850</v>
      </c>
      <c r="K7795" t="s">
        <v>17630</v>
      </c>
      <c r="L7795" t="s">
        <v>17631</v>
      </c>
    </row>
    <row r="7796" spans="1:12">
      <c r="A7796" t="s">
        <v>1381</v>
      </c>
      <c r="B7796" s="1" t="s">
        <v>1382</v>
      </c>
      <c r="D7796">
        <v>1</v>
      </c>
      <c r="G7796" t="str">
        <f>HYPERLINK("http://babel.hathitrust.org/cgi/pt?id=umn.31951002375476w")</f>
        <v>http://babel.hathitrust.org/cgi/pt?id=umn.31951002375476w</v>
      </c>
      <c r="H7796" t="str">
        <f>HYPERLINK("http://catalog.hathitrust.org/Record/011408024")</f>
        <v>http://catalog.hathitrust.org/Record/011408024</v>
      </c>
      <c r="J7796" s="1">
        <v>1839</v>
      </c>
      <c r="K7796" t="s">
        <v>1383</v>
      </c>
      <c r="L7796" t="s">
        <v>20086</v>
      </c>
    </row>
    <row r="7797" spans="1:12">
      <c r="A7797" t="s">
        <v>1384</v>
      </c>
      <c r="B7797" s="1" t="s">
        <v>1385</v>
      </c>
      <c r="E7797">
        <v>1</v>
      </c>
      <c r="G7797" t="str">
        <f>HYPERLINK("http://babel.hathitrust.org/cgi/pt?id=umn.31951002084555k")</f>
        <v>http://babel.hathitrust.org/cgi/pt?id=umn.31951002084555k</v>
      </c>
      <c r="H7797" t="str">
        <f>HYPERLINK("http://catalog.hathitrust.org/Record/011408083")</f>
        <v>http://catalog.hathitrust.org/Record/011408083</v>
      </c>
      <c r="J7797" s="1">
        <v>1829</v>
      </c>
      <c r="K7797" t="s">
        <v>1386</v>
      </c>
      <c r="L7797" t="s">
        <v>20904</v>
      </c>
    </row>
    <row r="7798" spans="1:12">
      <c r="A7798" t="s">
        <v>1387</v>
      </c>
      <c r="B7798" s="1" t="s">
        <v>1388</v>
      </c>
      <c r="D7798">
        <v>1</v>
      </c>
      <c r="G7798" t="str">
        <f>HYPERLINK("http://babel.hathitrust.org/cgi/pt?id=umn.31951001626242x")</f>
        <v>http://babel.hathitrust.org/cgi/pt?id=umn.31951001626242x</v>
      </c>
      <c r="H7798" t="str">
        <f>HYPERLINK("http://catalog.hathitrust.org/Record/011408156")</f>
        <v>http://catalog.hathitrust.org/Record/011408156</v>
      </c>
      <c r="J7798" s="1">
        <v>1899</v>
      </c>
      <c r="K7798" t="s">
        <v>1389</v>
      </c>
      <c r="L7798" t="s">
        <v>17895</v>
      </c>
    </row>
    <row r="7799" spans="1:12">
      <c r="A7799" t="s">
        <v>1390</v>
      </c>
      <c r="B7799" s="1" t="s">
        <v>1391</v>
      </c>
      <c r="E7799">
        <v>1</v>
      </c>
      <c r="G7799" t="str">
        <f>HYPERLINK("http://babel.hathitrust.org/cgi/pt?id=umn.31951002084553o")</f>
        <v>http://babel.hathitrust.org/cgi/pt?id=umn.31951002084553o</v>
      </c>
      <c r="H7799" t="str">
        <f>HYPERLINK("http://catalog.hathitrust.org/Record/011408232")</f>
        <v>http://catalog.hathitrust.org/Record/011408232</v>
      </c>
      <c r="J7799" s="1">
        <v>1872</v>
      </c>
      <c r="K7799" t="s">
        <v>1392</v>
      </c>
      <c r="L7799" t="s">
        <v>20904</v>
      </c>
    </row>
    <row r="7800" spans="1:12">
      <c r="A7800" t="s">
        <v>1393</v>
      </c>
      <c r="B7800" s="1" t="s">
        <v>1394</v>
      </c>
      <c r="F7800">
        <v>1</v>
      </c>
      <c r="G7800" t="str">
        <f>HYPERLINK("http://babel.hathitrust.org/cgi/pt?id=umn.31951001574489m")</f>
        <v>http://babel.hathitrust.org/cgi/pt?id=umn.31951001574489m</v>
      </c>
      <c r="H7800" t="str">
        <f>HYPERLINK("http://catalog.hathitrust.org/Record/011408342")</f>
        <v>http://catalog.hathitrust.org/Record/011408342</v>
      </c>
      <c r="J7800" s="1">
        <v>1904</v>
      </c>
      <c r="K7800" t="s">
        <v>1395</v>
      </c>
      <c r="L7800" t="s">
        <v>3523</v>
      </c>
    </row>
    <row r="7801" spans="1:12">
      <c r="A7801" t="s">
        <v>1396</v>
      </c>
      <c r="B7801" s="1" t="s">
        <v>1397</v>
      </c>
      <c r="F7801">
        <v>1</v>
      </c>
      <c r="G7801" t="str">
        <f>HYPERLINK("http://babel.hathitrust.org/cgi/pt?id=umn.31951p01109533k")</f>
        <v>http://babel.hathitrust.org/cgi/pt?id=umn.31951p01109533k</v>
      </c>
      <c r="H7801" t="str">
        <f>HYPERLINK("http://catalog.hathitrust.org/Record/011408469")</f>
        <v>http://catalog.hathitrust.org/Record/011408469</v>
      </c>
      <c r="J7801" s="1">
        <v>1885</v>
      </c>
      <c r="K7801" t="s">
        <v>1398</v>
      </c>
      <c r="L7801" t="s">
        <v>6139</v>
      </c>
    </row>
    <row r="7802" spans="1:12">
      <c r="A7802" t="s">
        <v>1399</v>
      </c>
      <c r="B7802" s="1" t="s">
        <v>1400</v>
      </c>
      <c r="D7802">
        <v>1</v>
      </c>
      <c r="G7802" t="str">
        <f>HYPERLINK("http://babel.hathitrust.org/cgi/pt?id=umn.31951002180028k")</f>
        <v>http://babel.hathitrust.org/cgi/pt?id=umn.31951002180028k</v>
      </c>
      <c r="H7802" t="str">
        <f>HYPERLINK("http://catalog.hathitrust.org/Record/011408581")</f>
        <v>http://catalog.hathitrust.org/Record/011408581</v>
      </c>
      <c r="J7802" s="1">
        <v>1848</v>
      </c>
      <c r="K7802" t="s">
        <v>9004</v>
      </c>
      <c r="L7802" t="s">
        <v>19446</v>
      </c>
    </row>
    <row r="7803" spans="1:12">
      <c r="A7803" t="s">
        <v>1401</v>
      </c>
      <c r="B7803" s="1" t="s">
        <v>1402</v>
      </c>
      <c r="F7803">
        <v>1</v>
      </c>
      <c r="G7803" t="str">
        <f>HYPERLINK("http://babel.hathitrust.org/cgi/pt?id=uiug.30112105110651")</f>
        <v>http://babel.hathitrust.org/cgi/pt?id=uiug.30112105110651</v>
      </c>
      <c r="H7803" t="str">
        <f>HYPERLINK("http://catalog.hathitrust.org/Record/011408709")</f>
        <v>http://catalog.hathitrust.org/Record/011408709</v>
      </c>
      <c r="J7803" s="1">
        <v>1982</v>
      </c>
      <c r="K7803" t="s">
        <v>1403</v>
      </c>
      <c r="L7803" t="s">
        <v>1404</v>
      </c>
    </row>
    <row r="7804" spans="1:12">
      <c r="A7804" t="s">
        <v>1405</v>
      </c>
      <c r="B7804" s="1" t="s">
        <v>1406</v>
      </c>
      <c r="F7804">
        <v>1</v>
      </c>
      <c r="G7804" t="str">
        <f>HYPERLINK("http://babel.hathitrust.org/cgi/pt?id=uiug.30112105110669")</f>
        <v>http://babel.hathitrust.org/cgi/pt?id=uiug.30112105110669</v>
      </c>
      <c r="H7804" t="str">
        <f>HYPERLINK("http://catalog.hathitrust.org/Record/011410653")</f>
        <v>http://catalog.hathitrust.org/Record/011410653</v>
      </c>
      <c r="J7804" s="1">
        <v>1977</v>
      </c>
      <c r="K7804" t="s">
        <v>1403</v>
      </c>
      <c r="L7804" t="s">
        <v>1407</v>
      </c>
    </row>
    <row r="7805" spans="1:12">
      <c r="A7805" t="s">
        <v>1408</v>
      </c>
      <c r="B7805" s="1" t="s">
        <v>1409</v>
      </c>
      <c r="F7805">
        <v>1</v>
      </c>
      <c r="G7805" t="str">
        <f>HYPERLINK("http://babel.hathitrust.org/cgi/pt?id=uiug.30112010472477")</f>
        <v>http://babel.hathitrust.org/cgi/pt?id=uiug.30112010472477</v>
      </c>
      <c r="H7805" t="str">
        <f>HYPERLINK("http://catalog.hathitrust.org/Record/011420236")</f>
        <v>http://catalog.hathitrust.org/Record/011420236</v>
      </c>
      <c r="J7805" s="1">
        <v>1981</v>
      </c>
      <c r="K7805" t="s">
        <v>1410</v>
      </c>
    </row>
    <row r="7806" spans="1:12">
      <c r="A7806" t="s">
        <v>1411</v>
      </c>
      <c r="B7806" s="1" t="s">
        <v>1412</v>
      </c>
      <c r="F7806">
        <v>1</v>
      </c>
      <c r="G7806" t="str">
        <f>HYPERLINK("http://babel.hathitrust.org/cgi/pt?id=uiug.30112106611590")</f>
        <v>http://babel.hathitrust.org/cgi/pt?id=uiug.30112106611590</v>
      </c>
      <c r="H7806" t="str">
        <f>HYPERLINK("http://catalog.hathitrust.org/Record/011424348")</f>
        <v>http://catalog.hathitrust.org/Record/011424348</v>
      </c>
      <c r="J7806" s="1">
        <v>1988</v>
      </c>
      <c r="K7806" t="s">
        <v>1413</v>
      </c>
    </row>
    <row r="7807" spans="1:12">
      <c r="A7807" t="s">
        <v>1306</v>
      </c>
      <c r="B7807" s="1" t="s">
        <v>1307</v>
      </c>
      <c r="E7807">
        <v>1</v>
      </c>
      <c r="G7807" t="str">
        <f>HYPERLINK("http://babel.hathitrust.org/cgi/pt?id=chi.086527682")</f>
        <v>http://babel.hathitrust.org/cgi/pt?id=chi.086527682</v>
      </c>
      <c r="H7807" t="str">
        <f>HYPERLINK("http://catalog.hathitrust.org/Record/011435135")</f>
        <v>http://catalog.hathitrust.org/Record/011435135</v>
      </c>
      <c r="I7807" s="1" t="s">
        <v>17004</v>
      </c>
      <c r="J7807" s="1">
        <v>1845</v>
      </c>
      <c r="K7807" t="s">
        <v>1308</v>
      </c>
      <c r="L7807" t="s">
        <v>1309</v>
      </c>
    </row>
    <row r="7808" spans="1:12">
      <c r="A7808" t="s">
        <v>1310</v>
      </c>
      <c r="B7808" s="1" t="s">
        <v>1311</v>
      </c>
      <c r="F7808">
        <v>1</v>
      </c>
      <c r="G7808" t="str">
        <f>HYPERLINK("http://babel.hathitrust.org/cgi/pt?id=chi.76009251")</f>
        <v>http://babel.hathitrust.org/cgi/pt?id=chi.76009251</v>
      </c>
      <c r="H7808" t="str">
        <f>HYPERLINK("http://catalog.hathitrust.org/Record/011435580")</f>
        <v>http://catalog.hathitrust.org/Record/011435580</v>
      </c>
      <c r="I7808" s="1" t="s">
        <v>17004</v>
      </c>
      <c r="J7808" s="1">
        <v>1901</v>
      </c>
      <c r="K7808" t="s">
        <v>1312</v>
      </c>
      <c r="L7808" t="s">
        <v>1313</v>
      </c>
    </row>
    <row r="7809" spans="1:12">
      <c r="A7809" t="s">
        <v>1314</v>
      </c>
      <c r="B7809" s="1" t="s">
        <v>1315</v>
      </c>
      <c r="E7809">
        <v>1</v>
      </c>
      <c r="F7809">
        <v>1</v>
      </c>
      <c r="G7809" t="str">
        <f>HYPERLINK("http://babel.hathitrust.org/cgi/pt?id=chi.086569286")</f>
        <v>http://babel.hathitrust.org/cgi/pt?id=chi.086569286</v>
      </c>
      <c r="H7809" t="str">
        <f>HYPERLINK("http://catalog.hathitrust.org/Record/011435794")</f>
        <v>http://catalog.hathitrust.org/Record/011435794</v>
      </c>
      <c r="I7809" s="1" t="s">
        <v>17004</v>
      </c>
      <c r="J7809" s="1">
        <v>1863</v>
      </c>
      <c r="K7809" t="s">
        <v>1316</v>
      </c>
      <c r="L7809" t="s">
        <v>20629</v>
      </c>
    </row>
    <row r="7810" spans="1:12">
      <c r="A7810" t="s">
        <v>1317</v>
      </c>
      <c r="B7810" s="1" t="s">
        <v>1318</v>
      </c>
      <c r="D7810">
        <v>1</v>
      </c>
      <c r="G7810" t="str">
        <f>HYPERLINK("http://babel.hathitrust.org/cgi/pt?id=wu.89085147080")</f>
        <v>http://babel.hathitrust.org/cgi/pt?id=wu.89085147080</v>
      </c>
      <c r="H7810" t="str">
        <f>HYPERLINK("http://catalog.hathitrust.org/Record/011440649")</f>
        <v>http://catalog.hathitrust.org/Record/011440649</v>
      </c>
      <c r="J7810" s="1">
        <v>1836</v>
      </c>
      <c r="K7810" t="s">
        <v>9889</v>
      </c>
      <c r="L7810" t="s">
        <v>15473</v>
      </c>
    </row>
    <row r="7811" spans="1:12">
      <c r="A7811" t="s">
        <v>1319</v>
      </c>
      <c r="B7811" s="1" t="s">
        <v>1320</v>
      </c>
      <c r="F7811">
        <v>1</v>
      </c>
      <c r="G7811" t="str">
        <f>HYPERLINK("http://babel.hathitrust.org/cgi/pt?id=wu.89010294395")</f>
        <v>http://babel.hathitrust.org/cgi/pt?id=wu.89010294395</v>
      </c>
      <c r="H7811" t="str">
        <f>HYPERLINK("http://catalog.hathitrust.org/Record/011440652")</f>
        <v>http://catalog.hathitrust.org/Record/011440652</v>
      </c>
      <c r="J7811" s="1">
        <v>1916</v>
      </c>
      <c r="K7811" t="s">
        <v>1321</v>
      </c>
      <c r="L7811" t="s">
        <v>17190</v>
      </c>
    </row>
    <row r="7812" spans="1:12">
      <c r="A7812" t="s">
        <v>1322</v>
      </c>
      <c r="B7812" s="1" t="s">
        <v>1323</v>
      </c>
      <c r="F7812">
        <v>1</v>
      </c>
      <c r="G7812" t="str">
        <f>HYPERLINK("http://babel.hathitrust.org/cgi/pt?id=wu.89110018330")</f>
        <v>http://babel.hathitrust.org/cgi/pt?id=wu.89110018330</v>
      </c>
      <c r="H7812" t="str">
        <f>HYPERLINK("http://catalog.hathitrust.org/Record/011441856")</f>
        <v>http://catalog.hathitrust.org/Record/011441856</v>
      </c>
      <c r="J7812" s="1">
        <v>1899</v>
      </c>
      <c r="K7812" t="s">
        <v>1324</v>
      </c>
      <c r="L7812" t="s">
        <v>1325</v>
      </c>
    </row>
    <row r="7813" spans="1:12">
      <c r="A7813" t="s">
        <v>1326</v>
      </c>
      <c r="B7813" s="1" t="s">
        <v>1327</v>
      </c>
      <c r="F7813">
        <v>1</v>
      </c>
      <c r="G7813" t="str">
        <f>HYPERLINK("http://babel.hathitrust.org/cgi/pt?id=wu.89018098061")</f>
        <v>http://babel.hathitrust.org/cgi/pt?id=wu.89018098061</v>
      </c>
      <c r="H7813" t="str">
        <f>HYPERLINK("http://catalog.hathitrust.org/Record/011441858")</f>
        <v>http://catalog.hathitrust.org/Record/011441858</v>
      </c>
      <c r="J7813" s="1">
        <v>1871</v>
      </c>
      <c r="K7813" t="s">
        <v>18409</v>
      </c>
      <c r="L7813" t="s">
        <v>18885</v>
      </c>
    </row>
    <row r="7814" spans="1:12">
      <c r="A7814" t="s">
        <v>1328</v>
      </c>
      <c r="B7814" s="1" t="s">
        <v>1329</v>
      </c>
      <c r="F7814">
        <v>1</v>
      </c>
      <c r="G7814" t="str">
        <f>HYPERLINK("http://babel.hathitrust.org/cgi/pt?id=wu.89005917307")</f>
        <v>http://babel.hathitrust.org/cgi/pt?id=wu.89005917307</v>
      </c>
      <c r="H7814" t="str">
        <f>HYPERLINK("http://catalog.hathitrust.org/Record/011441859")</f>
        <v>http://catalog.hathitrust.org/Record/011441859</v>
      </c>
      <c r="J7814" s="1">
        <v>1853</v>
      </c>
      <c r="K7814" t="s">
        <v>1330</v>
      </c>
      <c r="L7814" t="s">
        <v>14012</v>
      </c>
    </row>
    <row r="7815" spans="1:12">
      <c r="A7815" t="s">
        <v>1331</v>
      </c>
      <c r="B7815" s="1" t="s">
        <v>1332</v>
      </c>
      <c r="E7815">
        <v>1</v>
      </c>
      <c r="G7815" t="str">
        <f>HYPERLINK("http://babel.hathitrust.org/cgi/pt?id=wu.89000697581")</f>
        <v>http://babel.hathitrust.org/cgi/pt?id=wu.89000697581</v>
      </c>
      <c r="H7815" t="str">
        <f>HYPERLINK("http://catalog.hathitrust.org/Record/011441888")</f>
        <v>http://catalog.hathitrust.org/Record/011441888</v>
      </c>
      <c r="J7815" s="1">
        <v>1907</v>
      </c>
      <c r="K7815" t="s">
        <v>1333</v>
      </c>
      <c r="L7815" t="s">
        <v>20416</v>
      </c>
    </row>
    <row r="7816" spans="1:12">
      <c r="A7816" t="s">
        <v>1334</v>
      </c>
      <c r="B7816" s="1" t="s">
        <v>1335</v>
      </c>
      <c r="E7816">
        <v>1</v>
      </c>
      <c r="G7816" t="str">
        <f>HYPERLINK("http://babel.hathitrust.org/cgi/pt?id=hvd.32044097071567")</f>
        <v>http://babel.hathitrust.org/cgi/pt?id=hvd.32044097071567</v>
      </c>
      <c r="H7816" t="str">
        <f>HYPERLINK("http://catalog.hathitrust.org/Record/011529597")</f>
        <v>http://catalog.hathitrust.org/Record/011529597</v>
      </c>
      <c r="J7816" s="1">
        <v>1850</v>
      </c>
      <c r="K7816" t="s">
        <v>1336</v>
      </c>
      <c r="L7816" t="s">
        <v>12659</v>
      </c>
    </row>
    <row r="7817" spans="1:12">
      <c r="A7817" t="s">
        <v>1337</v>
      </c>
      <c r="B7817" s="1" t="s">
        <v>1338</v>
      </c>
      <c r="D7817">
        <v>1</v>
      </c>
      <c r="G7817" t="str">
        <f>HYPERLINK("http://babel.hathitrust.org/cgi/pt?id=hvd.32044024301756")</f>
        <v>http://babel.hathitrust.org/cgi/pt?id=hvd.32044024301756</v>
      </c>
      <c r="H7817" t="str">
        <f>HYPERLINK("http://catalog.hathitrust.org/Record/011530035")</f>
        <v>http://catalog.hathitrust.org/Record/011530035</v>
      </c>
      <c r="J7817" s="1">
        <v>1870</v>
      </c>
      <c r="K7817" t="s">
        <v>1339</v>
      </c>
      <c r="L7817" t="s">
        <v>14549</v>
      </c>
    </row>
    <row r="7818" spans="1:12">
      <c r="A7818" t="s">
        <v>1340</v>
      </c>
      <c r="B7818" s="1" t="s">
        <v>1341</v>
      </c>
      <c r="F7818">
        <v>1</v>
      </c>
      <c r="G7818" t="str">
        <f>HYPERLINK("http://babel.hathitrust.org/cgi/pt?id=hvd.32044081497430")</f>
        <v>http://babel.hathitrust.org/cgi/pt?id=hvd.32044081497430</v>
      </c>
      <c r="H7818" t="str">
        <f>HYPERLINK("http://catalog.hathitrust.org/Record/011530854")</f>
        <v>http://catalog.hathitrust.org/Record/011530854</v>
      </c>
      <c r="J7818" s="1">
        <v>1859</v>
      </c>
      <c r="K7818" t="s">
        <v>1342</v>
      </c>
      <c r="L7818" t="s">
        <v>11488</v>
      </c>
    </row>
    <row r="7819" spans="1:12">
      <c r="A7819" t="s">
        <v>1343</v>
      </c>
      <c r="B7819" s="1" t="s">
        <v>1344</v>
      </c>
      <c r="E7819">
        <v>1</v>
      </c>
      <c r="G7819" t="str">
        <f>HYPERLINK("http://babel.hathitrust.org/cgi/pt?id=hvd.32044097042790")</f>
        <v>http://babel.hathitrust.org/cgi/pt?id=hvd.32044097042790</v>
      </c>
      <c r="H7819" t="str">
        <f>HYPERLINK("http://catalog.hathitrust.org/Record/011530879")</f>
        <v>http://catalog.hathitrust.org/Record/011530879</v>
      </c>
      <c r="J7819" s="1">
        <v>1857</v>
      </c>
      <c r="K7819" t="s">
        <v>1345</v>
      </c>
      <c r="L7819" t="s">
        <v>11568</v>
      </c>
    </row>
    <row r="7820" spans="1:12">
      <c r="A7820" t="s">
        <v>1346</v>
      </c>
      <c r="B7820" s="1" t="s">
        <v>1347</v>
      </c>
      <c r="F7820">
        <v>1</v>
      </c>
      <c r="G7820" t="str">
        <f>HYPERLINK("http://babel.hathitrust.org/cgi/pt?id=hvd.32044081501876")</f>
        <v>http://babel.hathitrust.org/cgi/pt?id=hvd.32044081501876</v>
      </c>
      <c r="H7820" t="str">
        <f>HYPERLINK("http://catalog.hathitrust.org/Record/011530880")</f>
        <v>http://catalog.hathitrust.org/Record/011530880</v>
      </c>
      <c r="J7820" s="1">
        <v>1866</v>
      </c>
      <c r="K7820" t="s">
        <v>12863</v>
      </c>
      <c r="L7820" t="s">
        <v>19442</v>
      </c>
    </row>
    <row r="7821" spans="1:12">
      <c r="A7821" t="s">
        <v>1348</v>
      </c>
      <c r="B7821" s="1" t="s">
        <v>1349</v>
      </c>
      <c r="F7821">
        <v>1</v>
      </c>
      <c r="G7821" t="str">
        <f>HYPERLINK("http://babel.hathitrust.org/cgi/pt?id=hvd.32044081497141")</f>
        <v>http://babel.hathitrust.org/cgi/pt?id=hvd.32044081497141</v>
      </c>
      <c r="H7821" t="str">
        <f>HYPERLINK("http://catalog.hathitrust.org/Record/011530881")</f>
        <v>http://catalog.hathitrust.org/Record/011530881</v>
      </c>
      <c r="J7821" s="1">
        <v>1861</v>
      </c>
      <c r="K7821" t="s">
        <v>1350</v>
      </c>
      <c r="L7821" t="s">
        <v>19442</v>
      </c>
    </row>
    <row r="7822" spans="1:12">
      <c r="A7822" t="s">
        <v>1351</v>
      </c>
      <c r="B7822" s="1" t="s">
        <v>1261</v>
      </c>
      <c r="F7822">
        <v>1</v>
      </c>
      <c r="G7822" t="str">
        <f>HYPERLINK("http://babel.hathitrust.org/cgi/pt?id=hvd.32044081502098")</f>
        <v>http://babel.hathitrust.org/cgi/pt?id=hvd.32044081502098</v>
      </c>
      <c r="H7822" t="str">
        <f>HYPERLINK("http://catalog.hathitrust.org/Record/011530917")</f>
        <v>http://catalog.hathitrust.org/Record/011530917</v>
      </c>
      <c r="J7822" s="1">
        <v>1862</v>
      </c>
      <c r="K7822" t="s">
        <v>4484</v>
      </c>
      <c r="L7822" t="s">
        <v>17959</v>
      </c>
    </row>
    <row r="7823" spans="1:12">
      <c r="A7823" t="s">
        <v>1262</v>
      </c>
      <c r="B7823" s="1" t="s">
        <v>1263</v>
      </c>
      <c r="F7823">
        <v>1</v>
      </c>
      <c r="G7823" t="str">
        <f>HYPERLINK("http://babel.hathitrust.org/cgi/pt?id=hvd.32044102845781")</f>
        <v>http://babel.hathitrust.org/cgi/pt?id=hvd.32044102845781</v>
      </c>
      <c r="H7823" t="str">
        <f>HYPERLINK("http://catalog.hathitrust.org/Record/011530918")</f>
        <v>http://catalog.hathitrust.org/Record/011530918</v>
      </c>
      <c r="J7823" s="1">
        <v>1823</v>
      </c>
      <c r="K7823" t="s">
        <v>7002</v>
      </c>
      <c r="L7823" t="s">
        <v>19514</v>
      </c>
    </row>
    <row r="7824" spans="1:12">
      <c r="A7824" t="s">
        <v>1264</v>
      </c>
      <c r="B7824" s="1" t="s">
        <v>1265</v>
      </c>
      <c r="F7824">
        <v>1</v>
      </c>
      <c r="G7824" t="str">
        <f>HYPERLINK("http://babel.hathitrust.org/cgi/pt?id=hvd.32044081497315")</f>
        <v>http://babel.hathitrust.org/cgi/pt?id=hvd.32044081497315</v>
      </c>
      <c r="H7824" t="str">
        <f>HYPERLINK("http://catalog.hathitrust.org/Record/011530934")</f>
        <v>http://catalog.hathitrust.org/Record/011530934</v>
      </c>
      <c r="J7824" s="1">
        <v>1859</v>
      </c>
      <c r="K7824" t="s">
        <v>5963</v>
      </c>
      <c r="L7824" t="s">
        <v>14907</v>
      </c>
    </row>
    <row r="7825" spans="1:12">
      <c r="A7825" t="s">
        <v>1266</v>
      </c>
      <c r="B7825" s="1" t="s">
        <v>1267</v>
      </c>
      <c r="F7825">
        <v>1</v>
      </c>
      <c r="G7825" t="str">
        <f>HYPERLINK("http://babel.hathitrust.org/cgi/pt?id=hvd.32044097042956")</f>
        <v>http://babel.hathitrust.org/cgi/pt?id=hvd.32044097042956</v>
      </c>
      <c r="H7825" t="str">
        <f>HYPERLINK("http://catalog.hathitrust.org/Record/011530963")</f>
        <v>http://catalog.hathitrust.org/Record/011530963</v>
      </c>
      <c r="J7825" s="1">
        <v>1858</v>
      </c>
      <c r="K7825" t="s">
        <v>1268</v>
      </c>
      <c r="L7825" t="s">
        <v>13255</v>
      </c>
    </row>
    <row r="7826" spans="1:12">
      <c r="A7826" t="s">
        <v>1269</v>
      </c>
      <c r="B7826" s="1" t="s">
        <v>1270</v>
      </c>
      <c r="F7826">
        <v>1</v>
      </c>
      <c r="G7826" t="str">
        <f>HYPERLINK("http://babel.hathitrust.org/cgi/pt?id=hvd.32044097057475")</f>
        <v>http://babel.hathitrust.org/cgi/pt?id=hvd.32044097057475</v>
      </c>
      <c r="H7826" t="str">
        <f>HYPERLINK("http://catalog.hathitrust.org/Record/011531034")</f>
        <v>http://catalog.hathitrust.org/Record/011531034</v>
      </c>
      <c r="J7826" s="1">
        <v>1826</v>
      </c>
      <c r="K7826" t="s">
        <v>1271</v>
      </c>
      <c r="L7826" t="s">
        <v>4318</v>
      </c>
    </row>
    <row r="7827" spans="1:12">
      <c r="A7827" t="s">
        <v>1272</v>
      </c>
      <c r="B7827" s="1" t="s">
        <v>1273</v>
      </c>
      <c r="F7827">
        <v>1</v>
      </c>
      <c r="G7827" t="str">
        <f>HYPERLINK("http://babel.hathitrust.org/cgi/pt?id=hvd.32044097071468")</f>
        <v>http://babel.hathitrust.org/cgi/pt?id=hvd.32044097071468</v>
      </c>
      <c r="H7827" t="str">
        <f>HYPERLINK("http://catalog.hathitrust.org/Record/011531372")</f>
        <v>http://catalog.hathitrust.org/Record/011531372</v>
      </c>
      <c r="J7827" s="1">
        <v>1847</v>
      </c>
      <c r="K7827" t="s">
        <v>1274</v>
      </c>
      <c r="L7827" t="s">
        <v>12659</v>
      </c>
    </row>
    <row r="7828" spans="1:12">
      <c r="A7828" t="s">
        <v>1275</v>
      </c>
      <c r="B7828" s="1" t="s">
        <v>1276</v>
      </c>
      <c r="E7828">
        <v>1</v>
      </c>
      <c r="G7828" t="str">
        <f>HYPERLINK("http://babel.hathitrust.org/cgi/pt?id=hvd.32044051107514")</f>
        <v>http://babel.hathitrust.org/cgi/pt?id=hvd.32044051107514</v>
      </c>
      <c r="H7828" t="str">
        <f>HYPERLINK("http://catalog.hathitrust.org/Record/011531384")</f>
        <v>http://catalog.hathitrust.org/Record/011531384</v>
      </c>
      <c r="J7828" s="1">
        <v>1864</v>
      </c>
      <c r="K7828" t="s">
        <v>5350</v>
      </c>
      <c r="L7828" t="s">
        <v>19561</v>
      </c>
    </row>
    <row r="7829" spans="1:12">
      <c r="A7829" t="s">
        <v>1277</v>
      </c>
      <c r="B7829" s="1" t="s">
        <v>1278</v>
      </c>
      <c r="E7829">
        <v>1</v>
      </c>
      <c r="F7829">
        <v>1</v>
      </c>
      <c r="G7829" t="str">
        <f>HYPERLINK("http://babel.hathitrust.org/cgi/pt?id=hvd.32044058233693")</f>
        <v>http://babel.hathitrust.org/cgi/pt?id=hvd.32044058233693</v>
      </c>
      <c r="H7829" t="str">
        <f>HYPERLINK("http://catalog.hathitrust.org/Record/011531663")</f>
        <v>http://catalog.hathitrust.org/Record/011531663</v>
      </c>
      <c r="J7829" s="1">
        <v>1849</v>
      </c>
      <c r="K7829" t="s">
        <v>8061</v>
      </c>
      <c r="L7829" t="s">
        <v>20297</v>
      </c>
    </row>
    <row r="7830" spans="1:12">
      <c r="A7830" t="s">
        <v>1279</v>
      </c>
      <c r="B7830" s="1" t="s">
        <v>1280</v>
      </c>
      <c r="D7830">
        <v>1</v>
      </c>
      <c r="G7830" t="str">
        <f>HYPERLINK("http://babel.hathitrust.org/cgi/pt?id=hvd.32044102846094")</f>
        <v>http://babel.hathitrust.org/cgi/pt?id=hvd.32044102846094</v>
      </c>
      <c r="H7830" t="str">
        <f>HYPERLINK("http://catalog.hathitrust.org/Record/011531820")</f>
        <v>http://catalog.hathitrust.org/Record/011531820</v>
      </c>
      <c r="J7830" s="1">
        <v>1856</v>
      </c>
      <c r="K7830" t="s">
        <v>19693</v>
      </c>
      <c r="L7830" t="s">
        <v>19694</v>
      </c>
    </row>
    <row r="7831" spans="1:12">
      <c r="A7831" t="s">
        <v>1281</v>
      </c>
      <c r="B7831" s="1" t="s">
        <v>1282</v>
      </c>
      <c r="E7831">
        <v>1</v>
      </c>
      <c r="F7831">
        <v>1</v>
      </c>
      <c r="G7831" t="str">
        <f>HYPERLINK("http://babel.hathitrust.org/cgi/pt?id=hvd.32044102770468")</f>
        <v>http://babel.hathitrust.org/cgi/pt?id=hvd.32044102770468</v>
      </c>
      <c r="H7831" t="str">
        <f>HYPERLINK("http://catalog.hathitrust.org/Record/011531908")</f>
        <v>http://catalog.hathitrust.org/Record/011531908</v>
      </c>
      <c r="J7831" s="1">
        <v>1867</v>
      </c>
      <c r="K7831" t="s">
        <v>1283</v>
      </c>
      <c r="L7831" t="s">
        <v>1284</v>
      </c>
    </row>
    <row r="7832" spans="1:12">
      <c r="A7832" t="s">
        <v>1285</v>
      </c>
      <c r="B7832" s="1" t="s">
        <v>1286</v>
      </c>
      <c r="E7832">
        <v>1</v>
      </c>
      <c r="F7832">
        <v>1</v>
      </c>
      <c r="G7832" t="str">
        <f>HYPERLINK("http://babel.hathitrust.org/cgi/pt?id=hvd.32044097041511")</f>
        <v>http://babel.hathitrust.org/cgi/pt?id=hvd.32044097041511</v>
      </c>
      <c r="H7832" t="str">
        <f>HYPERLINK("http://catalog.hathitrust.org/Record/011531918")</f>
        <v>http://catalog.hathitrust.org/Record/011531918</v>
      </c>
      <c r="J7832" s="1">
        <v>1855</v>
      </c>
      <c r="K7832" t="s">
        <v>1287</v>
      </c>
      <c r="L7832" t="s">
        <v>6371</v>
      </c>
    </row>
    <row r="7833" spans="1:12">
      <c r="A7833" t="s">
        <v>1288</v>
      </c>
      <c r="B7833" s="1" t="s">
        <v>1289</v>
      </c>
      <c r="F7833">
        <v>1</v>
      </c>
      <c r="G7833" t="str">
        <f>HYPERLINK("http://babel.hathitrust.org/cgi/pt?id=hvd.32044029064722")</f>
        <v>http://babel.hathitrust.org/cgi/pt?id=hvd.32044029064722</v>
      </c>
      <c r="H7833" t="str">
        <f>HYPERLINK("http://catalog.hathitrust.org/Record/011531938")</f>
        <v>http://catalog.hathitrust.org/Record/011531938</v>
      </c>
      <c r="J7833" s="1">
        <v>1867</v>
      </c>
      <c r="K7833" t="s">
        <v>1290</v>
      </c>
      <c r="L7833" t="s">
        <v>4132</v>
      </c>
    </row>
    <row r="7834" spans="1:12">
      <c r="A7834" t="s">
        <v>1291</v>
      </c>
      <c r="B7834" s="1" t="s">
        <v>1292</v>
      </c>
      <c r="F7834">
        <v>1</v>
      </c>
      <c r="G7834" t="str">
        <f>HYPERLINK("http://babel.hathitrust.org/cgi/pt?id=hvd.32044097071526")</f>
        <v>http://babel.hathitrust.org/cgi/pt?id=hvd.32044097071526</v>
      </c>
      <c r="H7834" t="str">
        <f>HYPERLINK("http://catalog.hathitrust.org/Record/011531966")</f>
        <v>http://catalog.hathitrust.org/Record/011531966</v>
      </c>
      <c r="J7834" s="1">
        <v>1849</v>
      </c>
      <c r="K7834" t="s">
        <v>11954</v>
      </c>
      <c r="L7834" t="s">
        <v>11955</v>
      </c>
    </row>
    <row r="7835" spans="1:12">
      <c r="A7835" t="s">
        <v>1293</v>
      </c>
      <c r="B7835" s="1" t="s">
        <v>1294</v>
      </c>
      <c r="E7835">
        <v>1</v>
      </c>
      <c r="F7835">
        <v>1</v>
      </c>
      <c r="G7835" t="str">
        <f>HYPERLINK("http://babel.hathitrust.org/cgi/pt?id=hvd.32044096988480")</f>
        <v>http://babel.hathitrust.org/cgi/pt?id=hvd.32044096988480</v>
      </c>
      <c r="H7835" t="str">
        <f>HYPERLINK("http://catalog.hathitrust.org/Record/011531968")</f>
        <v>http://catalog.hathitrust.org/Record/011531968</v>
      </c>
      <c r="I7835" s="1" t="s">
        <v>15858</v>
      </c>
      <c r="J7835" s="1">
        <v>1830</v>
      </c>
      <c r="K7835" t="s">
        <v>1295</v>
      </c>
      <c r="L7835" t="s">
        <v>1296</v>
      </c>
    </row>
    <row r="7836" spans="1:12">
      <c r="A7836" t="s">
        <v>1297</v>
      </c>
      <c r="B7836" s="1" t="s">
        <v>1298</v>
      </c>
      <c r="F7836">
        <v>1</v>
      </c>
      <c r="G7836" t="str">
        <f>HYPERLINK("http://babel.hathitrust.org/cgi/pt?id=hvd.hxihve")</f>
        <v>http://babel.hathitrust.org/cgi/pt?id=hvd.hxihve</v>
      </c>
      <c r="H7836" t="str">
        <f>HYPERLINK("http://catalog.hathitrust.org/Record/011532007")</f>
        <v>http://catalog.hathitrust.org/Record/011532007</v>
      </c>
      <c r="J7836" s="1">
        <v>1814</v>
      </c>
      <c r="K7836" t="s">
        <v>1299</v>
      </c>
      <c r="L7836" t="s">
        <v>1300</v>
      </c>
    </row>
    <row r="7837" spans="1:12">
      <c r="A7837" t="s">
        <v>1301</v>
      </c>
      <c r="B7837" s="1" t="s">
        <v>1302</v>
      </c>
      <c r="F7837">
        <v>1</v>
      </c>
      <c r="G7837" t="str">
        <f>HYPERLINK("http://babel.hathitrust.org/cgi/pt?id=hvd.32044097071427")</f>
        <v>http://babel.hathitrust.org/cgi/pt?id=hvd.32044097071427</v>
      </c>
      <c r="H7837" t="str">
        <f>HYPERLINK("http://catalog.hathitrust.org/Record/011532031")</f>
        <v>http://catalog.hathitrust.org/Record/011532031</v>
      </c>
      <c r="J7837" s="1">
        <v>1847</v>
      </c>
      <c r="K7837" t="s">
        <v>4430</v>
      </c>
      <c r="L7837" t="s">
        <v>1303</v>
      </c>
    </row>
    <row r="7838" spans="1:12">
      <c r="A7838" t="s">
        <v>1304</v>
      </c>
      <c r="B7838" s="1" t="s">
        <v>1305</v>
      </c>
      <c r="F7838">
        <v>1</v>
      </c>
      <c r="G7838" t="str">
        <f>HYPERLINK("http://babel.hathitrust.org/cgi/pt?id=hvd.32044081497356")</f>
        <v>http://babel.hathitrust.org/cgi/pt?id=hvd.32044081497356</v>
      </c>
      <c r="H7838" t="str">
        <f>HYPERLINK("http://catalog.hathitrust.org/Record/011532032")</f>
        <v>http://catalog.hathitrust.org/Record/011532032</v>
      </c>
      <c r="J7838" s="1">
        <v>1860</v>
      </c>
      <c r="K7838" t="s">
        <v>1224</v>
      </c>
      <c r="L7838" t="s">
        <v>12785</v>
      </c>
    </row>
    <row r="7839" spans="1:12">
      <c r="A7839" t="s">
        <v>1225</v>
      </c>
      <c r="B7839" s="1" t="s">
        <v>1226</v>
      </c>
      <c r="F7839">
        <v>1</v>
      </c>
      <c r="G7839" t="str">
        <f>HYPERLINK("http://babel.hathitrust.org/cgi/pt?id=hvd.32044102770096")</f>
        <v>http://babel.hathitrust.org/cgi/pt?id=hvd.32044102770096</v>
      </c>
      <c r="H7839" t="str">
        <f>HYPERLINK("http://catalog.hathitrust.org/Record/011532057")</f>
        <v>http://catalog.hathitrust.org/Record/011532057</v>
      </c>
      <c r="J7839" s="1">
        <v>1859</v>
      </c>
      <c r="K7839" t="s">
        <v>7218</v>
      </c>
      <c r="L7839" t="s">
        <v>7219</v>
      </c>
    </row>
    <row r="7840" spans="1:12">
      <c r="A7840" t="s">
        <v>1227</v>
      </c>
      <c r="B7840" s="1" t="s">
        <v>1228</v>
      </c>
      <c r="E7840">
        <v>1</v>
      </c>
      <c r="F7840">
        <v>1</v>
      </c>
      <c r="G7840" t="str">
        <f>HYPERLINK("http://babel.hathitrust.org/cgi/pt?id=hvd.32044102771540")</f>
        <v>http://babel.hathitrust.org/cgi/pt?id=hvd.32044102771540</v>
      </c>
      <c r="H7840" t="str">
        <f>HYPERLINK("http://catalog.hathitrust.org/Record/011532068")</f>
        <v>http://catalog.hathitrust.org/Record/011532068</v>
      </c>
      <c r="J7840" s="1">
        <v>1870</v>
      </c>
      <c r="K7840" t="s">
        <v>1229</v>
      </c>
      <c r="L7840" t="s">
        <v>1230</v>
      </c>
    </row>
    <row r="7841" spans="1:12">
      <c r="A7841" t="s">
        <v>1231</v>
      </c>
      <c r="B7841" s="1" t="s">
        <v>1228</v>
      </c>
      <c r="F7841">
        <v>1</v>
      </c>
      <c r="G7841" t="str">
        <f>HYPERLINK("http://babel.hathitrust.org/cgi/pt?id=hvd.32044102847514")</f>
        <v>http://babel.hathitrust.org/cgi/pt?id=hvd.32044102847514</v>
      </c>
      <c r="H7841" t="str">
        <f>HYPERLINK("http://catalog.hathitrust.org/Record/011532068")</f>
        <v>http://catalog.hathitrust.org/Record/011532068</v>
      </c>
      <c r="J7841" s="1">
        <v>1870</v>
      </c>
      <c r="K7841" t="s">
        <v>1229</v>
      </c>
      <c r="L7841" t="s">
        <v>1230</v>
      </c>
    </row>
    <row r="7842" spans="1:12">
      <c r="A7842" t="s">
        <v>1232</v>
      </c>
      <c r="B7842" s="1" t="s">
        <v>1233</v>
      </c>
      <c r="F7842">
        <v>1</v>
      </c>
      <c r="G7842" t="str">
        <f>HYPERLINK("http://babel.hathitrust.org/cgi/pt?id=hvd.32044097041560")</f>
        <v>http://babel.hathitrust.org/cgi/pt?id=hvd.32044097041560</v>
      </c>
      <c r="H7842" t="str">
        <f>HYPERLINK("http://catalog.hathitrust.org/Record/011532100")</f>
        <v>http://catalog.hathitrust.org/Record/011532100</v>
      </c>
      <c r="J7842" s="1">
        <v>1854</v>
      </c>
      <c r="K7842" t="s">
        <v>1234</v>
      </c>
      <c r="L7842" t="s">
        <v>1235</v>
      </c>
    </row>
    <row r="7843" spans="1:12">
      <c r="A7843" t="s">
        <v>1236</v>
      </c>
      <c r="B7843" s="1" t="s">
        <v>1237</v>
      </c>
      <c r="F7843">
        <v>1</v>
      </c>
      <c r="G7843" t="str">
        <f>HYPERLINK("http://babel.hathitrust.org/cgi/pt?id=hvd.32044102787157")</f>
        <v>http://babel.hathitrust.org/cgi/pt?id=hvd.32044102787157</v>
      </c>
      <c r="H7843" t="str">
        <f>HYPERLINK("http://catalog.hathitrust.org/Record/011532118")</f>
        <v>http://catalog.hathitrust.org/Record/011532118</v>
      </c>
      <c r="J7843" s="1">
        <v>1832</v>
      </c>
      <c r="K7843" t="s">
        <v>1238</v>
      </c>
      <c r="L7843" t="s">
        <v>11955</v>
      </c>
    </row>
    <row r="7844" spans="1:12">
      <c r="A7844" t="s">
        <v>1239</v>
      </c>
      <c r="B7844" s="1" t="s">
        <v>1240</v>
      </c>
      <c r="F7844">
        <v>1</v>
      </c>
      <c r="G7844" t="str">
        <f>HYPERLINK("http://babel.hathitrust.org/cgi/pt?id=hvd.32044081502015")</f>
        <v>http://babel.hathitrust.org/cgi/pt?id=hvd.32044081502015</v>
      </c>
      <c r="H7844" t="str">
        <f>HYPERLINK("http://catalog.hathitrust.org/Record/011532246")</f>
        <v>http://catalog.hathitrust.org/Record/011532246</v>
      </c>
      <c r="J7844" s="1">
        <v>1866</v>
      </c>
      <c r="K7844" t="s">
        <v>6161</v>
      </c>
      <c r="L7844" t="s">
        <v>4404</v>
      </c>
    </row>
    <row r="7845" spans="1:12">
      <c r="A7845" t="s">
        <v>1241</v>
      </c>
      <c r="B7845" s="1" t="s">
        <v>1242</v>
      </c>
      <c r="F7845">
        <v>1</v>
      </c>
      <c r="G7845" t="str">
        <f>HYPERLINK("http://babel.hathitrust.org/cgi/pt?id=hvd.32044097042881")</f>
        <v>http://babel.hathitrust.org/cgi/pt?id=hvd.32044097042881</v>
      </c>
      <c r="H7845" t="str">
        <f>HYPERLINK("http://catalog.hathitrust.org/Record/011532258")</f>
        <v>http://catalog.hathitrust.org/Record/011532258</v>
      </c>
      <c r="J7845" s="1">
        <v>1858</v>
      </c>
      <c r="K7845" t="s">
        <v>1243</v>
      </c>
      <c r="L7845" t="s">
        <v>12718</v>
      </c>
    </row>
    <row r="7846" spans="1:12">
      <c r="A7846" t="s">
        <v>1244</v>
      </c>
      <c r="B7846" s="1" t="s">
        <v>1245</v>
      </c>
      <c r="E7846">
        <v>1</v>
      </c>
      <c r="G7846" t="str">
        <f>HYPERLINK("http://babel.hathitrust.org/cgi/pt?id=hvd.32044081497091")</f>
        <v>http://babel.hathitrust.org/cgi/pt?id=hvd.32044081497091</v>
      </c>
      <c r="H7846" t="str">
        <f>HYPERLINK("http://catalog.hathitrust.org/Record/011532315")</f>
        <v>http://catalog.hathitrust.org/Record/011532315</v>
      </c>
      <c r="J7846" s="1">
        <v>1861</v>
      </c>
      <c r="K7846" t="s">
        <v>1246</v>
      </c>
      <c r="L7846" t="s">
        <v>5177</v>
      </c>
    </row>
    <row r="7847" spans="1:12">
      <c r="A7847" t="s">
        <v>1247</v>
      </c>
      <c r="B7847" s="1" t="s">
        <v>1248</v>
      </c>
      <c r="F7847">
        <v>1</v>
      </c>
      <c r="G7847" t="str">
        <f>HYPERLINK("http://babel.hathitrust.org/cgi/pt?id=hvd.32044038405601")</f>
        <v>http://babel.hathitrust.org/cgi/pt?id=hvd.32044038405601</v>
      </c>
      <c r="H7847" t="str">
        <f>HYPERLINK("http://catalog.hathitrust.org/Record/011532326")</f>
        <v>http://catalog.hathitrust.org/Record/011532326</v>
      </c>
      <c r="J7847" s="1">
        <v>1869</v>
      </c>
      <c r="K7847" t="s">
        <v>1249</v>
      </c>
      <c r="L7847" t="s">
        <v>17034</v>
      </c>
    </row>
    <row r="7848" spans="1:12">
      <c r="A7848" t="s">
        <v>1250</v>
      </c>
      <c r="B7848" s="1" t="s">
        <v>1248</v>
      </c>
      <c r="F7848">
        <v>1</v>
      </c>
      <c r="G7848" t="str">
        <f>HYPERLINK("http://babel.hathitrust.org/cgi/pt?id=hvd.32044102769692")</f>
        <v>http://babel.hathitrust.org/cgi/pt?id=hvd.32044102769692</v>
      </c>
      <c r="H7848" t="str">
        <f>HYPERLINK("http://catalog.hathitrust.org/Record/011532326")</f>
        <v>http://catalog.hathitrust.org/Record/011532326</v>
      </c>
      <c r="J7848" s="1">
        <v>1869</v>
      </c>
      <c r="K7848" t="s">
        <v>1249</v>
      </c>
      <c r="L7848" t="s">
        <v>17034</v>
      </c>
    </row>
    <row r="7849" spans="1:12">
      <c r="A7849" t="s">
        <v>1251</v>
      </c>
      <c r="B7849" s="1" t="s">
        <v>1252</v>
      </c>
      <c r="F7849">
        <v>1</v>
      </c>
      <c r="G7849" t="str">
        <f>HYPERLINK("http://babel.hathitrust.org/cgi/pt?id=hvd.32044102769718")</f>
        <v>http://babel.hathitrust.org/cgi/pt?id=hvd.32044102769718</v>
      </c>
      <c r="H7849" t="str">
        <f>HYPERLINK("http://catalog.hathitrust.org/Record/011532399")</f>
        <v>http://catalog.hathitrust.org/Record/011532399</v>
      </c>
      <c r="J7849" s="1">
        <v>1869</v>
      </c>
      <c r="K7849" t="s">
        <v>7229</v>
      </c>
      <c r="L7849" t="s">
        <v>7230</v>
      </c>
    </row>
    <row r="7850" spans="1:12">
      <c r="A7850" t="s">
        <v>1253</v>
      </c>
      <c r="B7850" s="1" t="s">
        <v>1254</v>
      </c>
      <c r="F7850">
        <v>1</v>
      </c>
      <c r="G7850" t="str">
        <f>HYPERLINK("http://babel.hathitrust.org/cgi/pt?id=hvd.32044102856002")</f>
        <v>http://babel.hathitrust.org/cgi/pt?id=hvd.32044102856002</v>
      </c>
      <c r="H7850" t="str">
        <f>HYPERLINK("http://catalog.hathitrust.org/Record/011532417")</f>
        <v>http://catalog.hathitrust.org/Record/011532417</v>
      </c>
      <c r="J7850" s="1">
        <v>1858</v>
      </c>
      <c r="K7850" t="s">
        <v>1255</v>
      </c>
      <c r="L7850" t="s">
        <v>1256</v>
      </c>
    </row>
    <row r="7851" spans="1:12">
      <c r="A7851" t="s">
        <v>1257</v>
      </c>
      <c r="B7851" s="1" t="s">
        <v>1258</v>
      </c>
      <c r="F7851">
        <v>1</v>
      </c>
      <c r="G7851" t="str">
        <f>HYPERLINK("http://babel.hathitrust.org/cgi/pt?id=hvd.32044102771573")</f>
        <v>http://babel.hathitrust.org/cgi/pt?id=hvd.32044102771573</v>
      </c>
      <c r="H7851" t="str">
        <f>HYPERLINK("http://catalog.hathitrust.org/Record/011532418")</f>
        <v>http://catalog.hathitrust.org/Record/011532418</v>
      </c>
      <c r="J7851" s="1">
        <v>1862</v>
      </c>
      <c r="K7851" t="s">
        <v>1350</v>
      </c>
      <c r="L7851" t="s">
        <v>19442</v>
      </c>
    </row>
    <row r="7852" spans="1:12">
      <c r="A7852" t="s">
        <v>1259</v>
      </c>
      <c r="B7852" s="1" t="s">
        <v>1260</v>
      </c>
      <c r="F7852">
        <v>1</v>
      </c>
      <c r="G7852" t="str">
        <f>HYPERLINK("http://babel.hathitrust.org/cgi/pt?id=hvd.32044102787199")</f>
        <v>http://babel.hathitrust.org/cgi/pt?id=hvd.32044102787199</v>
      </c>
      <c r="H7852" t="str">
        <f>HYPERLINK("http://catalog.hathitrust.org/Record/011532426")</f>
        <v>http://catalog.hathitrust.org/Record/011532426</v>
      </c>
      <c r="J7852" s="1">
        <v>1822</v>
      </c>
      <c r="K7852" t="s">
        <v>1193</v>
      </c>
      <c r="L7852" t="s">
        <v>1194</v>
      </c>
    </row>
    <row r="7853" spans="1:12">
      <c r="A7853" t="s">
        <v>1195</v>
      </c>
      <c r="B7853" s="1" t="s">
        <v>1196</v>
      </c>
      <c r="E7853">
        <v>1</v>
      </c>
      <c r="G7853" t="str">
        <f>HYPERLINK("http://babel.hathitrust.org/cgi/pt?id=hvd.32044102770591")</f>
        <v>http://babel.hathitrust.org/cgi/pt?id=hvd.32044102770591</v>
      </c>
      <c r="H7853" t="str">
        <f>HYPERLINK("http://catalog.hathitrust.org/Record/011532446")</f>
        <v>http://catalog.hathitrust.org/Record/011532446</v>
      </c>
      <c r="J7853" s="1">
        <v>1858</v>
      </c>
      <c r="K7853" t="s">
        <v>1197</v>
      </c>
      <c r="L7853" t="s">
        <v>11568</v>
      </c>
    </row>
    <row r="7854" spans="1:12">
      <c r="A7854" t="s">
        <v>1198</v>
      </c>
      <c r="B7854" s="1" t="s">
        <v>1199</v>
      </c>
      <c r="F7854">
        <v>1</v>
      </c>
      <c r="G7854" t="str">
        <f>HYPERLINK("http://babel.hathitrust.org/cgi/pt?id=hvd.32044081497364")</f>
        <v>http://babel.hathitrust.org/cgi/pt?id=hvd.32044081497364</v>
      </c>
      <c r="H7854" t="str">
        <f>HYPERLINK("http://catalog.hathitrust.org/Record/011532494")</f>
        <v>http://catalog.hathitrust.org/Record/011532494</v>
      </c>
      <c r="J7854" s="1">
        <v>1860</v>
      </c>
      <c r="K7854" t="s">
        <v>1200</v>
      </c>
      <c r="L7854" t="s">
        <v>21029</v>
      </c>
    </row>
    <row r="7855" spans="1:12">
      <c r="A7855" t="s">
        <v>1201</v>
      </c>
      <c r="B7855" s="1" t="s">
        <v>1202</v>
      </c>
      <c r="F7855">
        <v>1</v>
      </c>
      <c r="G7855" t="str">
        <f>HYPERLINK("http://babel.hathitrust.org/cgi/pt?id=hvd.32044102851920")</f>
        <v>http://babel.hathitrust.org/cgi/pt?id=hvd.32044102851920</v>
      </c>
      <c r="H7855" t="str">
        <f>HYPERLINK("http://catalog.hathitrust.org/Record/011532579")</f>
        <v>http://catalog.hathitrust.org/Record/011532579</v>
      </c>
      <c r="J7855" s="1">
        <v>1847</v>
      </c>
      <c r="K7855" t="s">
        <v>1203</v>
      </c>
      <c r="L7855" t="s">
        <v>7774</v>
      </c>
    </row>
    <row r="7856" spans="1:12">
      <c r="A7856" t="s">
        <v>1204</v>
      </c>
      <c r="B7856" s="1" t="s">
        <v>1202</v>
      </c>
      <c r="F7856">
        <v>1</v>
      </c>
      <c r="G7856" t="str">
        <f>HYPERLINK("http://babel.hathitrust.org/cgi/pt?id=hvd.32044102851938")</f>
        <v>http://babel.hathitrust.org/cgi/pt?id=hvd.32044102851938</v>
      </c>
      <c r="H7856" t="str">
        <f>HYPERLINK("http://catalog.hathitrust.org/Record/011532579")</f>
        <v>http://catalog.hathitrust.org/Record/011532579</v>
      </c>
      <c r="J7856" s="1">
        <v>1847</v>
      </c>
      <c r="K7856" t="s">
        <v>1203</v>
      </c>
      <c r="L7856" t="s">
        <v>7774</v>
      </c>
    </row>
    <row r="7857" spans="1:12">
      <c r="A7857" t="s">
        <v>1205</v>
      </c>
      <c r="B7857" s="1" t="s">
        <v>1206</v>
      </c>
      <c r="E7857">
        <v>1</v>
      </c>
      <c r="F7857">
        <v>1</v>
      </c>
      <c r="G7857" t="str">
        <f>HYPERLINK("http://babel.hathitrust.org/cgi/pt?id=hvd.32044102787033")</f>
        <v>http://babel.hathitrust.org/cgi/pt?id=hvd.32044102787033</v>
      </c>
      <c r="H7857" t="str">
        <f>HYPERLINK("http://catalog.hathitrust.org/Record/011532582")</f>
        <v>http://catalog.hathitrust.org/Record/011532582</v>
      </c>
      <c r="J7857" s="1">
        <v>1851</v>
      </c>
      <c r="K7857" t="s">
        <v>4005</v>
      </c>
      <c r="L7857" t="s">
        <v>19446</v>
      </c>
    </row>
    <row r="7858" spans="1:12">
      <c r="A7858" t="s">
        <v>1207</v>
      </c>
      <c r="B7858" s="1" t="s">
        <v>1208</v>
      </c>
      <c r="F7858">
        <v>1</v>
      </c>
      <c r="G7858" t="str">
        <f>HYPERLINK("http://babel.hathitrust.org/cgi/pt?id=hvd.32044097056659")</f>
        <v>http://babel.hathitrust.org/cgi/pt?id=hvd.32044097056659</v>
      </c>
      <c r="H7858" t="str">
        <f>HYPERLINK("http://catalog.hathitrust.org/Record/011532616")</f>
        <v>http://catalog.hathitrust.org/Record/011532616</v>
      </c>
      <c r="J7858" s="1">
        <v>1815</v>
      </c>
      <c r="K7858" t="s">
        <v>1209</v>
      </c>
      <c r="L7858" t="s">
        <v>20043</v>
      </c>
    </row>
    <row r="7859" spans="1:12">
      <c r="A7859" t="s">
        <v>1210</v>
      </c>
      <c r="B7859" s="1" t="s">
        <v>1211</v>
      </c>
      <c r="F7859">
        <v>1</v>
      </c>
      <c r="G7859" t="str">
        <f>HYPERLINK("http://babel.hathitrust.org/cgi/pt?id=hvd.32044102787181")</f>
        <v>http://babel.hathitrust.org/cgi/pt?id=hvd.32044102787181</v>
      </c>
      <c r="H7859" t="str">
        <f>HYPERLINK("http://catalog.hathitrust.org/Record/011532658")</f>
        <v>http://catalog.hathitrust.org/Record/011532658</v>
      </c>
      <c r="J7859" s="1">
        <v>1826</v>
      </c>
      <c r="K7859" t="s">
        <v>1212</v>
      </c>
      <c r="L7859" t="s">
        <v>1300</v>
      </c>
    </row>
    <row r="7860" spans="1:12">
      <c r="A7860" t="s">
        <v>1213</v>
      </c>
      <c r="B7860" s="1" t="s">
        <v>1214</v>
      </c>
      <c r="F7860">
        <v>1</v>
      </c>
      <c r="G7860" t="str">
        <f>HYPERLINK("http://babel.hathitrust.org/cgi/pt?id=hvd.32044102769668")</f>
        <v>http://babel.hathitrust.org/cgi/pt?id=hvd.32044102769668</v>
      </c>
      <c r="H7860" t="str">
        <f>HYPERLINK("http://catalog.hathitrust.org/Record/011532692")</f>
        <v>http://catalog.hathitrust.org/Record/011532692</v>
      </c>
      <c r="J7860" s="1">
        <v>1866</v>
      </c>
      <c r="K7860" t="s">
        <v>1215</v>
      </c>
      <c r="L7860" t="s">
        <v>17959</v>
      </c>
    </row>
    <row r="7861" spans="1:12">
      <c r="A7861" t="s">
        <v>1216</v>
      </c>
      <c r="B7861" s="1" t="s">
        <v>1217</v>
      </c>
      <c r="F7861">
        <v>1</v>
      </c>
      <c r="G7861" t="str">
        <f>HYPERLINK("http://babel.hathitrust.org/cgi/pt?id=hvd.32044102846060")</f>
        <v>http://babel.hathitrust.org/cgi/pt?id=hvd.32044102846060</v>
      </c>
      <c r="H7861" t="str">
        <f>HYPERLINK("http://catalog.hathitrust.org/Record/011532718")</f>
        <v>http://catalog.hathitrust.org/Record/011532718</v>
      </c>
      <c r="J7861" s="1">
        <v>1855</v>
      </c>
      <c r="K7861" t="s">
        <v>1218</v>
      </c>
      <c r="L7861" t="s">
        <v>15292</v>
      </c>
    </row>
    <row r="7862" spans="1:12">
      <c r="A7862" t="s">
        <v>1219</v>
      </c>
      <c r="B7862" s="1" t="s">
        <v>1220</v>
      </c>
      <c r="E7862">
        <v>1</v>
      </c>
      <c r="F7862">
        <v>1</v>
      </c>
      <c r="G7862" t="str">
        <f>HYPERLINK("http://babel.hathitrust.org/cgi/pt?id=hvd.32044097079883")</f>
        <v>http://babel.hathitrust.org/cgi/pt?id=hvd.32044097079883</v>
      </c>
      <c r="H7862" t="str">
        <f>HYPERLINK("http://catalog.hathitrust.org/Record/011532768")</f>
        <v>http://catalog.hathitrust.org/Record/011532768</v>
      </c>
      <c r="J7862" s="1">
        <v>1844</v>
      </c>
      <c r="K7862" t="s">
        <v>1221</v>
      </c>
      <c r="L7862" t="s">
        <v>7289</v>
      </c>
    </row>
    <row r="7863" spans="1:12">
      <c r="A7863" t="s">
        <v>1222</v>
      </c>
      <c r="B7863" s="1" t="s">
        <v>1223</v>
      </c>
      <c r="F7863">
        <v>1</v>
      </c>
      <c r="G7863" t="str">
        <f>HYPERLINK("http://babel.hathitrust.org/cgi/pt?id=hvd.32044102851540")</f>
        <v>http://babel.hathitrust.org/cgi/pt?id=hvd.32044102851540</v>
      </c>
      <c r="H7863" t="str">
        <f>HYPERLINK("http://catalog.hathitrust.org/Record/011532774")</f>
        <v>http://catalog.hathitrust.org/Record/011532774</v>
      </c>
      <c r="J7863" s="1">
        <v>1851</v>
      </c>
      <c r="K7863" t="s">
        <v>1148</v>
      </c>
      <c r="L7863" t="s">
        <v>13425</v>
      </c>
    </row>
    <row r="7864" spans="1:12">
      <c r="A7864" t="s">
        <v>1149</v>
      </c>
      <c r="B7864" s="1" t="s">
        <v>1150</v>
      </c>
      <c r="E7864">
        <v>1</v>
      </c>
      <c r="G7864" t="str">
        <f>HYPERLINK("http://babel.hathitrust.org/cgi/pt?id=hvd.32044097043665")</f>
        <v>http://babel.hathitrust.org/cgi/pt?id=hvd.32044097043665</v>
      </c>
      <c r="H7864" t="str">
        <f>HYPERLINK("http://catalog.hathitrust.org/Record/011532799")</f>
        <v>http://catalog.hathitrust.org/Record/011532799</v>
      </c>
      <c r="I7864" s="1" t="s">
        <v>1152</v>
      </c>
      <c r="J7864" s="1">
        <v>1859</v>
      </c>
      <c r="K7864" t="s">
        <v>1151</v>
      </c>
      <c r="L7864" t="s">
        <v>11568</v>
      </c>
    </row>
    <row r="7865" spans="1:12">
      <c r="A7865" t="s">
        <v>1153</v>
      </c>
      <c r="B7865" s="1" t="s">
        <v>1154</v>
      </c>
      <c r="E7865">
        <v>1</v>
      </c>
      <c r="F7865">
        <v>1</v>
      </c>
      <c r="G7865" t="str">
        <f>HYPERLINK("http://babel.hathitrust.org/cgi/pt?id=hvd.32044081497240")</f>
        <v>http://babel.hathitrust.org/cgi/pt?id=hvd.32044081497240</v>
      </c>
      <c r="H7865" t="str">
        <f>HYPERLINK("http://catalog.hathitrust.org/Record/011532902")</f>
        <v>http://catalog.hathitrust.org/Record/011532902</v>
      </c>
      <c r="J7865" s="1">
        <v>1860</v>
      </c>
      <c r="K7865" t="s">
        <v>6002</v>
      </c>
      <c r="L7865" t="s">
        <v>11681</v>
      </c>
    </row>
    <row r="7866" spans="1:12">
      <c r="A7866" t="s">
        <v>1155</v>
      </c>
      <c r="B7866" s="1" t="s">
        <v>1156</v>
      </c>
      <c r="E7866">
        <v>1</v>
      </c>
      <c r="F7866">
        <v>1</v>
      </c>
      <c r="G7866" t="str">
        <f>HYPERLINK("http://babel.hathitrust.org/cgi/pt?id=hvd.32044097041420")</f>
        <v>http://babel.hathitrust.org/cgi/pt?id=hvd.32044097041420</v>
      </c>
      <c r="H7866" t="str">
        <f>HYPERLINK("http://catalog.hathitrust.org/Record/011532914")</f>
        <v>http://catalog.hathitrust.org/Record/011532914</v>
      </c>
      <c r="J7866" s="1">
        <v>1853</v>
      </c>
      <c r="K7866" t="s">
        <v>1157</v>
      </c>
      <c r="L7866" t="s">
        <v>11681</v>
      </c>
    </row>
    <row r="7867" spans="1:12">
      <c r="A7867" t="s">
        <v>1158</v>
      </c>
      <c r="B7867" s="1" t="s">
        <v>1159</v>
      </c>
      <c r="E7867">
        <v>1</v>
      </c>
      <c r="G7867" t="str">
        <f>HYPERLINK("http://babel.hathitrust.org/cgi/pt?id=hvd.32044097075642")</f>
        <v>http://babel.hathitrust.org/cgi/pt?id=hvd.32044097075642</v>
      </c>
      <c r="H7867" t="str">
        <f>HYPERLINK("http://catalog.hathitrust.org/Record/011532921")</f>
        <v>http://catalog.hathitrust.org/Record/011532921</v>
      </c>
      <c r="J7867" s="1">
        <v>1835</v>
      </c>
      <c r="K7867" t="s">
        <v>1160</v>
      </c>
      <c r="L7867" t="s">
        <v>20043</v>
      </c>
    </row>
    <row r="7868" spans="1:12">
      <c r="A7868" t="s">
        <v>1161</v>
      </c>
      <c r="B7868" s="1" t="s">
        <v>1162</v>
      </c>
      <c r="F7868">
        <v>1</v>
      </c>
      <c r="G7868" t="str">
        <f>HYPERLINK("http://babel.hathitrust.org/cgi/pt?id=hvd.32044102873080")</f>
        <v>http://babel.hathitrust.org/cgi/pt?id=hvd.32044102873080</v>
      </c>
      <c r="H7868" t="str">
        <f>HYPERLINK("http://catalog.hathitrust.org/Record/011532940")</f>
        <v>http://catalog.hathitrust.org/Record/011532940</v>
      </c>
      <c r="J7868" s="1">
        <v>1854</v>
      </c>
      <c r="K7868" t="s">
        <v>1163</v>
      </c>
      <c r="L7868" t="s">
        <v>1164</v>
      </c>
    </row>
    <row r="7869" spans="1:12">
      <c r="A7869" t="s">
        <v>1165</v>
      </c>
      <c r="B7869" s="1" t="s">
        <v>1166</v>
      </c>
      <c r="E7869">
        <v>1</v>
      </c>
      <c r="G7869" t="str">
        <f>HYPERLINK("http://babel.hathitrust.org/cgi/pt?id=hvd.32044102787082")</f>
        <v>http://babel.hathitrust.org/cgi/pt?id=hvd.32044102787082</v>
      </c>
      <c r="H7869" t="str">
        <f>HYPERLINK("http://catalog.hathitrust.org/Record/011532950")</f>
        <v>http://catalog.hathitrust.org/Record/011532950</v>
      </c>
      <c r="J7869" s="1">
        <v>1846</v>
      </c>
      <c r="K7869" t="s">
        <v>1167</v>
      </c>
    </row>
    <row r="7870" spans="1:12">
      <c r="A7870" t="s">
        <v>1168</v>
      </c>
      <c r="B7870" s="1" t="s">
        <v>1169</v>
      </c>
      <c r="F7870">
        <v>1</v>
      </c>
      <c r="G7870" t="str">
        <f>HYPERLINK("http://babel.hathitrust.org/cgi/pt?id=hvd.32044096989116")</f>
        <v>http://babel.hathitrust.org/cgi/pt?id=hvd.32044096989116</v>
      </c>
      <c r="H7870" t="str">
        <f>HYPERLINK("http://catalog.hathitrust.org/Record/011532967")</f>
        <v>http://catalog.hathitrust.org/Record/011532967</v>
      </c>
      <c r="J7870" s="1">
        <v>1856</v>
      </c>
      <c r="K7870" t="s">
        <v>1170</v>
      </c>
      <c r="L7870" t="s">
        <v>1171</v>
      </c>
    </row>
    <row r="7871" spans="1:12">
      <c r="A7871" t="s">
        <v>1172</v>
      </c>
      <c r="B7871" s="1" t="s">
        <v>1173</v>
      </c>
      <c r="E7871">
        <v>1</v>
      </c>
      <c r="G7871" t="str">
        <f>HYPERLINK("http://babel.hathitrust.org/cgi/pt?id=hvd.32044102848173")</f>
        <v>http://babel.hathitrust.org/cgi/pt?id=hvd.32044102848173</v>
      </c>
      <c r="H7871" t="str">
        <f>HYPERLINK("http://catalog.hathitrust.org/Record/011533132")</f>
        <v>http://catalog.hathitrust.org/Record/011533132</v>
      </c>
      <c r="J7871" s="1">
        <v>1867</v>
      </c>
      <c r="K7871" t="s">
        <v>1174</v>
      </c>
      <c r="L7871" t="s">
        <v>1175</v>
      </c>
    </row>
    <row r="7872" spans="1:12">
      <c r="A7872" t="s">
        <v>1176</v>
      </c>
      <c r="B7872" s="1" t="s">
        <v>1177</v>
      </c>
      <c r="F7872">
        <v>1</v>
      </c>
      <c r="G7872" t="str">
        <f>HYPERLINK("http://babel.hathitrust.org/cgi/pt?id=hvd.32044102846037")</f>
        <v>http://babel.hathitrust.org/cgi/pt?id=hvd.32044102846037</v>
      </c>
      <c r="H7872" t="str">
        <f>HYPERLINK("http://catalog.hathitrust.org/Record/011533147")</f>
        <v>http://catalog.hathitrust.org/Record/011533147</v>
      </c>
      <c r="J7872" s="1">
        <v>1853</v>
      </c>
      <c r="K7872" t="s">
        <v>9740</v>
      </c>
      <c r="L7872" t="s">
        <v>16039</v>
      </c>
    </row>
    <row r="7873" spans="1:12">
      <c r="A7873" t="s">
        <v>1178</v>
      </c>
      <c r="B7873" s="1" t="s">
        <v>1179</v>
      </c>
      <c r="F7873">
        <v>1</v>
      </c>
      <c r="G7873" t="str">
        <f>HYPERLINK("http://babel.hathitrust.org/cgi/pt?id=hvd.32044102846078")</f>
        <v>http://babel.hathitrust.org/cgi/pt?id=hvd.32044102846078</v>
      </c>
      <c r="H7873" t="str">
        <f>HYPERLINK("http://catalog.hathitrust.org/Record/011533148")</f>
        <v>http://catalog.hathitrust.org/Record/011533148</v>
      </c>
      <c r="J7873" s="1">
        <v>1855</v>
      </c>
      <c r="K7873" t="s">
        <v>9740</v>
      </c>
      <c r="L7873" t="s">
        <v>16039</v>
      </c>
    </row>
    <row r="7874" spans="1:12">
      <c r="A7874" t="s">
        <v>1180</v>
      </c>
      <c r="B7874" s="1" t="s">
        <v>1179</v>
      </c>
      <c r="F7874">
        <v>1</v>
      </c>
      <c r="G7874" t="str">
        <f>HYPERLINK("http://babel.hathitrust.org/cgi/pt?id=hvd.32044102846086")</f>
        <v>http://babel.hathitrust.org/cgi/pt?id=hvd.32044102846086</v>
      </c>
      <c r="H7874" t="str">
        <f>HYPERLINK("http://catalog.hathitrust.org/Record/011533148")</f>
        <v>http://catalog.hathitrust.org/Record/011533148</v>
      </c>
      <c r="J7874" s="1">
        <v>1855</v>
      </c>
      <c r="K7874" t="s">
        <v>9740</v>
      </c>
      <c r="L7874" t="s">
        <v>16039</v>
      </c>
    </row>
    <row r="7875" spans="1:12">
      <c r="A7875" t="s">
        <v>1181</v>
      </c>
      <c r="B7875" s="1" t="s">
        <v>1182</v>
      </c>
      <c r="F7875">
        <v>1</v>
      </c>
      <c r="G7875" t="str">
        <f>HYPERLINK("http://babel.hathitrust.org/cgi/pt?id=hvd.32044102846029")</f>
        <v>http://babel.hathitrust.org/cgi/pt?id=hvd.32044102846029</v>
      </c>
      <c r="H7875" t="str">
        <f>HYPERLINK("http://catalog.hathitrust.org/Record/011533150")</f>
        <v>http://catalog.hathitrust.org/Record/011533150</v>
      </c>
      <c r="J7875" s="1">
        <v>1852</v>
      </c>
      <c r="K7875" t="s">
        <v>3143</v>
      </c>
      <c r="L7875" t="s">
        <v>16039</v>
      </c>
    </row>
    <row r="7876" spans="1:12">
      <c r="A7876" t="s">
        <v>1183</v>
      </c>
      <c r="B7876" s="1" t="s">
        <v>1184</v>
      </c>
      <c r="F7876">
        <v>1</v>
      </c>
      <c r="G7876" t="str">
        <f>HYPERLINK("http://babel.hathitrust.org/cgi/pt?id=hvd.32044102846011")</f>
        <v>http://babel.hathitrust.org/cgi/pt?id=hvd.32044102846011</v>
      </c>
      <c r="H7876" t="str">
        <f>HYPERLINK("http://catalog.hathitrust.org/Record/011533153")</f>
        <v>http://catalog.hathitrust.org/Record/011533153</v>
      </c>
      <c r="J7876" s="1">
        <v>1851</v>
      </c>
      <c r="K7876" t="s">
        <v>1185</v>
      </c>
      <c r="L7876" t="s">
        <v>16039</v>
      </c>
    </row>
    <row r="7877" spans="1:12">
      <c r="A7877" t="s">
        <v>1186</v>
      </c>
      <c r="B7877" s="1" t="s">
        <v>1187</v>
      </c>
      <c r="F7877">
        <v>1</v>
      </c>
      <c r="G7877" t="str">
        <f>HYPERLINK("http://babel.hathitrust.org/cgi/pt?id=hvd.32044102854411")</f>
        <v>http://babel.hathitrust.org/cgi/pt?id=hvd.32044102854411</v>
      </c>
      <c r="H7877" t="str">
        <f>HYPERLINK("http://catalog.hathitrust.org/Record/011533269")</f>
        <v>http://catalog.hathitrust.org/Record/011533269</v>
      </c>
      <c r="J7877" s="1">
        <v>1864</v>
      </c>
      <c r="K7877" t="s">
        <v>1188</v>
      </c>
      <c r="L7877" t="s">
        <v>4929</v>
      </c>
    </row>
    <row r="7878" spans="1:12">
      <c r="A7878" t="s">
        <v>1189</v>
      </c>
      <c r="B7878" s="1" t="s">
        <v>1187</v>
      </c>
      <c r="F7878">
        <v>1</v>
      </c>
      <c r="G7878" t="str">
        <f>HYPERLINK("http://babel.hathitrust.org/cgi/pt?id=hvd.hn1rvc")</f>
        <v>http://babel.hathitrust.org/cgi/pt?id=hvd.hn1rvc</v>
      </c>
      <c r="H7878" t="str">
        <f>HYPERLINK("http://catalog.hathitrust.org/Record/011533269")</f>
        <v>http://catalog.hathitrust.org/Record/011533269</v>
      </c>
      <c r="J7878" s="1">
        <v>1864</v>
      </c>
      <c r="K7878" t="s">
        <v>1188</v>
      </c>
      <c r="L7878" t="s">
        <v>4929</v>
      </c>
    </row>
    <row r="7879" spans="1:12">
      <c r="A7879" t="s">
        <v>1190</v>
      </c>
      <c r="B7879" s="1" t="s">
        <v>1191</v>
      </c>
      <c r="F7879">
        <v>1</v>
      </c>
      <c r="G7879" t="str">
        <f>HYPERLINK("http://babel.hathitrust.org/cgi/pt?id=hvd.32044038405593")</f>
        <v>http://babel.hathitrust.org/cgi/pt?id=hvd.32044038405593</v>
      </c>
      <c r="H7879" t="str">
        <f>HYPERLINK("http://catalog.hathitrust.org/Record/011533479")</f>
        <v>http://catalog.hathitrust.org/Record/011533479</v>
      </c>
      <c r="J7879" s="1">
        <v>1870</v>
      </c>
      <c r="K7879" t="s">
        <v>1192</v>
      </c>
      <c r="L7879" t="s">
        <v>17034</v>
      </c>
    </row>
    <row r="7880" spans="1:12">
      <c r="A7880" t="s">
        <v>1106</v>
      </c>
      <c r="B7880" s="1" t="s">
        <v>1107</v>
      </c>
      <c r="F7880">
        <v>1</v>
      </c>
      <c r="G7880" t="str">
        <f>HYPERLINK("http://babel.hathitrust.org/cgi/pt?id=hvd.32044094195120")</f>
        <v>http://babel.hathitrust.org/cgi/pt?id=hvd.32044094195120</v>
      </c>
      <c r="H7880" t="str">
        <f>HYPERLINK("http://catalog.hathitrust.org/Record/011533755")</f>
        <v>http://catalog.hathitrust.org/Record/011533755</v>
      </c>
      <c r="I7880" s="1" t="s">
        <v>20916</v>
      </c>
      <c r="J7880" s="1">
        <v>1871</v>
      </c>
      <c r="K7880" t="s">
        <v>17882</v>
      </c>
      <c r="L7880" t="s">
        <v>17879</v>
      </c>
    </row>
    <row r="7881" spans="1:12">
      <c r="A7881" t="s">
        <v>1108</v>
      </c>
      <c r="B7881" s="1" t="s">
        <v>1109</v>
      </c>
      <c r="E7881">
        <v>1</v>
      </c>
      <c r="G7881" t="str">
        <f>HYPERLINK("http://babel.hathitrust.org/cgi/pt?id=hvd.32044055313134")</f>
        <v>http://babel.hathitrust.org/cgi/pt?id=hvd.32044055313134</v>
      </c>
      <c r="H7881" t="str">
        <f>HYPERLINK("http://catalog.hathitrust.org/Record/011533839")</f>
        <v>http://catalog.hathitrust.org/Record/011533839</v>
      </c>
      <c r="J7881" s="1">
        <v>1822</v>
      </c>
      <c r="K7881" t="s">
        <v>1110</v>
      </c>
      <c r="L7881" t="s">
        <v>20960</v>
      </c>
    </row>
    <row r="7882" spans="1:12">
      <c r="A7882" t="s">
        <v>1111</v>
      </c>
      <c r="B7882" s="1" t="s">
        <v>1112</v>
      </c>
      <c r="E7882">
        <v>1</v>
      </c>
      <c r="F7882">
        <v>1</v>
      </c>
      <c r="G7882" t="str">
        <f>HYPERLINK("http://babel.hathitrust.org/cgi/pt?id=hvd.32044079733101")</f>
        <v>http://babel.hathitrust.org/cgi/pt?id=hvd.32044079733101</v>
      </c>
      <c r="H7882" t="str">
        <f>HYPERLINK("http://catalog.hathitrust.org/Record/011534849")</f>
        <v>http://catalog.hathitrust.org/Record/011534849</v>
      </c>
      <c r="J7882" s="1">
        <v>1871</v>
      </c>
      <c r="K7882" t="s">
        <v>1113</v>
      </c>
      <c r="L7882" t="s">
        <v>1114</v>
      </c>
    </row>
    <row r="7883" spans="1:12">
      <c r="A7883" t="s">
        <v>1115</v>
      </c>
      <c r="B7883" s="1" t="s">
        <v>1116</v>
      </c>
      <c r="F7883">
        <v>1</v>
      </c>
      <c r="G7883" t="str">
        <f>HYPERLINK("http://babel.hathitrust.org/cgi/pt?id=hvd.32044086682119")</f>
        <v>http://babel.hathitrust.org/cgi/pt?id=hvd.32044086682119</v>
      </c>
      <c r="H7883" t="str">
        <f>HYPERLINK("http://catalog.hathitrust.org/Record/011535739")</f>
        <v>http://catalog.hathitrust.org/Record/011535739</v>
      </c>
      <c r="J7883" s="1">
        <v>1848</v>
      </c>
      <c r="K7883" t="s">
        <v>1117</v>
      </c>
    </row>
    <row r="7884" spans="1:12">
      <c r="A7884" t="s">
        <v>1118</v>
      </c>
      <c r="B7884" s="1" t="s">
        <v>1116</v>
      </c>
      <c r="F7884">
        <v>1</v>
      </c>
      <c r="G7884" t="str">
        <f>HYPERLINK("http://babel.hathitrust.org/cgi/pt?id=hvd.hx2hqv")</f>
        <v>http://babel.hathitrust.org/cgi/pt?id=hvd.hx2hqv</v>
      </c>
      <c r="H7884" t="str">
        <f>HYPERLINK("http://catalog.hathitrust.org/Record/011535739")</f>
        <v>http://catalog.hathitrust.org/Record/011535739</v>
      </c>
      <c r="I7884" s="1" t="s">
        <v>20916</v>
      </c>
      <c r="J7884" s="1">
        <v>1848</v>
      </c>
      <c r="K7884" t="s">
        <v>1117</v>
      </c>
    </row>
    <row r="7885" spans="1:12">
      <c r="A7885" t="s">
        <v>1119</v>
      </c>
      <c r="B7885" s="1" t="s">
        <v>1116</v>
      </c>
      <c r="F7885">
        <v>1</v>
      </c>
      <c r="G7885" t="str">
        <f>HYPERLINK("http://babel.hathitrust.org/cgi/pt?id=hvd.hx2hqw")</f>
        <v>http://babel.hathitrust.org/cgi/pt?id=hvd.hx2hqw</v>
      </c>
      <c r="H7885" t="str">
        <f>HYPERLINK("http://catalog.hathitrust.org/Record/011535739")</f>
        <v>http://catalog.hathitrust.org/Record/011535739</v>
      </c>
      <c r="I7885" s="1" t="s">
        <v>20755</v>
      </c>
      <c r="J7885" s="1">
        <v>1848</v>
      </c>
      <c r="K7885" t="s">
        <v>1117</v>
      </c>
    </row>
    <row r="7886" spans="1:12">
      <c r="A7886" t="s">
        <v>1120</v>
      </c>
      <c r="B7886" s="1" t="s">
        <v>1121</v>
      </c>
      <c r="F7886">
        <v>1</v>
      </c>
      <c r="G7886" t="str">
        <f>HYPERLINK("http://babel.hathitrust.org/cgi/pt?id=hvd.32044038398848")</f>
        <v>http://babel.hathitrust.org/cgi/pt?id=hvd.32044038398848</v>
      </c>
      <c r="H7886" t="str">
        <f>HYPERLINK("http://catalog.hathitrust.org/Record/011535978")</f>
        <v>http://catalog.hathitrust.org/Record/011535978</v>
      </c>
      <c r="J7886" s="1">
        <v>1807</v>
      </c>
      <c r="K7886" t="s">
        <v>1122</v>
      </c>
      <c r="L7886" t="s">
        <v>20960</v>
      </c>
    </row>
    <row r="7887" spans="1:12">
      <c r="A7887" t="s">
        <v>1123</v>
      </c>
      <c r="B7887" s="1" t="s">
        <v>1124</v>
      </c>
      <c r="D7887">
        <v>1</v>
      </c>
      <c r="G7887" t="str">
        <f>HYPERLINK("http://babel.hathitrust.org/cgi/pt?id=hvd.32044058232182")</f>
        <v>http://babel.hathitrust.org/cgi/pt?id=hvd.32044058232182</v>
      </c>
      <c r="H7887" t="str">
        <f>HYPERLINK("http://catalog.hathitrust.org/Record/011536401")</f>
        <v>http://catalog.hathitrust.org/Record/011536401</v>
      </c>
      <c r="J7887" s="1">
        <v>1861</v>
      </c>
      <c r="K7887" t="s">
        <v>1125</v>
      </c>
      <c r="L7887" t="s">
        <v>14407</v>
      </c>
    </row>
    <row r="7888" spans="1:12">
      <c r="A7888" t="s">
        <v>1126</v>
      </c>
      <c r="B7888" s="1" t="s">
        <v>1127</v>
      </c>
      <c r="F7888">
        <v>1</v>
      </c>
      <c r="G7888" t="str">
        <f>HYPERLINK("http://babel.hathitrust.org/cgi/pt?id=hvd.32044038404380")</f>
        <v>http://babel.hathitrust.org/cgi/pt?id=hvd.32044038404380</v>
      </c>
      <c r="H7888" t="str">
        <f>HYPERLINK("http://catalog.hathitrust.org/Record/011536538")</f>
        <v>http://catalog.hathitrust.org/Record/011536538</v>
      </c>
      <c r="J7888" s="1">
        <v>1869</v>
      </c>
      <c r="K7888" t="s">
        <v>12543</v>
      </c>
      <c r="L7888" t="s">
        <v>12544</v>
      </c>
    </row>
    <row r="7889" spans="1:12">
      <c r="A7889" t="s">
        <v>1128</v>
      </c>
      <c r="B7889" s="1" t="s">
        <v>1127</v>
      </c>
      <c r="F7889">
        <v>1</v>
      </c>
      <c r="G7889" t="str">
        <f>HYPERLINK("http://babel.hathitrust.org/cgi/pt?id=hvd.32044079640462")</f>
        <v>http://babel.hathitrust.org/cgi/pt?id=hvd.32044079640462</v>
      </c>
      <c r="H7889" t="str">
        <f>HYPERLINK("http://catalog.hathitrust.org/Record/011536538")</f>
        <v>http://catalog.hathitrust.org/Record/011536538</v>
      </c>
      <c r="J7889" s="1">
        <v>1869</v>
      </c>
      <c r="K7889" t="s">
        <v>12543</v>
      </c>
      <c r="L7889" t="s">
        <v>12544</v>
      </c>
    </row>
    <row r="7890" spans="1:12">
      <c r="A7890" t="s">
        <v>1129</v>
      </c>
      <c r="B7890" s="1" t="s">
        <v>1130</v>
      </c>
      <c r="E7890">
        <v>1</v>
      </c>
      <c r="G7890" t="str">
        <f>HYPERLINK("http://babel.hathitrust.org/cgi/pt?id=hvd.hwksym")</f>
        <v>http://babel.hathitrust.org/cgi/pt?id=hvd.hwksym</v>
      </c>
      <c r="H7890" t="str">
        <f>HYPERLINK("http://catalog.hathitrust.org/Record/011539094")</f>
        <v>http://catalog.hathitrust.org/Record/011539094</v>
      </c>
      <c r="J7890" s="1">
        <v>1854</v>
      </c>
      <c r="K7890" t="s">
        <v>20466</v>
      </c>
      <c r="L7890" t="s">
        <v>20467</v>
      </c>
    </row>
    <row r="7891" spans="1:12">
      <c r="A7891" t="s">
        <v>1131</v>
      </c>
      <c r="B7891" s="1" t="s">
        <v>1132</v>
      </c>
      <c r="E7891">
        <v>1</v>
      </c>
      <c r="G7891" t="str">
        <f>HYPERLINK("http://babel.hathitrust.org/cgi/pt?id=hvd.32044040633976")</f>
        <v>http://babel.hathitrust.org/cgi/pt?id=hvd.32044040633976</v>
      </c>
      <c r="H7891" t="str">
        <f>HYPERLINK("http://catalog.hathitrust.org/Record/011539154")</f>
        <v>http://catalog.hathitrust.org/Record/011539154</v>
      </c>
      <c r="J7891" s="1">
        <v>1860</v>
      </c>
      <c r="K7891" t="s">
        <v>1133</v>
      </c>
    </row>
    <row r="7892" spans="1:12">
      <c r="A7892" t="s">
        <v>1134</v>
      </c>
      <c r="B7892" s="1" t="s">
        <v>1135</v>
      </c>
      <c r="F7892">
        <v>1</v>
      </c>
      <c r="G7892" t="str">
        <f>HYPERLINK("http://babel.hathitrust.org/cgi/pt?id=hvd.32044004363289")</f>
        <v>http://babel.hathitrust.org/cgi/pt?id=hvd.32044004363289</v>
      </c>
      <c r="H7892" t="str">
        <f>HYPERLINK("http://catalog.hathitrust.org/Record/011539161")</f>
        <v>http://catalog.hathitrust.org/Record/011539161</v>
      </c>
      <c r="J7892" s="1">
        <v>1862</v>
      </c>
      <c r="K7892" t="s">
        <v>1136</v>
      </c>
      <c r="L7892" t="s">
        <v>11236</v>
      </c>
    </row>
    <row r="7893" spans="1:12">
      <c r="A7893" t="s">
        <v>1137</v>
      </c>
      <c r="B7893" s="1" t="s">
        <v>1138</v>
      </c>
      <c r="F7893">
        <v>1</v>
      </c>
      <c r="G7893" t="str">
        <f>HYPERLINK("http://babel.hathitrust.org/cgi/pt?id=hvd.hn31y9")</f>
        <v>http://babel.hathitrust.org/cgi/pt?id=hvd.hn31y9</v>
      </c>
      <c r="H7893" t="str">
        <f>HYPERLINK("http://catalog.hathitrust.org/Record/011539698")</f>
        <v>http://catalog.hathitrust.org/Record/011539698</v>
      </c>
      <c r="J7893" s="1">
        <v>1841</v>
      </c>
      <c r="K7893" t="s">
        <v>18409</v>
      </c>
      <c r="L7893" t="s">
        <v>18885</v>
      </c>
    </row>
    <row r="7894" spans="1:12">
      <c r="A7894" t="s">
        <v>1139</v>
      </c>
      <c r="B7894" s="1" t="s">
        <v>1140</v>
      </c>
      <c r="E7894">
        <v>1</v>
      </c>
      <c r="G7894" t="str">
        <f>HYPERLINK("http://babel.hathitrust.org/cgi/pt?id=hvd.hn4qk9")</f>
        <v>http://babel.hathitrust.org/cgi/pt?id=hvd.hn4qk9</v>
      </c>
      <c r="H7894" t="str">
        <f>HYPERLINK("http://catalog.hathitrust.org/Record/011539716")</f>
        <v>http://catalog.hathitrust.org/Record/011539716</v>
      </c>
      <c r="J7894" s="1">
        <v>1858</v>
      </c>
      <c r="K7894" t="s">
        <v>20082</v>
      </c>
      <c r="L7894" t="s">
        <v>20485</v>
      </c>
    </row>
    <row r="7895" spans="1:12">
      <c r="A7895" t="s">
        <v>1141</v>
      </c>
      <c r="B7895" s="1" t="s">
        <v>1142</v>
      </c>
      <c r="E7895">
        <v>1</v>
      </c>
      <c r="G7895" t="str">
        <f>HYPERLINK("http://babel.hathitrust.org/cgi/pt?id=hvd.hwksxa")</f>
        <v>http://babel.hathitrust.org/cgi/pt?id=hvd.hwksxa</v>
      </c>
      <c r="H7895" t="str">
        <f>HYPERLINK("http://catalog.hathitrust.org/Record/011541110")</f>
        <v>http://catalog.hathitrust.org/Record/011541110</v>
      </c>
      <c r="J7895" s="1">
        <v>1860</v>
      </c>
      <c r="K7895" t="s">
        <v>1143</v>
      </c>
      <c r="L7895" t="s">
        <v>20467</v>
      </c>
    </row>
    <row r="7896" spans="1:12">
      <c r="A7896" t="s">
        <v>1144</v>
      </c>
      <c r="B7896" s="1" t="s">
        <v>1145</v>
      </c>
      <c r="F7896">
        <v>1</v>
      </c>
      <c r="G7896" t="str">
        <f>HYPERLINK("http://babel.hathitrust.org/cgi/pt?id=hvd.hn1j2v")</f>
        <v>http://babel.hathitrust.org/cgi/pt?id=hvd.hn1j2v</v>
      </c>
      <c r="H7896" t="str">
        <f>HYPERLINK("http://catalog.hathitrust.org/Record/011541211")</f>
        <v>http://catalog.hathitrust.org/Record/011541211</v>
      </c>
      <c r="J7896" s="1">
        <v>1866</v>
      </c>
      <c r="K7896" t="s">
        <v>9740</v>
      </c>
      <c r="L7896" t="s">
        <v>16039</v>
      </c>
    </row>
    <row r="7897" spans="1:12">
      <c r="A7897" t="s">
        <v>1146</v>
      </c>
      <c r="B7897" s="1" t="s">
        <v>1147</v>
      </c>
      <c r="D7897">
        <v>1</v>
      </c>
      <c r="G7897" t="str">
        <f>HYPERLINK("http://babel.hathitrust.org/cgi/pt?id=hvd.hn6imd")</f>
        <v>http://babel.hathitrust.org/cgi/pt?id=hvd.hn6imd</v>
      </c>
      <c r="H7897" t="str">
        <f>HYPERLINK("http://catalog.hathitrust.org/Record/011542285")</f>
        <v>http://catalog.hathitrust.org/Record/011542285</v>
      </c>
      <c r="J7897" s="1">
        <v>1824</v>
      </c>
      <c r="K7897" t="s">
        <v>1062</v>
      </c>
      <c r="L7897" t="s">
        <v>19694</v>
      </c>
    </row>
    <row r="7898" spans="1:12">
      <c r="A7898" t="s">
        <v>1063</v>
      </c>
      <c r="B7898" s="1" t="s">
        <v>1064</v>
      </c>
      <c r="E7898">
        <v>1</v>
      </c>
      <c r="F7898">
        <v>1</v>
      </c>
      <c r="G7898" t="str">
        <f>HYPERLINK("http://babel.hathitrust.org/cgi/pt?id=hvd.hw22bj")</f>
        <v>http://babel.hathitrust.org/cgi/pt?id=hvd.hw22bj</v>
      </c>
      <c r="H7898" t="str">
        <f>HYPERLINK("http://catalog.hathitrust.org/Record/011542388")</f>
        <v>http://catalog.hathitrust.org/Record/011542388</v>
      </c>
      <c r="J7898" s="1">
        <v>1856</v>
      </c>
      <c r="K7898" t="s">
        <v>1065</v>
      </c>
      <c r="L7898" t="s">
        <v>15662</v>
      </c>
    </row>
    <row r="7899" spans="1:12">
      <c r="A7899" t="s">
        <v>1066</v>
      </c>
      <c r="B7899" s="1" t="s">
        <v>1067</v>
      </c>
      <c r="E7899">
        <v>1</v>
      </c>
      <c r="F7899">
        <v>1</v>
      </c>
      <c r="G7899" t="str">
        <f>HYPERLINK("http://babel.hathitrust.org/cgi/pt?id=hvd.hn2zza")</f>
        <v>http://babel.hathitrust.org/cgi/pt?id=hvd.hn2zza</v>
      </c>
      <c r="H7899" t="str">
        <f>HYPERLINK("http://catalog.hathitrust.org/Record/011542390")</f>
        <v>http://catalog.hathitrust.org/Record/011542390</v>
      </c>
      <c r="J7899" s="1">
        <v>1858</v>
      </c>
      <c r="K7899" t="s">
        <v>1068</v>
      </c>
      <c r="L7899" t="s">
        <v>15662</v>
      </c>
    </row>
    <row r="7900" spans="1:12">
      <c r="A7900" t="s">
        <v>1069</v>
      </c>
      <c r="B7900" s="1" t="s">
        <v>1070</v>
      </c>
      <c r="F7900">
        <v>1</v>
      </c>
      <c r="G7900" t="str">
        <f>HYPERLINK("http://babel.hathitrust.org/cgi/pt?id=hvd.hn6qbs")</f>
        <v>http://babel.hathitrust.org/cgi/pt?id=hvd.hn6qbs</v>
      </c>
      <c r="H7900" t="str">
        <f>HYPERLINK("http://catalog.hathitrust.org/Record/011543481")</f>
        <v>http://catalog.hathitrust.org/Record/011543481</v>
      </c>
      <c r="J7900" s="1">
        <v>1848</v>
      </c>
      <c r="K7900" t="s">
        <v>1071</v>
      </c>
      <c r="L7900" t="s">
        <v>12718</v>
      </c>
    </row>
    <row r="7901" spans="1:12">
      <c r="A7901" t="s">
        <v>1072</v>
      </c>
      <c r="B7901" s="1" t="s">
        <v>1073</v>
      </c>
      <c r="E7901">
        <v>1</v>
      </c>
      <c r="G7901" t="str">
        <f>HYPERLINK("http://babel.hathitrust.org/cgi/pt?id=hvd.hn5jyl")</f>
        <v>http://babel.hathitrust.org/cgi/pt?id=hvd.hn5jyl</v>
      </c>
      <c r="H7901" t="str">
        <f>HYPERLINK("http://catalog.hathitrust.org/Record/011543534")</f>
        <v>http://catalog.hathitrust.org/Record/011543534</v>
      </c>
      <c r="I7901" s="1" t="s">
        <v>20679</v>
      </c>
      <c r="J7901" s="1">
        <v>1866</v>
      </c>
      <c r="K7901" t="s">
        <v>8266</v>
      </c>
      <c r="L7901" t="s">
        <v>15050</v>
      </c>
    </row>
    <row r="7902" spans="1:12">
      <c r="A7902" t="s">
        <v>1074</v>
      </c>
      <c r="B7902" s="1" t="s">
        <v>1073</v>
      </c>
      <c r="E7902">
        <v>1</v>
      </c>
      <c r="G7902" t="str">
        <f>HYPERLINK("http://babel.hathitrust.org/cgi/pt?id=hvd.hn5jym")</f>
        <v>http://babel.hathitrust.org/cgi/pt?id=hvd.hn5jym</v>
      </c>
      <c r="H7902" t="str">
        <f>HYPERLINK("http://catalog.hathitrust.org/Record/011543534")</f>
        <v>http://catalog.hathitrust.org/Record/011543534</v>
      </c>
      <c r="I7902" s="1" t="s">
        <v>20920</v>
      </c>
      <c r="J7902" s="1">
        <v>1866</v>
      </c>
      <c r="K7902" t="s">
        <v>8266</v>
      </c>
      <c r="L7902" t="s">
        <v>15050</v>
      </c>
    </row>
    <row r="7903" spans="1:12">
      <c r="A7903" t="s">
        <v>1075</v>
      </c>
      <c r="B7903" s="1" t="s">
        <v>1073</v>
      </c>
      <c r="E7903">
        <v>1</v>
      </c>
      <c r="G7903" t="str">
        <f>HYPERLINK("http://babel.hathitrust.org/cgi/pt?id=hvd.hn5jyn")</f>
        <v>http://babel.hathitrust.org/cgi/pt?id=hvd.hn5jyn</v>
      </c>
      <c r="H7903" t="str">
        <f>HYPERLINK("http://catalog.hathitrust.org/Record/011543534")</f>
        <v>http://catalog.hathitrust.org/Record/011543534</v>
      </c>
      <c r="I7903" s="1" t="s">
        <v>20755</v>
      </c>
      <c r="J7903" s="1">
        <v>1866</v>
      </c>
      <c r="K7903" t="s">
        <v>8266</v>
      </c>
      <c r="L7903" t="s">
        <v>15050</v>
      </c>
    </row>
    <row r="7904" spans="1:12">
      <c r="A7904" t="s">
        <v>1076</v>
      </c>
      <c r="B7904" s="1" t="s">
        <v>1073</v>
      </c>
      <c r="E7904">
        <v>1</v>
      </c>
      <c r="G7904" t="str">
        <f>HYPERLINK("http://babel.hathitrust.org/cgi/pt?id=hvd.hn5jyp")</f>
        <v>http://babel.hathitrust.org/cgi/pt?id=hvd.hn5jyp</v>
      </c>
      <c r="H7904" t="str">
        <f>HYPERLINK("http://catalog.hathitrust.org/Record/011543534")</f>
        <v>http://catalog.hathitrust.org/Record/011543534</v>
      </c>
      <c r="I7904" s="1" t="s">
        <v>20916</v>
      </c>
      <c r="J7904" s="1">
        <v>1866</v>
      </c>
      <c r="K7904" t="s">
        <v>8266</v>
      </c>
      <c r="L7904" t="s">
        <v>15050</v>
      </c>
    </row>
    <row r="7905" spans="1:12">
      <c r="A7905" t="s">
        <v>1077</v>
      </c>
      <c r="B7905" s="1" t="s">
        <v>1078</v>
      </c>
      <c r="E7905">
        <v>1</v>
      </c>
      <c r="G7905" t="str">
        <f>HYPERLINK("http://babel.hathitrust.org/cgi/pt?id=hvd.hn5x1q")</f>
        <v>http://babel.hathitrust.org/cgi/pt?id=hvd.hn5x1q</v>
      </c>
      <c r="H7905" t="str">
        <f>HYPERLINK("http://catalog.hathitrust.org/Record/011544836")</f>
        <v>http://catalog.hathitrust.org/Record/011544836</v>
      </c>
      <c r="J7905" s="1">
        <v>1791</v>
      </c>
      <c r="K7905" t="s">
        <v>1079</v>
      </c>
      <c r="L7905" t="s">
        <v>20956</v>
      </c>
    </row>
    <row r="7906" spans="1:12">
      <c r="A7906" t="s">
        <v>1080</v>
      </c>
      <c r="B7906" s="1" t="s">
        <v>1081</v>
      </c>
      <c r="F7906">
        <v>1</v>
      </c>
      <c r="G7906" t="str">
        <f>HYPERLINK("http://babel.hathitrust.org/cgi/pt?id=hvd.32044043939610")</f>
        <v>http://babel.hathitrust.org/cgi/pt?id=hvd.32044043939610</v>
      </c>
      <c r="H7906" t="str">
        <f>HYPERLINK("http://catalog.hathitrust.org/Record/011544857")</f>
        <v>http://catalog.hathitrust.org/Record/011544857</v>
      </c>
      <c r="J7906" s="1">
        <v>1845</v>
      </c>
      <c r="K7906" t="s">
        <v>1082</v>
      </c>
      <c r="L7906" t="s">
        <v>19514</v>
      </c>
    </row>
    <row r="7907" spans="1:12">
      <c r="A7907" t="s">
        <v>1083</v>
      </c>
      <c r="B7907" s="1" t="s">
        <v>1084</v>
      </c>
      <c r="F7907">
        <v>1</v>
      </c>
      <c r="G7907" t="str">
        <f>HYPERLINK("http://babel.hathitrust.org/cgi/pt?id=hvd.hn1kht")</f>
        <v>http://babel.hathitrust.org/cgi/pt?id=hvd.hn1kht</v>
      </c>
      <c r="H7907" t="str">
        <f>HYPERLINK("http://catalog.hathitrust.org/Record/011545065")</f>
        <v>http://catalog.hathitrust.org/Record/011545065</v>
      </c>
      <c r="J7907" s="1">
        <v>1870</v>
      </c>
      <c r="K7907" t="s">
        <v>1085</v>
      </c>
      <c r="L7907" t="s">
        <v>1086</v>
      </c>
    </row>
    <row r="7908" spans="1:12">
      <c r="A7908" t="s">
        <v>1087</v>
      </c>
      <c r="B7908" s="1" t="s">
        <v>1088</v>
      </c>
      <c r="D7908">
        <v>1</v>
      </c>
      <c r="G7908" t="str">
        <f>HYPERLINK("http://babel.hathitrust.org/cgi/pt?id=hvd.hn3fxg")</f>
        <v>http://babel.hathitrust.org/cgi/pt?id=hvd.hn3fxg</v>
      </c>
      <c r="H7908" t="str">
        <f>HYPERLINK("http://catalog.hathitrust.org/Record/011545154")</f>
        <v>http://catalog.hathitrust.org/Record/011545154</v>
      </c>
      <c r="J7908" s="1">
        <v>1827</v>
      </c>
      <c r="K7908" t="s">
        <v>1089</v>
      </c>
      <c r="L7908" t="s">
        <v>20043</v>
      </c>
    </row>
    <row r="7909" spans="1:12">
      <c r="A7909" t="s">
        <v>1090</v>
      </c>
      <c r="B7909" s="1" t="s">
        <v>1091</v>
      </c>
      <c r="D7909">
        <v>1</v>
      </c>
      <c r="G7909" t="str">
        <f>HYPERLINK("http://babel.hathitrust.org/cgi/pt?id=hvd.hn6q99")</f>
        <v>http://babel.hathitrust.org/cgi/pt?id=hvd.hn6q99</v>
      </c>
      <c r="H7909" t="str">
        <f>HYPERLINK("http://catalog.hathitrust.org/Record/011545155")</f>
        <v>http://catalog.hathitrust.org/Record/011545155</v>
      </c>
      <c r="J7909" s="1">
        <v>1829</v>
      </c>
      <c r="K7909" t="s">
        <v>1092</v>
      </c>
      <c r="L7909" t="s">
        <v>20043</v>
      </c>
    </row>
    <row r="7910" spans="1:12">
      <c r="A7910" t="s">
        <v>1093</v>
      </c>
      <c r="B7910" s="1" t="s">
        <v>1094</v>
      </c>
      <c r="D7910">
        <v>1</v>
      </c>
      <c r="G7910" t="str">
        <f>HYPERLINK("http://babel.hathitrust.org/cgi/pt?id=hvd.hn5x57")</f>
        <v>http://babel.hathitrust.org/cgi/pt?id=hvd.hn5x57</v>
      </c>
      <c r="H7910" t="str">
        <f>HYPERLINK("http://catalog.hathitrust.org/Record/011545157")</f>
        <v>http://catalog.hathitrust.org/Record/011545157</v>
      </c>
      <c r="J7910" s="1">
        <v>1852</v>
      </c>
      <c r="K7910" t="s">
        <v>5987</v>
      </c>
      <c r="L7910" t="s">
        <v>20043</v>
      </c>
    </row>
    <row r="7911" spans="1:12">
      <c r="A7911" t="s">
        <v>1095</v>
      </c>
      <c r="B7911" s="1" t="s">
        <v>1096</v>
      </c>
      <c r="E7911">
        <v>1</v>
      </c>
      <c r="F7911">
        <v>1</v>
      </c>
      <c r="G7911" t="str">
        <f>HYPERLINK("http://babel.hathitrust.org/cgi/pt?id=hvd.hn24l2")</f>
        <v>http://babel.hathitrust.org/cgi/pt?id=hvd.hn24l2</v>
      </c>
      <c r="H7911" t="str">
        <f>HYPERLINK("http://catalog.hathitrust.org/Record/011545699")</f>
        <v>http://catalog.hathitrust.org/Record/011545699</v>
      </c>
      <c r="J7911" s="1">
        <v>1859</v>
      </c>
      <c r="K7911" t="s">
        <v>6002</v>
      </c>
      <c r="L7911" t="s">
        <v>11681</v>
      </c>
    </row>
    <row r="7912" spans="1:12">
      <c r="A7912" t="s">
        <v>1097</v>
      </c>
      <c r="B7912" s="1" t="s">
        <v>1098</v>
      </c>
      <c r="F7912">
        <v>1</v>
      </c>
      <c r="G7912" t="str">
        <f>HYPERLINK("http://babel.hathitrust.org/cgi/pt?id=hvd.hw2c78")</f>
        <v>http://babel.hathitrust.org/cgi/pt?id=hvd.hw2c78</v>
      </c>
      <c r="H7912" t="str">
        <f>HYPERLINK("http://catalog.hathitrust.org/Record/011546825")</f>
        <v>http://catalog.hathitrust.org/Record/011546825</v>
      </c>
      <c r="J7912" s="1">
        <v>1857</v>
      </c>
      <c r="K7912" t="s">
        <v>1170</v>
      </c>
      <c r="L7912" t="s">
        <v>1171</v>
      </c>
    </row>
    <row r="7913" spans="1:12">
      <c r="A7913" t="s">
        <v>1099</v>
      </c>
      <c r="B7913" s="1" t="s">
        <v>1100</v>
      </c>
      <c r="F7913">
        <v>1</v>
      </c>
      <c r="G7913" t="str">
        <f>HYPERLINK("http://babel.hathitrust.org/cgi/pt?id=hvd.hn6ps4")</f>
        <v>http://babel.hathitrust.org/cgi/pt?id=hvd.hn6ps4</v>
      </c>
      <c r="H7913" t="str">
        <f>HYPERLINK("http://catalog.hathitrust.org/Record/011547587")</f>
        <v>http://catalog.hathitrust.org/Record/011547587</v>
      </c>
      <c r="J7913" s="1">
        <v>1846</v>
      </c>
      <c r="K7913" t="s">
        <v>1101</v>
      </c>
      <c r="L7913" t="s">
        <v>5929</v>
      </c>
    </row>
    <row r="7914" spans="1:12">
      <c r="A7914" t="s">
        <v>1102</v>
      </c>
      <c r="B7914" s="1" t="s">
        <v>1103</v>
      </c>
      <c r="F7914">
        <v>1</v>
      </c>
      <c r="G7914" t="str">
        <f>HYPERLINK("http://babel.hathitrust.org/cgi/pt?id=hvd.32044096987805")</f>
        <v>http://babel.hathitrust.org/cgi/pt?id=hvd.32044096987805</v>
      </c>
      <c r="H7914" t="str">
        <f>HYPERLINK("http://catalog.hathitrust.org/Record/011547698")</f>
        <v>http://catalog.hathitrust.org/Record/011547698</v>
      </c>
      <c r="J7914" s="1">
        <v>1851</v>
      </c>
      <c r="K7914" t="s">
        <v>1104</v>
      </c>
      <c r="L7914" t="s">
        <v>7727</v>
      </c>
    </row>
    <row r="7915" spans="1:12">
      <c r="A7915" t="s">
        <v>1105</v>
      </c>
      <c r="B7915" s="1" t="s">
        <v>1103</v>
      </c>
      <c r="F7915">
        <v>1</v>
      </c>
      <c r="G7915" t="str">
        <f>HYPERLINK("http://babel.hathitrust.org/cgi/pt?id=hvd.hwubf3")</f>
        <v>http://babel.hathitrust.org/cgi/pt?id=hvd.hwubf3</v>
      </c>
      <c r="H7915" t="str">
        <f>HYPERLINK("http://catalog.hathitrust.org/Record/011547698")</f>
        <v>http://catalog.hathitrust.org/Record/011547698</v>
      </c>
      <c r="J7915" s="1">
        <v>1851</v>
      </c>
      <c r="K7915" t="s">
        <v>1104</v>
      </c>
      <c r="L7915" t="s">
        <v>7727</v>
      </c>
    </row>
    <row r="7916" spans="1:12">
      <c r="A7916" t="s">
        <v>1019</v>
      </c>
      <c r="B7916" s="1" t="s">
        <v>1020</v>
      </c>
      <c r="D7916">
        <v>1</v>
      </c>
      <c r="G7916" t="str">
        <f>HYPERLINK("http://babel.hathitrust.org/cgi/pt?id=hvd.hwhh7l")</f>
        <v>http://babel.hathitrust.org/cgi/pt?id=hvd.hwhh7l</v>
      </c>
      <c r="H7916" t="str">
        <f>HYPERLINK("http://catalog.hathitrust.org/Record/011547854")</f>
        <v>http://catalog.hathitrust.org/Record/011547854</v>
      </c>
      <c r="I7916" s="1" t="s">
        <v>20755</v>
      </c>
      <c r="J7916" s="1">
        <v>1865</v>
      </c>
      <c r="K7916" t="s">
        <v>13405</v>
      </c>
      <c r="L7916" t="s">
        <v>13406</v>
      </c>
    </row>
    <row r="7917" spans="1:12">
      <c r="A7917" t="s">
        <v>1021</v>
      </c>
      <c r="B7917" s="1" t="s">
        <v>1022</v>
      </c>
      <c r="F7917">
        <v>1</v>
      </c>
      <c r="G7917" t="str">
        <f>HYPERLINK("http://babel.hathitrust.org/cgi/pt?id=hvd.hwsue3")</f>
        <v>http://babel.hathitrust.org/cgi/pt?id=hvd.hwsue3</v>
      </c>
      <c r="H7917" t="str">
        <f>HYPERLINK("http://catalog.hathitrust.org/Record/011547866")</f>
        <v>http://catalog.hathitrust.org/Record/011547866</v>
      </c>
      <c r="J7917" s="1">
        <v>1851</v>
      </c>
      <c r="K7917" t="s">
        <v>18884</v>
      </c>
      <c r="L7917" t="s">
        <v>18885</v>
      </c>
    </row>
    <row r="7918" spans="1:12">
      <c r="A7918" t="s">
        <v>1023</v>
      </c>
      <c r="B7918" s="1" t="s">
        <v>1024</v>
      </c>
      <c r="E7918">
        <v>1</v>
      </c>
      <c r="G7918" t="str">
        <f>HYPERLINK("http://babel.hathitrust.org/cgi/pt?id=hvd.hn641h")</f>
        <v>http://babel.hathitrust.org/cgi/pt?id=hvd.hn641h</v>
      </c>
      <c r="H7918" t="str">
        <f>HYPERLINK("http://catalog.hathitrust.org/Record/011547906")</f>
        <v>http://catalog.hathitrust.org/Record/011547906</v>
      </c>
      <c r="J7918" s="1">
        <v>1846</v>
      </c>
      <c r="K7918" t="s">
        <v>20489</v>
      </c>
      <c r="L7918" t="s">
        <v>20485</v>
      </c>
    </row>
    <row r="7919" spans="1:12">
      <c r="A7919" t="s">
        <v>1025</v>
      </c>
      <c r="B7919" s="1" t="s">
        <v>1026</v>
      </c>
      <c r="F7919">
        <v>1</v>
      </c>
      <c r="G7919" t="str">
        <f>HYPERLINK("http://babel.hathitrust.org/cgi/pt?id=hvd.32044102856515")</f>
        <v>http://babel.hathitrust.org/cgi/pt?id=hvd.32044102856515</v>
      </c>
      <c r="H7919" t="str">
        <f>HYPERLINK("http://catalog.hathitrust.org/Record/011548163")</f>
        <v>http://catalog.hathitrust.org/Record/011548163</v>
      </c>
      <c r="J7919" s="1">
        <v>1870</v>
      </c>
      <c r="K7919" t="s">
        <v>1027</v>
      </c>
    </row>
    <row r="7920" spans="1:12">
      <c r="A7920" t="s">
        <v>1028</v>
      </c>
      <c r="B7920" s="1" t="s">
        <v>1026</v>
      </c>
      <c r="F7920">
        <v>1</v>
      </c>
      <c r="G7920" t="str">
        <f>HYPERLINK("http://babel.hathitrust.org/cgi/pt?id=hvd.hwshs1")</f>
        <v>http://babel.hathitrust.org/cgi/pt?id=hvd.hwshs1</v>
      </c>
      <c r="H7920" t="str">
        <f>HYPERLINK("http://catalog.hathitrust.org/Record/011548163")</f>
        <v>http://catalog.hathitrust.org/Record/011548163</v>
      </c>
      <c r="J7920" s="1">
        <v>1870</v>
      </c>
      <c r="K7920" t="s">
        <v>1027</v>
      </c>
    </row>
    <row r="7921" spans="1:12">
      <c r="A7921" t="s">
        <v>1029</v>
      </c>
      <c r="B7921" s="1" t="s">
        <v>1030</v>
      </c>
      <c r="F7921">
        <v>1</v>
      </c>
      <c r="G7921" t="str">
        <f>HYPERLINK("http://babel.hathitrust.org/cgi/pt?id=hvd.32044097062111")</f>
        <v>http://babel.hathitrust.org/cgi/pt?id=hvd.32044097062111</v>
      </c>
      <c r="H7921" t="str">
        <f>HYPERLINK("http://catalog.hathitrust.org/Record/011548250")</f>
        <v>http://catalog.hathitrust.org/Record/011548250</v>
      </c>
      <c r="J7921" s="1">
        <v>1851</v>
      </c>
      <c r="K7921" t="s">
        <v>1031</v>
      </c>
      <c r="L7921" t="s">
        <v>10091</v>
      </c>
    </row>
    <row r="7922" spans="1:12">
      <c r="A7922" t="s">
        <v>1032</v>
      </c>
      <c r="B7922" s="1" t="s">
        <v>1030</v>
      </c>
      <c r="F7922">
        <v>1</v>
      </c>
      <c r="G7922" t="str">
        <f>HYPERLINK("http://babel.hathitrust.org/cgi/pt?id=hvd.hwsjky")</f>
        <v>http://babel.hathitrust.org/cgi/pt?id=hvd.hwsjky</v>
      </c>
      <c r="H7922" t="str">
        <f>HYPERLINK("http://catalog.hathitrust.org/Record/011548250")</f>
        <v>http://catalog.hathitrust.org/Record/011548250</v>
      </c>
      <c r="J7922" s="1">
        <v>1851</v>
      </c>
      <c r="K7922" t="s">
        <v>1031</v>
      </c>
      <c r="L7922" t="s">
        <v>10091</v>
      </c>
    </row>
    <row r="7923" spans="1:12">
      <c r="A7923" t="s">
        <v>1033</v>
      </c>
      <c r="B7923" s="1" t="s">
        <v>1034</v>
      </c>
      <c r="E7923">
        <v>1</v>
      </c>
      <c r="F7923">
        <v>1</v>
      </c>
      <c r="G7923" t="str">
        <f>HYPERLINK("http://babel.hathitrust.org/cgi/pt?id=hvd.hw22c8")</f>
        <v>http://babel.hathitrust.org/cgi/pt?id=hvd.hw22c8</v>
      </c>
      <c r="H7923" t="str">
        <f>HYPERLINK("http://catalog.hathitrust.org/Record/011548393")</f>
        <v>http://catalog.hathitrust.org/Record/011548393</v>
      </c>
      <c r="J7923" s="1">
        <v>1856</v>
      </c>
      <c r="K7923" t="s">
        <v>1035</v>
      </c>
      <c r="L7923" t="s">
        <v>15662</v>
      </c>
    </row>
    <row r="7924" spans="1:12">
      <c r="A7924" t="s">
        <v>1036</v>
      </c>
      <c r="B7924" s="1" t="s">
        <v>1037</v>
      </c>
      <c r="F7924">
        <v>1</v>
      </c>
      <c r="G7924" t="str">
        <f>HYPERLINK("http://babel.hathitrust.org/cgi/pt?id=hvd.hn6qbt")</f>
        <v>http://babel.hathitrust.org/cgi/pt?id=hvd.hn6qbt</v>
      </c>
      <c r="H7924" t="str">
        <f>HYPERLINK("http://catalog.hathitrust.org/Record/011548592")</f>
        <v>http://catalog.hathitrust.org/Record/011548592</v>
      </c>
      <c r="J7924" s="1">
        <v>1868</v>
      </c>
      <c r="K7924" t="s">
        <v>1038</v>
      </c>
      <c r="L7924" t="s">
        <v>12718</v>
      </c>
    </row>
    <row r="7925" spans="1:12">
      <c r="A7925" t="s">
        <v>1039</v>
      </c>
      <c r="B7925" s="1" t="s">
        <v>1040</v>
      </c>
      <c r="E7925">
        <v>1</v>
      </c>
      <c r="G7925" t="str">
        <f>HYPERLINK("http://babel.hathitrust.org/cgi/pt?id=hvd.hwksxz")</f>
        <v>http://babel.hathitrust.org/cgi/pt?id=hvd.hwksxz</v>
      </c>
      <c r="H7925" t="str">
        <f>HYPERLINK("http://catalog.hathitrust.org/Record/011548600")</f>
        <v>http://catalog.hathitrust.org/Record/011548600</v>
      </c>
      <c r="J7925" s="1">
        <v>1857</v>
      </c>
      <c r="K7925" t="s">
        <v>3285</v>
      </c>
      <c r="L7925" t="s">
        <v>20467</v>
      </c>
    </row>
    <row r="7926" spans="1:12">
      <c r="A7926" t="s">
        <v>1041</v>
      </c>
      <c r="B7926" s="1" t="s">
        <v>1042</v>
      </c>
      <c r="E7926">
        <v>1</v>
      </c>
      <c r="G7926" t="str">
        <f>HYPERLINK("http://babel.hathitrust.org/cgi/pt?id=hvd.hn1eut")</f>
        <v>http://babel.hathitrust.org/cgi/pt?id=hvd.hn1eut</v>
      </c>
      <c r="H7926" t="str">
        <f>HYPERLINK("http://catalog.hathitrust.org/Record/011548607")</f>
        <v>http://catalog.hathitrust.org/Record/011548607</v>
      </c>
      <c r="J7926" s="1">
        <v>1861</v>
      </c>
      <c r="K7926" t="s">
        <v>1043</v>
      </c>
      <c r="L7926" t="s">
        <v>11568</v>
      </c>
    </row>
    <row r="7927" spans="1:12">
      <c r="A7927" t="s">
        <v>1044</v>
      </c>
      <c r="B7927" s="1" t="s">
        <v>1045</v>
      </c>
      <c r="F7927">
        <v>1</v>
      </c>
      <c r="G7927" t="str">
        <f>HYPERLINK("http://babel.hathitrust.org/cgi/pt?id=hvd.hw235l")</f>
        <v>http://babel.hathitrust.org/cgi/pt?id=hvd.hw235l</v>
      </c>
      <c r="H7927" t="str">
        <f>HYPERLINK("http://catalog.hathitrust.org/Record/011548660")</f>
        <v>http://catalog.hathitrust.org/Record/011548660</v>
      </c>
      <c r="J7927" s="1">
        <v>1851</v>
      </c>
      <c r="K7927" t="s">
        <v>7120</v>
      </c>
      <c r="L7927" t="s">
        <v>13538</v>
      </c>
    </row>
    <row r="7928" spans="1:12">
      <c r="A7928" t="s">
        <v>1046</v>
      </c>
      <c r="B7928" s="1" t="s">
        <v>1047</v>
      </c>
      <c r="F7928">
        <v>1</v>
      </c>
      <c r="G7928" t="str">
        <f>HYPERLINK("http://babel.hathitrust.org/cgi/pt?id=hvd.32044089057772")</f>
        <v>http://babel.hathitrust.org/cgi/pt?id=hvd.32044089057772</v>
      </c>
      <c r="H7928" t="str">
        <f>HYPERLINK("http://catalog.hathitrust.org/Record/011548879")</f>
        <v>http://catalog.hathitrust.org/Record/011548879</v>
      </c>
      <c r="J7928" s="1">
        <v>1847</v>
      </c>
      <c r="K7928" t="s">
        <v>2573</v>
      </c>
      <c r="L7928" t="s">
        <v>17516</v>
      </c>
    </row>
    <row r="7929" spans="1:12">
      <c r="A7929" t="s">
        <v>1048</v>
      </c>
      <c r="B7929" s="1" t="s">
        <v>1049</v>
      </c>
      <c r="E7929">
        <v>1</v>
      </c>
      <c r="G7929" t="str">
        <f>HYPERLINK("http://babel.hathitrust.org/cgi/pt?id=hvd.hw1yv7")</f>
        <v>http://babel.hathitrust.org/cgi/pt?id=hvd.hw1yv7</v>
      </c>
      <c r="H7929" t="str">
        <f>HYPERLINK("http://catalog.hathitrust.org/Record/011548891")</f>
        <v>http://catalog.hathitrust.org/Record/011548891</v>
      </c>
      <c r="I7929" s="1" t="s">
        <v>12077</v>
      </c>
      <c r="J7929" s="1">
        <v>1853</v>
      </c>
      <c r="K7929" t="s">
        <v>13050</v>
      </c>
      <c r="L7929" t="s">
        <v>20675</v>
      </c>
    </row>
    <row r="7930" spans="1:12">
      <c r="A7930" t="s">
        <v>1050</v>
      </c>
      <c r="B7930" s="1" t="s">
        <v>1051</v>
      </c>
      <c r="F7930">
        <v>1</v>
      </c>
      <c r="G7930" t="str">
        <f>HYPERLINK("http://babel.hathitrust.org/cgi/pt?id=hvd.hwpa7d")</f>
        <v>http://babel.hathitrust.org/cgi/pt?id=hvd.hwpa7d</v>
      </c>
      <c r="H7930" t="str">
        <f>HYPERLINK("http://catalog.hathitrust.org/Record/011549426")</f>
        <v>http://catalog.hathitrust.org/Record/011549426</v>
      </c>
      <c r="J7930" s="1">
        <v>1846</v>
      </c>
      <c r="K7930" t="s">
        <v>1052</v>
      </c>
      <c r="L7930" t="s">
        <v>1053</v>
      </c>
    </row>
    <row r="7931" spans="1:12">
      <c r="A7931" t="s">
        <v>1054</v>
      </c>
      <c r="B7931" s="1" t="s">
        <v>1055</v>
      </c>
      <c r="E7931">
        <v>1</v>
      </c>
      <c r="G7931" t="str">
        <f>HYPERLINK("http://babel.hathitrust.org/cgi/pt?id=hvd.hwsk5k")</f>
        <v>http://babel.hathitrust.org/cgi/pt?id=hvd.hwsk5k</v>
      </c>
      <c r="H7931" t="str">
        <f>HYPERLINK("http://catalog.hathitrust.org/Record/011549593")</f>
        <v>http://catalog.hathitrust.org/Record/011549593</v>
      </c>
      <c r="J7931" s="1">
        <v>1842</v>
      </c>
      <c r="K7931" t="s">
        <v>1056</v>
      </c>
      <c r="L7931" t="s">
        <v>1057</v>
      </c>
    </row>
    <row r="7932" spans="1:12">
      <c r="A7932" t="s">
        <v>1058</v>
      </c>
      <c r="B7932" s="1" t="s">
        <v>1059</v>
      </c>
      <c r="F7932">
        <v>1</v>
      </c>
      <c r="G7932" t="str">
        <f>HYPERLINK("http://babel.hathitrust.org/cgi/pt?id=hvd.hn1rct")</f>
        <v>http://babel.hathitrust.org/cgi/pt?id=hvd.hn1rct</v>
      </c>
      <c r="H7932" t="str">
        <f>HYPERLINK("http://catalog.hathitrust.org/Record/011550020")</f>
        <v>http://catalog.hathitrust.org/Record/011550020</v>
      </c>
      <c r="J7932" s="1">
        <v>1860</v>
      </c>
      <c r="K7932" t="s">
        <v>5735</v>
      </c>
      <c r="L7932" t="s">
        <v>12780</v>
      </c>
    </row>
    <row r="7933" spans="1:12">
      <c r="A7933" t="s">
        <v>1060</v>
      </c>
      <c r="B7933" s="1" t="s">
        <v>1061</v>
      </c>
      <c r="F7933">
        <v>1</v>
      </c>
      <c r="G7933" t="str">
        <f>HYPERLINK("http://babel.hathitrust.org/cgi/pt?id=hvd.hn1qct")</f>
        <v>http://babel.hathitrust.org/cgi/pt?id=hvd.hn1qct</v>
      </c>
      <c r="H7933" t="str">
        <f>HYPERLINK("http://catalog.hathitrust.org/Record/011550517")</f>
        <v>http://catalog.hathitrust.org/Record/011550517</v>
      </c>
      <c r="J7933" s="1">
        <v>1867</v>
      </c>
      <c r="K7933" t="s">
        <v>982</v>
      </c>
      <c r="L7933" t="s">
        <v>983</v>
      </c>
    </row>
    <row r="7934" spans="1:12">
      <c r="A7934" t="s">
        <v>984</v>
      </c>
      <c r="B7934" s="1" t="s">
        <v>985</v>
      </c>
      <c r="F7934">
        <v>1</v>
      </c>
      <c r="G7934" t="str">
        <f>HYPERLINK("http://babel.hathitrust.org/cgi/pt?id=hvd.hn1rnx")</f>
        <v>http://babel.hathitrust.org/cgi/pt?id=hvd.hn1rnx</v>
      </c>
      <c r="H7934" t="str">
        <f>HYPERLINK("http://catalog.hathitrust.org/Record/011551030")</f>
        <v>http://catalog.hathitrust.org/Record/011551030</v>
      </c>
      <c r="J7934" s="1">
        <v>1860</v>
      </c>
      <c r="K7934" t="s">
        <v>986</v>
      </c>
      <c r="L7934" t="s">
        <v>12718</v>
      </c>
    </row>
    <row r="7935" spans="1:12">
      <c r="A7935" t="s">
        <v>987</v>
      </c>
      <c r="B7935" s="1" t="s">
        <v>988</v>
      </c>
      <c r="F7935">
        <v>1</v>
      </c>
      <c r="G7935" t="str">
        <f>HYPERLINK("http://babel.hathitrust.org/cgi/pt?id=hvd.hn1mwq")</f>
        <v>http://babel.hathitrust.org/cgi/pt?id=hvd.hn1mwq</v>
      </c>
      <c r="H7935" t="str">
        <f>HYPERLINK("http://catalog.hathitrust.org/Record/011551031")</f>
        <v>http://catalog.hathitrust.org/Record/011551031</v>
      </c>
      <c r="J7935" s="1">
        <v>1867</v>
      </c>
      <c r="K7935" t="s">
        <v>12219</v>
      </c>
      <c r="L7935" t="s">
        <v>12718</v>
      </c>
    </row>
    <row r="7936" spans="1:12">
      <c r="A7936" t="s">
        <v>989</v>
      </c>
      <c r="B7936" s="1" t="s">
        <v>990</v>
      </c>
      <c r="E7936">
        <v>1</v>
      </c>
      <c r="F7936">
        <v>1</v>
      </c>
      <c r="G7936" t="str">
        <f>HYPERLINK("http://babel.hathitrust.org/cgi/pt?id=hvd.hn1rp5")</f>
        <v>http://babel.hathitrust.org/cgi/pt?id=hvd.hn1rp5</v>
      </c>
      <c r="H7936" t="str">
        <f>HYPERLINK("http://catalog.hathitrust.org/Record/011551035")</f>
        <v>http://catalog.hathitrust.org/Record/011551035</v>
      </c>
      <c r="J7936" s="1">
        <v>1859</v>
      </c>
      <c r="K7936" t="s">
        <v>11558</v>
      </c>
      <c r="L7936" t="s">
        <v>12718</v>
      </c>
    </row>
    <row r="7937" spans="1:12">
      <c r="A7937" t="s">
        <v>991</v>
      </c>
      <c r="B7937" s="1" t="s">
        <v>992</v>
      </c>
      <c r="F7937">
        <v>1</v>
      </c>
      <c r="G7937" t="str">
        <f>HYPERLINK("http://babel.hathitrust.org/cgi/pt?id=hvd.hn1dhg")</f>
        <v>http://babel.hathitrust.org/cgi/pt?id=hvd.hn1dhg</v>
      </c>
      <c r="H7937" t="str">
        <f>HYPERLINK("http://catalog.hathitrust.org/Record/011551296")</f>
        <v>http://catalog.hathitrust.org/Record/011551296</v>
      </c>
      <c r="J7937" s="1">
        <v>1870</v>
      </c>
      <c r="K7937" t="s">
        <v>993</v>
      </c>
      <c r="L7937" t="s">
        <v>14235</v>
      </c>
    </row>
    <row r="7938" spans="1:12">
      <c r="A7938" t="s">
        <v>994</v>
      </c>
      <c r="B7938" s="1" t="s">
        <v>995</v>
      </c>
      <c r="D7938">
        <v>1</v>
      </c>
      <c r="G7938" t="str">
        <f>HYPERLINK("http://babel.hathitrust.org/cgi/pt?id=hvd.hn1qea")</f>
        <v>http://babel.hathitrust.org/cgi/pt?id=hvd.hn1qea</v>
      </c>
      <c r="H7938" t="str">
        <f>HYPERLINK("http://catalog.hathitrust.org/Record/011552011")</f>
        <v>http://catalog.hathitrust.org/Record/011552011</v>
      </c>
      <c r="J7938" s="1">
        <v>1839</v>
      </c>
      <c r="K7938" t="s">
        <v>996</v>
      </c>
      <c r="L7938" t="s">
        <v>4113</v>
      </c>
    </row>
    <row r="7939" spans="1:12">
      <c r="A7939" t="s">
        <v>997</v>
      </c>
      <c r="B7939" s="1" t="s">
        <v>998</v>
      </c>
      <c r="D7939">
        <v>1</v>
      </c>
      <c r="G7939" t="str">
        <f>HYPERLINK("http://babel.hathitrust.org/cgi/pt?id=hvd.hn6q9s")</f>
        <v>http://babel.hathitrust.org/cgi/pt?id=hvd.hn6q9s</v>
      </c>
      <c r="H7939" t="str">
        <f>HYPERLINK("http://catalog.hathitrust.org/Record/011552217")</f>
        <v>http://catalog.hathitrust.org/Record/011552217</v>
      </c>
      <c r="J7939" s="1">
        <v>1855</v>
      </c>
      <c r="K7939" t="s">
        <v>999</v>
      </c>
      <c r="L7939" t="s">
        <v>20086</v>
      </c>
    </row>
    <row r="7940" spans="1:12">
      <c r="A7940" t="s">
        <v>1000</v>
      </c>
      <c r="B7940" s="1" t="s">
        <v>1001</v>
      </c>
      <c r="D7940">
        <v>1</v>
      </c>
      <c r="G7940" t="str">
        <f>HYPERLINK("http://babel.hathitrust.org/cgi/pt?id=hvd.hn2gxw")</f>
        <v>http://babel.hathitrust.org/cgi/pt?id=hvd.hn2gxw</v>
      </c>
      <c r="H7940" t="str">
        <f>HYPERLINK("http://catalog.hathitrust.org/Record/011552218")</f>
        <v>http://catalog.hathitrust.org/Record/011552218</v>
      </c>
      <c r="I7940" s="1" t="s">
        <v>20916</v>
      </c>
      <c r="J7940" s="1">
        <v>1800</v>
      </c>
      <c r="K7940" t="s">
        <v>1002</v>
      </c>
      <c r="L7940" t="s">
        <v>20086</v>
      </c>
    </row>
    <row r="7941" spans="1:12">
      <c r="A7941" t="s">
        <v>1003</v>
      </c>
      <c r="B7941" s="1" t="s">
        <v>1001</v>
      </c>
      <c r="D7941">
        <v>1</v>
      </c>
      <c r="G7941" t="str">
        <f>HYPERLINK("http://babel.hathitrust.org/cgi/pt?id=hvd.hn2gxx")</f>
        <v>http://babel.hathitrust.org/cgi/pt?id=hvd.hn2gxx</v>
      </c>
      <c r="H7941" t="str">
        <f>HYPERLINK("http://catalog.hathitrust.org/Record/011552218")</f>
        <v>http://catalog.hathitrust.org/Record/011552218</v>
      </c>
      <c r="I7941" s="1" t="s">
        <v>20755</v>
      </c>
      <c r="J7941" s="1">
        <v>1800</v>
      </c>
      <c r="K7941" t="s">
        <v>1002</v>
      </c>
      <c r="L7941" t="s">
        <v>20086</v>
      </c>
    </row>
    <row r="7942" spans="1:12">
      <c r="A7942" t="s">
        <v>1004</v>
      </c>
      <c r="B7942" s="1" t="s">
        <v>1001</v>
      </c>
      <c r="D7942">
        <v>1</v>
      </c>
      <c r="G7942" t="str">
        <f>HYPERLINK("http://babel.hathitrust.org/cgi/pt?id=hvd.hn2gxy")</f>
        <v>http://babel.hathitrust.org/cgi/pt?id=hvd.hn2gxy</v>
      </c>
      <c r="H7942" t="str">
        <f>HYPERLINK("http://catalog.hathitrust.org/Record/011552218")</f>
        <v>http://catalog.hathitrust.org/Record/011552218</v>
      </c>
      <c r="I7942" s="1" t="s">
        <v>20920</v>
      </c>
      <c r="J7942" s="1">
        <v>1800</v>
      </c>
      <c r="K7942" t="s">
        <v>1002</v>
      </c>
      <c r="L7942" t="s">
        <v>20086</v>
      </c>
    </row>
    <row r="7943" spans="1:12">
      <c r="A7943" t="s">
        <v>1005</v>
      </c>
      <c r="B7943" s="1" t="s">
        <v>1006</v>
      </c>
      <c r="F7943">
        <v>1</v>
      </c>
      <c r="G7943" t="str">
        <f>HYPERLINK("http://babel.hathitrust.org/cgi/pt?id=hvd.ah62kv")</f>
        <v>http://babel.hathitrust.org/cgi/pt?id=hvd.ah62kv</v>
      </c>
      <c r="H7943" t="str">
        <f>HYPERLINK("http://catalog.hathitrust.org/Record/011552333")</f>
        <v>http://catalog.hathitrust.org/Record/011552333</v>
      </c>
      <c r="J7943" s="1">
        <v>1846</v>
      </c>
      <c r="K7943" t="s">
        <v>1007</v>
      </c>
    </row>
    <row r="7944" spans="1:12">
      <c r="A7944" t="s">
        <v>1008</v>
      </c>
      <c r="B7944" s="1" t="s">
        <v>1009</v>
      </c>
      <c r="E7944">
        <v>1</v>
      </c>
      <c r="G7944" t="str">
        <f>HYPERLINK("http://babel.hathitrust.org/cgi/pt?id=hvd.hn2iwm")</f>
        <v>http://babel.hathitrust.org/cgi/pt?id=hvd.hn2iwm</v>
      </c>
      <c r="H7944" t="str">
        <f>HYPERLINK("http://catalog.hathitrust.org/Record/011552402")</f>
        <v>http://catalog.hathitrust.org/Record/011552402</v>
      </c>
      <c r="J7944" s="1">
        <v>1851</v>
      </c>
      <c r="K7944" t="s">
        <v>5760</v>
      </c>
      <c r="L7944" t="s">
        <v>19446</v>
      </c>
    </row>
    <row r="7945" spans="1:12">
      <c r="A7945" t="s">
        <v>1010</v>
      </c>
      <c r="B7945" s="1" t="s">
        <v>1011</v>
      </c>
      <c r="F7945">
        <v>1</v>
      </c>
      <c r="G7945" t="str">
        <f>HYPERLINK("http://babel.hathitrust.org/cgi/pt?id=hvd.hw22k2")</f>
        <v>http://babel.hathitrust.org/cgi/pt?id=hvd.hw22k2</v>
      </c>
      <c r="H7945" t="str">
        <f>HYPERLINK("http://catalog.hathitrust.org/Record/011552406")</f>
        <v>http://catalog.hathitrust.org/Record/011552406</v>
      </c>
      <c r="J7945" s="1">
        <v>1856</v>
      </c>
      <c r="K7945" t="s">
        <v>1012</v>
      </c>
      <c r="L7945" t="s">
        <v>21029</v>
      </c>
    </row>
    <row r="7946" spans="1:12">
      <c r="A7946" t="s">
        <v>1013</v>
      </c>
      <c r="B7946" s="1" t="s">
        <v>1014</v>
      </c>
      <c r="F7946">
        <v>1</v>
      </c>
      <c r="G7946" t="str">
        <f>HYPERLINK("http://babel.hathitrust.org/cgi/pt?id=hvd.hw22je")</f>
        <v>http://babel.hathitrust.org/cgi/pt?id=hvd.hw22je</v>
      </c>
      <c r="H7946" t="str">
        <f>HYPERLINK("http://catalog.hathitrust.org/Record/011552408")</f>
        <v>http://catalog.hathitrust.org/Record/011552408</v>
      </c>
      <c r="J7946" s="1">
        <v>1849</v>
      </c>
      <c r="K7946" t="s">
        <v>1015</v>
      </c>
      <c r="L7946" t="s">
        <v>21029</v>
      </c>
    </row>
    <row r="7947" spans="1:12">
      <c r="A7947" t="s">
        <v>1016</v>
      </c>
      <c r="B7947" s="1" t="s">
        <v>1017</v>
      </c>
      <c r="D7947">
        <v>1</v>
      </c>
      <c r="G7947" t="str">
        <f>HYPERLINK("http://babel.hathitrust.org/cgi/pt?id=hvd.hn6ebc")</f>
        <v>http://babel.hathitrust.org/cgi/pt?id=hvd.hn6ebc</v>
      </c>
      <c r="H7947" t="str">
        <f>HYPERLINK("http://catalog.hathitrust.org/Record/011552751")</f>
        <v>http://catalog.hathitrust.org/Record/011552751</v>
      </c>
      <c r="J7947" s="1">
        <v>1846</v>
      </c>
      <c r="K7947" t="s">
        <v>1018</v>
      </c>
      <c r="L7947" t="s">
        <v>20043</v>
      </c>
    </row>
    <row r="7948" spans="1:12">
      <c r="A7948" t="s">
        <v>944</v>
      </c>
      <c r="B7948" s="1" t="s">
        <v>945</v>
      </c>
      <c r="F7948">
        <v>1</v>
      </c>
      <c r="G7948" t="str">
        <f>HYPERLINK("http://babel.hathitrust.org/cgi/pt?id=hvd.hn1ne4")</f>
        <v>http://babel.hathitrust.org/cgi/pt?id=hvd.hn1ne4</v>
      </c>
      <c r="H7948" t="str">
        <f>HYPERLINK("http://catalog.hathitrust.org/Record/011553249")</f>
        <v>http://catalog.hathitrust.org/Record/011553249</v>
      </c>
      <c r="I7948" s="1" t="s">
        <v>20916</v>
      </c>
      <c r="J7948" s="1">
        <v>1860</v>
      </c>
      <c r="K7948" t="s">
        <v>11994</v>
      </c>
      <c r="L7948" t="s">
        <v>19384</v>
      </c>
    </row>
    <row r="7949" spans="1:12">
      <c r="A7949" t="s">
        <v>946</v>
      </c>
      <c r="B7949" s="1" t="s">
        <v>945</v>
      </c>
      <c r="F7949">
        <v>1</v>
      </c>
      <c r="G7949" t="str">
        <f>HYPERLINK("http://babel.hathitrust.org/cgi/pt?id=hvd.hn1ne5")</f>
        <v>http://babel.hathitrust.org/cgi/pt?id=hvd.hn1ne5</v>
      </c>
      <c r="H7949" t="str">
        <f>HYPERLINK("http://catalog.hathitrust.org/Record/011553249")</f>
        <v>http://catalog.hathitrust.org/Record/011553249</v>
      </c>
      <c r="I7949" s="1" t="s">
        <v>20755</v>
      </c>
      <c r="J7949" s="1">
        <v>1860</v>
      </c>
      <c r="K7949" t="s">
        <v>11994</v>
      </c>
      <c r="L7949" t="s">
        <v>19384</v>
      </c>
    </row>
    <row r="7950" spans="1:12">
      <c r="A7950" t="s">
        <v>947</v>
      </c>
      <c r="B7950" s="1" t="s">
        <v>948</v>
      </c>
      <c r="E7950">
        <v>1</v>
      </c>
      <c r="F7950">
        <v>1</v>
      </c>
      <c r="G7950" t="str">
        <f>HYPERLINK("http://babel.hathitrust.org/cgi/pt?id=hvd.hn1dnb")</f>
        <v>http://babel.hathitrust.org/cgi/pt?id=hvd.hn1dnb</v>
      </c>
      <c r="H7950" t="str">
        <f>HYPERLINK("http://catalog.hathitrust.org/Record/011553399")</f>
        <v>http://catalog.hathitrust.org/Record/011553399</v>
      </c>
      <c r="J7950" s="1">
        <v>1848</v>
      </c>
      <c r="K7950" t="s">
        <v>949</v>
      </c>
      <c r="L7950" t="s">
        <v>19514</v>
      </c>
    </row>
    <row r="7951" spans="1:12">
      <c r="A7951" t="s">
        <v>950</v>
      </c>
      <c r="B7951" s="1" t="s">
        <v>951</v>
      </c>
      <c r="E7951">
        <v>1</v>
      </c>
      <c r="G7951" t="str">
        <f>HYPERLINK("http://babel.hathitrust.org/cgi/pt?id=hvd.hn5bhe")</f>
        <v>http://babel.hathitrust.org/cgi/pt?id=hvd.hn5bhe</v>
      </c>
      <c r="H7951" t="str">
        <f>HYPERLINK("http://catalog.hathitrust.org/Record/011553400")</f>
        <v>http://catalog.hathitrust.org/Record/011553400</v>
      </c>
      <c r="J7951" s="1">
        <v>1870</v>
      </c>
      <c r="K7951" t="s">
        <v>11528</v>
      </c>
    </row>
    <row r="7952" spans="1:12">
      <c r="A7952" t="s">
        <v>952</v>
      </c>
      <c r="B7952" s="1" t="s">
        <v>953</v>
      </c>
      <c r="F7952">
        <v>1</v>
      </c>
      <c r="G7952" t="str">
        <f>HYPERLINK("http://babel.hathitrust.org/cgi/pt?id=hvd.hn1dmy")</f>
        <v>http://babel.hathitrust.org/cgi/pt?id=hvd.hn1dmy</v>
      </c>
      <c r="H7952" t="str">
        <f>HYPERLINK("http://catalog.hathitrust.org/Record/011553865")</f>
        <v>http://catalog.hathitrust.org/Record/011553865</v>
      </c>
      <c r="J7952" s="1">
        <v>1853</v>
      </c>
      <c r="K7952" t="s">
        <v>4384</v>
      </c>
      <c r="L7952" t="s">
        <v>6295</v>
      </c>
    </row>
    <row r="7953" spans="1:12">
      <c r="A7953" t="s">
        <v>954</v>
      </c>
      <c r="B7953" s="1" t="s">
        <v>953</v>
      </c>
      <c r="F7953">
        <v>1</v>
      </c>
      <c r="G7953" t="str">
        <f>HYPERLINK("http://babel.hathitrust.org/cgi/pt?id=hvd.hn1dnj")</f>
        <v>http://babel.hathitrust.org/cgi/pt?id=hvd.hn1dnj</v>
      </c>
      <c r="H7953" t="str">
        <f>HYPERLINK("http://catalog.hathitrust.org/Record/011553865")</f>
        <v>http://catalog.hathitrust.org/Record/011553865</v>
      </c>
      <c r="J7953" s="1">
        <v>1853</v>
      </c>
      <c r="K7953" t="s">
        <v>4384</v>
      </c>
      <c r="L7953" t="s">
        <v>6295</v>
      </c>
    </row>
    <row r="7954" spans="1:12">
      <c r="A7954" t="s">
        <v>955</v>
      </c>
      <c r="B7954" s="1" t="s">
        <v>956</v>
      </c>
      <c r="F7954">
        <v>1</v>
      </c>
      <c r="G7954" t="str">
        <f>HYPERLINK("http://babel.hathitrust.org/cgi/pt?id=hvd.hn1jkw")</f>
        <v>http://babel.hathitrust.org/cgi/pt?id=hvd.hn1jkw</v>
      </c>
      <c r="H7954" t="str">
        <f>HYPERLINK("http://catalog.hathitrust.org/Record/011553895")</f>
        <v>http://catalog.hathitrust.org/Record/011553895</v>
      </c>
      <c r="J7954" s="1">
        <v>1871</v>
      </c>
      <c r="K7954" t="s">
        <v>13313</v>
      </c>
      <c r="L7954" t="s">
        <v>20884</v>
      </c>
    </row>
    <row r="7955" spans="1:12">
      <c r="A7955" t="s">
        <v>957</v>
      </c>
      <c r="B7955" s="1" t="s">
        <v>958</v>
      </c>
      <c r="E7955">
        <v>1</v>
      </c>
      <c r="G7955" t="str">
        <f>HYPERLINK("http://babel.hathitrust.org/cgi/pt?id=hvd.hn2nn6")</f>
        <v>http://babel.hathitrust.org/cgi/pt?id=hvd.hn2nn6</v>
      </c>
      <c r="H7955" t="str">
        <f>HYPERLINK("http://catalog.hathitrust.org/Record/011554040")</f>
        <v>http://catalog.hathitrust.org/Record/011554040</v>
      </c>
      <c r="J7955" s="1">
        <v>1840</v>
      </c>
      <c r="K7955" t="s">
        <v>959</v>
      </c>
      <c r="L7955" t="s">
        <v>11681</v>
      </c>
    </row>
    <row r="7956" spans="1:12">
      <c r="A7956" t="s">
        <v>960</v>
      </c>
      <c r="B7956" s="1" t="s">
        <v>961</v>
      </c>
      <c r="E7956">
        <v>1</v>
      </c>
      <c r="G7956" t="str">
        <f>HYPERLINK("http://babel.hathitrust.org/cgi/pt?id=hvd.hw22zi")</f>
        <v>http://babel.hathitrust.org/cgi/pt?id=hvd.hw22zi</v>
      </c>
      <c r="H7956" t="str">
        <f>HYPERLINK("http://catalog.hathitrust.org/Record/011554042")</f>
        <v>http://catalog.hathitrust.org/Record/011554042</v>
      </c>
      <c r="J7956" s="1">
        <v>1858</v>
      </c>
      <c r="K7956" t="s">
        <v>962</v>
      </c>
      <c r="L7956" t="s">
        <v>19514</v>
      </c>
    </row>
    <row r="7957" spans="1:12">
      <c r="A7957" t="s">
        <v>963</v>
      </c>
      <c r="B7957" s="1" t="s">
        <v>964</v>
      </c>
      <c r="E7957">
        <v>1</v>
      </c>
      <c r="G7957" t="str">
        <f>HYPERLINK("http://babel.hathitrust.org/cgi/pt?id=hvd.hn24kn")</f>
        <v>http://babel.hathitrust.org/cgi/pt?id=hvd.hn24kn</v>
      </c>
      <c r="H7957" t="str">
        <f>HYPERLINK("http://catalog.hathitrust.org/Record/011554116")</f>
        <v>http://catalog.hathitrust.org/Record/011554116</v>
      </c>
      <c r="J7957" s="1">
        <v>1862</v>
      </c>
      <c r="K7957" t="s">
        <v>965</v>
      </c>
      <c r="L7957" t="s">
        <v>17330</v>
      </c>
    </row>
    <row r="7958" spans="1:12">
      <c r="A7958" t="s">
        <v>966</v>
      </c>
      <c r="B7958" s="1" t="s">
        <v>967</v>
      </c>
      <c r="E7958">
        <v>1</v>
      </c>
      <c r="G7958" t="str">
        <f>HYPERLINK("http://babel.hathitrust.org/cgi/pt?id=hvd.hn1x2a")</f>
        <v>http://babel.hathitrust.org/cgi/pt?id=hvd.hn1x2a</v>
      </c>
      <c r="H7958" t="str">
        <f>HYPERLINK("http://catalog.hathitrust.org/Record/011554291")</f>
        <v>http://catalog.hathitrust.org/Record/011554291</v>
      </c>
      <c r="J7958" s="1">
        <v>1862</v>
      </c>
      <c r="K7958" t="s">
        <v>9058</v>
      </c>
      <c r="L7958" t="s">
        <v>19404</v>
      </c>
    </row>
    <row r="7959" spans="1:12">
      <c r="A7959" t="s">
        <v>968</v>
      </c>
      <c r="B7959" s="1" t="s">
        <v>969</v>
      </c>
      <c r="E7959">
        <v>1</v>
      </c>
      <c r="G7959" t="str">
        <f>HYPERLINK("http://babel.hathitrust.org/cgi/pt?id=hvd.32044097057558")</f>
        <v>http://babel.hathitrust.org/cgi/pt?id=hvd.32044097057558</v>
      </c>
      <c r="H7959" t="str">
        <f>HYPERLINK("http://catalog.hathitrust.org/Record/011556279")</f>
        <v>http://catalog.hathitrust.org/Record/011556279</v>
      </c>
      <c r="J7959" s="1">
        <v>1825</v>
      </c>
      <c r="K7959" t="s">
        <v>970</v>
      </c>
      <c r="L7959" t="s">
        <v>7672</v>
      </c>
    </row>
    <row r="7960" spans="1:12">
      <c r="A7960" t="s">
        <v>971</v>
      </c>
      <c r="B7960" s="1" t="s">
        <v>972</v>
      </c>
      <c r="F7960">
        <v>1</v>
      </c>
      <c r="G7960" t="str">
        <f>HYPERLINK("http://babel.hathitrust.org/cgi/pt?id=hvd.32044014716013")</f>
        <v>http://babel.hathitrust.org/cgi/pt?id=hvd.32044014716013</v>
      </c>
      <c r="H7960" t="str">
        <f>HYPERLINK("http://catalog.hathitrust.org/Record/011556284")</f>
        <v>http://catalog.hathitrust.org/Record/011556284</v>
      </c>
      <c r="J7960" s="1">
        <v>1844</v>
      </c>
      <c r="K7960" t="s">
        <v>973</v>
      </c>
      <c r="L7960" t="s">
        <v>19514</v>
      </c>
    </row>
    <row r="7961" spans="1:12">
      <c r="A7961" t="s">
        <v>974</v>
      </c>
      <c r="B7961" s="1" t="s">
        <v>975</v>
      </c>
      <c r="F7961">
        <v>1</v>
      </c>
      <c r="G7961" t="str">
        <f>HYPERLINK("http://babel.hathitrust.org/cgi/pt?id=hvd.hwkc3v")</f>
        <v>http://babel.hathitrust.org/cgi/pt?id=hvd.hwkc3v</v>
      </c>
      <c r="H7961" t="str">
        <f>HYPERLINK("http://catalog.hathitrust.org/Record/011556316")</f>
        <v>http://catalog.hathitrust.org/Record/011556316</v>
      </c>
      <c r="J7961" s="1">
        <v>1870</v>
      </c>
      <c r="K7961" t="s">
        <v>976</v>
      </c>
      <c r="L7961" t="s">
        <v>18991</v>
      </c>
    </row>
    <row r="7962" spans="1:12">
      <c r="A7962" t="s">
        <v>977</v>
      </c>
      <c r="B7962" s="1" t="s">
        <v>978</v>
      </c>
      <c r="F7962">
        <v>1</v>
      </c>
      <c r="G7962" t="str">
        <f>HYPERLINK("http://babel.hathitrust.org/cgi/pt?id=hvd.hn1xpi")</f>
        <v>http://babel.hathitrust.org/cgi/pt?id=hvd.hn1xpi</v>
      </c>
      <c r="H7962" t="str">
        <f>HYPERLINK("http://catalog.hathitrust.org/Record/011556412")</f>
        <v>http://catalog.hathitrust.org/Record/011556412</v>
      </c>
      <c r="J7962" s="1">
        <v>1863</v>
      </c>
      <c r="K7962" t="s">
        <v>979</v>
      </c>
      <c r="L7962" t="s">
        <v>15246</v>
      </c>
    </row>
    <row r="7963" spans="1:12">
      <c r="A7963" t="s">
        <v>980</v>
      </c>
      <c r="B7963" s="1" t="s">
        <v>978</v>
      </c>
      <c r="F7963">
        <v>1</v>
      </c>
      <c r="G7963" t="str">
        <f>HYPERLINK("http://babel.hathitrust.org/cgi/pt?id=hvd.hwhrf1")</f>
        <v>http://babel.hathitrust.org/cgi/pt?id=hvd.hwhrf1</v>
      </c>
      <c r="H7963" t="str">
        <f>HYPERLINK("http://catalog.hathitrust.org/Record/011556412")</f>
        <v>http://catalog.hathitrust.org/Record/011556412</v>
      </c>
      <c r="J7963" s="1">
        <v>1863</v>
      </c>
      <c r="K7963" t="s">
        <v>979</v>
      </c>
      <c r="L7963" t="s">
        <v>15246</v>
      </c>
    </row>
    <row r="7964" spans="1:12">
      <c r="A7964" t="s">
        <v>981</v>
      </c>
      <c r="B7964" s="1" t="s">
        <v>902</v>
      </c>
      <c r="F7964">
        <v>1</v>
      </c>
      <c r="G7964" t="str">
        <f>HYPERLINK("http://babel.hathitrust.org/cgi/pt?id=hvd.hwj9bl")</f>
        <v>http://babel.hathitrust.org/cgi/pt?id=hvd.hwj9bl</v>
      </c>
      <c r="H7964" t="str">
        <f>HYPERLINK("http://catalog.hathitrust.org/Record/011556676")</f>
        <v>http://catalog.hathitrust.org/Record/011556676</v>
      </c>
      <c r="I7964" s="1" t="s">
        <v>20755</v>
      </c>
      <c r="J7964" s="1">
        <v>1865</v>
      </c>
      <c r="K7964" t="s">
        <v>903</v>
      </c>
      <c r="L7964" t="s">
        <v>19675</v>
      </c>
    </row>
    <row r="7965" spans="1:12">
      <c r="A7965" t="s">
        <v>904</v>
      </c>
      <c r="B7965" s="1" t="s">
        <v>902</v>
      </c>
      <c r="F7965">
        <v>1</v>
      </c>
      <c r="G7965" t="str">
        <f>HYPERLINK("http://babel.hathitrust.org/cgi/pt?id=hvd.hwj9cb")</f>
        <v>http://babel.hathitrust.org/cgi/pt?id=hvd.hwj9cb</v>
      </c>
      <c r="H7965" t="str">
        <f>HYPERLINK("http://catalog.hathitrust.org/Record/011556676")</f>
        <v>http://catalog.hathitrust.org/Record/011556676</v>
      </c>
      <c r="I7965" s="1" t="s">
        <v>20916</v>
      </c>
      <c r="J7965" s="1">
        <v>1865</v>
      </c>
      <c r="K7965" t="s">
        <v>903</v>
      </c>
      <c r="L7965" t="s">
        <v>19675</v>
      </c>
    </row>
    <row r="7966" spans="1:12">
      <c r="A7966" t="s">
        <v>905</v>
      </c>
      <c r="B7966" s="1" t="s">
        <v>906</v>
      </c>
      <c r="F7966">
        <v>1</v>
      </c>
      <c r="G7966" t="str">
        <f>HYPERLINK("http://babel.hathitrust.org/cgi/pt?id=hvd.32044097043038")</f>
        <v>http://babel.hathitrust.org/cgi/pt?id=hvd.32044097043038</v>
      </c>
      <c r="H7966" t="str">
        <f>HYPERLINK("http://catalog.hathitrust.org/Record/011557244")</f>
        <v>http://catalog.hathitrust.org/Record/011557244</v>
      </c>
      <c r="J7966" s="1">
        <v>1859</v>
      </c>
      <c r="K7966" t="s">
        <v>907</v>
      </c>
      <c r="L7966" t="s">
        <v>908</v>
      </c>
    </row>
    <row r="7967" spans="1:12">
      <c r="A7967" t="s">
        <v>909</v>
      </c>
      <c r="B7967" s="1" t="s">
        <v>910</v>
      </c>
      <c r="F7967">
        <v>1</v>
      </c>
      <c r="G7967" t="str">
        <f>HYPERLINK("http://babel.hathitrust.org/cgi/pt?id=hvd.32044102770013")</f>
        <v>http://babel.hathitrust.org/cgi/pt?id=hvd.32044102770013</v>
      </c>
      <c r="H7967" t="str">
        <f>HYPERLINK("http://catalog.hathitrust.org/Record/011557653")</f>
        <v>http://catalog.hathitrust.org/Record/011557653</v>
      </c>
      <c r="J7967" s="1">
        <v>1863</v>
      </c>
      <c r="K7967" t="s">
        <v>7027</v>
      </c>
      <c r="L7967" t="s">
        <v>17959</v>
      </c>
    </row>
    <row r="7968" spans="1:12">
      <c r="A7968" t="s">
        <v>911</v>
      </c>
      <c r="B7968" s="1" t="s">
        <v>912</v>
      </c>
      <c r="F7968">
        <v>1</v>
      </c>
      <c r="G7968" t="str">
        <f>HYPERLINK("http://babel.hathitrust.org/cgi/pt?id=hvd.hn1szv")</f>
        <v>http://babel.hathitrust.org/cgi/pt?id=hvd.hn1szv</v>
      </c>
      <c r="H7968" t="str">
        <f>HYPERLINK("http://catalog.hathitrust.org/Record/011557943")</f>
        <v>http://catalog.hathitrust.org/Record/011557943</v>
      </c>
      <c r="J7968" s="1">
        <v>1853</v>
      </c>
      <c r="K7968" t="s">
        <v>913</v>
      </c>
      <c r="L7968" t="s">
        <v>6119</v>
      </c>
    </row>
    <row r="7969" spans="1:12">
      <c r="A7969" t="s">
        <v>914</v>
      </c>
      <c r="B7969" s="1" t="s">
        <v>915</v>
      </c>
      <c r="F7969">
        <v>1</v>
      </c>
      <c r="G7969" t="str">
        <f>HYPERLINK("http://babel.hathitrust.org/cgi/pt?id=hvd.hn1s6d")</f>
        <v>http://babel.hathitrust.org/cgi/pt?id=hvd.hn1s6d</v>
      </c>
      <c r="H7969" t="str">
        <f>HYPERLINK("http://catalog.hathitrust.org/Record/011557944")</f>
        <v>http://catalog.hathitrust.org/Record/011557944</v>
      </c>
      <c r="J7969" s="1">
        <v>1854</v>
      </c>
      <c r="K7969" t="s">
        <v>913</v>
      </c>
      <c r="L7969" t="s">
        <v>6119</v>
      </c>
    </row>
    <row r="7970" spans="1:12">
      <c r="A7970" t="s">
        <v>916</v>
      </c>
      <c r="B7970" s="1" t="s">
        <v>917</v>
      </c>
      <c r="F7970">
        <v>1</v>
      </c>
      <c r="G7970" t="str">
        <f>HYPERLINK("http://babel.hathitrust.org/cgi/pt?id=hvd.hx6he3")</f>
        <v>http://babel.hathitrust.org/cgi/pt?id=hvd.hx6he3</v>
      </c>
      <c r="H7970" t="str">
        <f>HYPERLINK("http://catalog.hathitrust.org/Record/011558635")</f>
        <v>http://catalog.hathitrust.org/Record/011558635</v>
      </c>
      <c r="J7970" s="1">
        <v>1856</v>
      </c>
      <c r="K7970" t="s">
        <v>918</v>
      </c>
      <c r="L7970" t="s">
        <v>18581</v>
      </c>
    </row>
    <row r="7971" spans="1:12">
      <c r="A7971" t="s">
        <v>919</v>
      </c>
      <c r="B7971" s="1" t="s">
        <v>920</v>
      </c>
      <c r="E7971">
        <v>1</v>
      </c>
      <c r="F7971">
        <v>1</v>
      </c>
      <c r="G7971" t="str">
        <f>HYPERLINK("http://babel.hathitrust.org/cgi/pt?id=hvd.hn3qwp")</f>
        <v>http://babel.hathitrust.org/cgi/pt?id=hvd.hn3qwp</v>
      </c>
      <c r="H7971" t="str">
        <f>HYPERLINK("http://catalog.hathitrust.org/Record/011559068")</f>
        <v>http://catalog.hathitrust.org/Record/011559068</v>
      </c>
      <c r="J7971" s="1">
        <v>1862</v>
      </c>
      <c r="K7971" t="s">
        <v>921</v>
      </c>
      <c r="L7971" t="s">
        <v>15662</v>
      </c>
    </row>
    <row r="7972" spans="1:12">
      <c r="A7972" t="s">
        <v>922</v>
      </c>
      <c r="B7972" s="1" t="s">
        <v>923</v>
      </c>
      <c r="D7972">
        <v>1</v>
      </c>
      <c r="G7972" t="str">
        <f>HYPERLINK("http://babel.hathitrust.org/cgi/pt?id=hvd.hn5wil")</f>
        <v>http://babel.hathitrust.org/cgi/pt?id=hvd.hn5wil</v>
      </c>
      <c r="H7972" t="str">
        <f>HYPERLINK("http://catalog.hathitrust.org/Record/011559236")</f>
        <v>http://catalog.hathitrust.org/Record/011559236</v>
      </c>
      <c r="J7972" s="1">
        <v>1854</v>
      </c>
      <c r="K7972" t="s">
        <v>924</v>
      </c>
      <c r="L7972" t="s">
        <v>19694</v>
      </c>
    </row>
    <row r="7973" spans="1:12">
      <c r="A7973" t="s">
        <v>925</v>
      </c>
      <c r="B7973" s="1" t="s">
        <v>926</v>
      </c>
      <c r="F7973">
        <v>1</v>
      </c>
      <c r="G7973" t="str">
        <f>HYPERLINK("http://babel.hathitrust.org/cgi/pt?id=hvd.hn1cdf")</f>
        <v>http://babel.hathitrust.org/cgi/pt?id=hvd.hn1cdf</v>
      </c>
      <c r="H7973" t="str">
        <f>HYPERLINK("http://catalog.hathitrust.org/Record/011559253")</f>
        <v>http://catalog.hathitrust.org/Record/011559253</v>
      </c>
      <c r="J7973" s="1">
        <v>1851</v>
      </c>
      <c r="K7973" t="s">
        <v>927</v>
      </c>
      <c r="L7973" t="s">
        <v>12785</v>
      </c>
    </row>
    <row r="7974" spans="1:12">
      <c r="A7974" t="s">
        <v>928</v>
      </c>
      <c r="B7974" s="1" t="s">
        <v>929</v>
      </c>
      <c r="E7974">
        <v>1</v>
      </c>
      <c r="G7974" t="str">
        <f>HYPERLINK("http://babel.hathitrust.org/cgi/pt?id=hvd.hn1fjn")</f>
        <v>http://babel.hathitrust.org/cgi/pt?id=hvd.hn1fjn</v>
      </c>
      <c r="H7974" t="str">
        <f>HYPERLINK("http://catalog.hathitrust.org/Record/011559290")</f>
        <v>http://catalog.hathitrust.org/Record/011559290</v>
      </c>
      <c r="J7974" s="1">
        <v>1870</v>
      </c>
      <c r="K7974" t="s">
        <v>930</v>
      </c>
      <c r="L7974" t="s">
        <v>931</v>
      </c>
    </row>
    <row r="7975" spans="1:12">
      <c r="A7975" t="s">
        <v>932</v>
      </c>
      <c r="B7975" s="1" t="s">
        <v>933</v>
      </c>
      <c r="F7975">
        <v>1</v>
      </c>
      <c r="G7975" t="str">
        <f>HYPERLINK("http://babel.hathitrust.org/cgi/pt?id=hvd.hn23ir")</f>
        <v>http://babel.hathitrust.org/cgi/pt?id=hvd.hn23ir</v>
      </c>
      <c r="H7975" t="str">
        <f>HYPERLINK("http://catalog.hathitrust.org/Record/011559295")</f>
        <v>http://catalog.hathitrust.org/Record/011559295</v>
      </c>
      <c r="J7975" s="1">
        <v>1870</v>
      </c>
      <c r="K7975" t="s">
        <v>934</v>
      </c>
      <c r="L7975" t="s">
        <v>935</v>
      </c>
    </row>
    <row r="7976" spans="1:12">
      <c r="A7976" t="s">
        <v>936</v>
      </c>
      <c r="B7976" s="1" t="s">
        <v>937</v>
      </c>
      <c r="F7976">
        <v>1</v>
      </c>
      <c r="G7976" t="str">
        <f>HYPERLINK("http://babel.hathitrust.org/cgi/pt?id=hvd.hn1dby")</f>
        <v>http://babel.hathitrust.org/cgi/pt?id=hvd.hn1dby</v>
      </c>
      <c r="H7976" t="str">
        <f>HYPERLINK("http://catalog.hathitrust.org/Record/011561860")</f>
        <v>http://catalog.hathitrust.org/Record/011561860</v>
      </c>
      <c r="J7976" s="1">
        <v>1854</v>
      </c>
      <c r="K7976" t="s">
        <v>7607</v>
      </c>
      <c r="L7976" t="s">
        <v>938</v>
      </c>
    </row>
    <row r="7977" spans="1:12">
      <c r="A7977" t="s">
        <v>939</v>
      </c>
      <c r="B7977" s="1" t="s">
        <v>940</v>
      </c>
      <c r="F7977">
        <v>1</v>
      </c>
      <c r="G7977" t="str">
        <f>HYPERLINK("http://babel.hathitrust.org/cgi/pt?id=hvd.hn1cxp")</f>
        <v>http://babel.hathitrust.org/cgi/pt?id=hvd.hn1cxp</v>
      </c>
      <c r="H7977" t="str">
        <f>HYPERLINK("http://catalog.hathitrust.org/Record/011562093")</f>
        <v>http://catalog.hathitrust.org/Record/011562093</v>
      </c>
      <c r="J7977" s="1">
        <v>1870</v>
      </c>
      <c r="K7977" t="s">
        <v>941</v>
      </c>
      <c r="L7977" t="s">
        <v>17879</v>
      </c>
    </row>
    <row r="7978" spans="1:12">
      <c r="A7978" t="s">
        <v>942</v>
      </c>
      <c r="B7978" s="1" t="s">
        <v>943</v>
      </c>
      <c r="E7978">
        <v>1</v>
      </c>
      <c r="G7978" t="str">
        <f>HYPERLINK("http://babel.hathitrust.org/cgi/pt?id=hvd.ah5kep")</f>
        <v>http://babel.hathitrust.org/cgi/pt?id=hvd.ah5kep</v>
      </c>
      <c r="H7978" t="str">
        <f>HYPERLINK("http://catalog.hathitrust.org/Record/011563525")</f>
        <v>http://catalog.hathitrust.org/Record/011563525</v>
      </c>
      <c r="J7978" s="1">
        <v>1860</v>
      </c>
      <c r="K7978" t="s">
        <v>854</v>
      </c>
    </row>
    <row r="7979" spans="1:12">
      <c r="A7979" t="s">
        <v>855</v>
      </c>
      <c r="B7979" s="1" t="s">
        <v>856</v>
      </c>
      <c r="F7979">
        <v>1</v>
      </c>
      <c r="G7979" t="str">
        <f>HYPERLINK("http://babel.hathitrust.org/cgi/pt?id=hvd.hwubf4")</f>
        <v>http://babel.hathitrust.org/cgi/pt?id=hvd.hwubf4</v>
      </c>
      <c r="H7979" t="str">
        <f>HYPERLINK("http://catalog.hathitrust.org/Record/011563942")</f>
        <v>http://catalog.hathitrust.org/Record/011563942</v>
      </c>
      <c r="J7979" s="1">
        <v>1848</v>
      </c>
      <c r="K7979" t="s">
        <v>857</v>
      </c>
      <c r="L7979" t="s">
        <v>7727</v>
      </c>
    </row>
    <row r="7980" spans="1:12">
      <c r="A7980" t="s">
        <v>858</v>
      </c>
      <c r="B7980" s="1" t="s">
        <v>859</v>
      </c>
      <c r="F7980">
        <v>1</v>
      </c>
      <c r="G7980" t="str">
        <f>HYPERLINK("http://babel.hathitrust.org/cgi/pt?id=hvd.hwskfj")</f>
        <v>http://babel.hathitrust.org/cgi/pt?id=hvd.hwskfj</v>
      </c>
      <c r="H7980" t="str">
        <f>HYPERLINK("http://catalog.hathitrust.org/Record/011563991")</f>
        <v>http://catalog.hathitrust.org/Record/011563991</v>
      </c>
      <c r="J7980" s="1">
        <v>1848</v>
      </c>
      <c r="K7980" t="s">
        <v>860</v>
      </c>
      <c r="L7980" t="s">
        <v>861</v>
      </c>
    </row>
    <row r="7981" spans="1:12">
      <c r="A7981" t="s">
        <v>862</v>
      </c>
      <c r="B7981" s="1" t="s">
        <v>863</v>
      </c>
      <c r="F7981">
        <v>1</v>
      </c>
      <c r="G7981" t="str">
        <f>HYPERLINK("http://babel.hathitrust.org/cgi/pt?id=hvd.hwknnm")</f>
        <v>http://babel.hathitrust.org/cgi/pt?id=hvd.hwknnm</v>
      </c>
      <c r="H7981" t="str">
        <f>HYPERLINK("http://catalog.hathitrust.org/Record/011564374")</f>
        <v>http://catalog.hathitrust.org/Record/011564374</v>
      </c>
      <c r="J7981" s="1">
        <v>1845</v>
      </c>
      <c r="K7981" t="s">
        <v>864</v>
      </c>
      <c r="L7981" t="s">
        <v>20026</v>
      </c>
    </row>
    <row r="7982" spans="1:12">
      <c r="A7982" t="s">
        <v>865</v>
      </c>
      <c r="B7982" s="1" t="s">
        <v>866</v>
      </c>
      <c r="F7982">
        <v>1</v>
      </c>
      <c r="G7982" t="str">
        <f>HYPERLINK("http://babel.hathitrust.org/cgi/pt?id=hvd.32044100038637")</f>
        <v>http://babel.hathitrust.org/cgi/pt?id=hvd.32044100038637</v>
      </c>
      <c r="H7982" t="str">
        <f>HYPERLINK("http://catalog.hathitrust.org/Record/011564381")</f>
        <v>http://catalog.hathitrust.org/Record/011564381</v>
      </c>
      <c r="J7982" s="1">
        <v>1851</v>
      </c>
      <c r="K7982" t="s">
        <v>867</v>
      </c>
      <c r="L7982" t="s">
        <v>6139</v>
      </c>
    </row>
    <row r="7983" spans="1:12">
      <c r="A7983" t="s">
        <v>868</v>
      </c>
      <c r="B7983" s="1" t="s">
        <v>866</v>
      </c>
      <c r="F7983">
        <v>1</v>
      </c>
      <c r="G7983" t="str">
        <f>HYPERLINK("http://babel.hathitrust.org/cgi/pt?id=hvd.hwk7jl")</f>
        <v>http://babel.hathitrust.org/cgi/pt?id=hvd.hwk7jl</v>
      </c>
      <c r="H7983" t="str">
        <f>HYPERLINK("http://catalog.hathitrust.org/Record/011564381")</f>
        <v>http://catalog.hathitrust.org/Record/011564381</v>
      </c>
      <c r="J7983" s="1">
        <v>1851</v>
      </c>
      <c r="K7983" t="s">
        <v>867</v>
      </c>
      <c r="L7983" t="s">
        <v>6139</v>
      </c>
    </row>
    <row r="7984" spans="1:12">
      <c r="A7984" t="s">
        <v>869</v>
      </c>
      <c r="B7984" s="1" t="s">
        <v>870</v>
      </c>
      <c r="F7984">
        <v>1</v>
      </c>
      <c r="G7984" t="str">
        <f>HYPERLINK("http://babel.hathitrust.org/cgi/pt?id=hvd.hwm4pp")</f>
        <v>http://babel.hathitrust.org/cgi/pt?id=hvd.hwm4pp</v>
      </c>
      <c r="H7984" t="str">
        <f>HYPERLINK("http://catalog.hathitrust.org/Record/011564707")</f>
        <v>http://catalog.hathitrust.org/Record/011564707</v>
      </c>
      <c r="J7984" s="1">
        <v>1854</v>
      </c>
      <c r="K7984" t="s">
        <v>871</v>
      </c>
      <c r="L7984" t="s">
        <v>3072</v>
      </c>
    </row>
    <row r="7985" spans="1:12">
      <c r="A7985" t="s">
        <v>872</v>
      </c>
      <c r="B7985" s="1" t="s">
        <v>873</v>
      </c>
      <c r="F7985">
        <v>1</v>
      </c>
      <c r="G7985" t="str">
        <f>HYPERLINK("http://babel.hathitrust.org/cgi/pt?id=hvd.hn1fj9")</f>
        <v>http://babel.hathitrust.org/cgi/pt?id=hvd.hn1fj9</v>
      </c>
      <c r="H7985" t="str">
        <f>HYPERLINK("http://catalog.hathitrust.org/Record/011564767")</f>
        <v>http://catalog.hathitrust.org/Record/011564767</v>
      </c>
      <c r="J7985" s="1">
        <v>1846</v>
      </c>
      <c r="K7985" t="s">
        <v>11798</v>
      </c>
      <c r="L7985" t="s">
        <v>5929</v>
      </c>
    </row>
    <row r="7986" spans="1:12">
      <c r="A7986" t="s">
        <v>874</v>
      </c>
      <c r="B7986" s="1" t="s">
        <v>873</v>
      </c>
      <c r="F7986">
        <v>1</v>
      </c>
      <c r="G7986" t="str">
        <f>HYPERLINK("http://babel.hathitrust.org/cgi/pt?id=hvd.hn24na")</f>
        <v>http://babel.hathitrust.org/cgi/pt?id=hvd.hn24na</v>
      </c>
      <c r="H7986" t="str">
        <f>HYPERLINK("http://catalog.hathitrust.org/Record/011564767")</f>
        <v>http://catalog.hathitrust.org/Record/011564767</v>
      </c>
      <c r="J7986" s="1">
        <v>1846</v>
      </c>
      <c r="K7986" t="s">
        <v>11798</v>
      </c>
      <c r="L7986" t="s">
        <v>5929</v>
      </c>
    </row>
    <row r="7987" spans="1:12">
      <c r="A7987" t="s">
        <v>875</v>
      </c>
      <c r="B7987" s="1" t="s">
        <v>873</v>
      </c>
      <c r="F7987">
        <v>1</v>
      </c>
      <c r="G7987" t="str">
        <f>HYPERLINK("http://babel.hathitrust.org/cgi/pt?id=hvd.hn24nc")</f>
        <v>http://babel.hathitrust.org/cgi/pt?id=hvd.hn24nc</v>
      </c>
      <c r="H7987" t="str">
        <f>HYPERLINK("http://catalog.hathitrust.org/Record/011564767")</f>
        <v>http://catalog.hathitrust.org/Record/011564767</v>
      </c>
      <c r="J7987" s="1">
        <v>1846</v>
      </c>
      <c r="K7987" t="s">
        <v>11798</v>
      </c>
      <c r="L7987" t="s">
        <v>5929</v>
      </c>
    </row>
    <row r="7988" spans="1:12">
      <c r="A7988" t="s">
        <v>876</v>
      </c>
      <c r="B7988" s="1" t="s">
        <v>877</v>
      </c>
      <c r="F7988">
        <v>1</v>
      </c>
      <c r="G7988" t="str">
        <f>HYPERLINK("http://babel.hathitrust.org/cgi/pt?id=hvd.hwskke")</f>
        <v>http://babel.hathitrust.org/cgi/pt?id=hvd.hwskke</v>
      </c>
      <c r="H7988" t="str">
        <f>HYPERLINK("http://catalog.hathitrust.org/Record/011564956")</f>
        <v>http://catalog.hathitrust.org/Record/011564956</v>
      </c>
      <c r="J7988" s="1">
        <v>1852</v>
      </c>
      <c r="K7988" t="s">
        <v>878</v>
      </c>
      <c r="L7988" t="s">
        <v>20391</v>
      </c>
    </row>
    <row r="7989" spans="1:12">
      <c r="A7989" t="s">
        <v>879</v>
      </c>
      <c r="B7989" s="1" t="s">
        <v>880</v>
      </c>
      <c r="E7989">
        <v>1</v>
      </c>
      <c r="G7989" t="str">
        <f>HYPERLINK("http://babel.hathitrust.org/cgi/pt?id=hvd.hwkt13")</f>
        <v>http://babel.hathitrust.org/cgi/pt?id=hvd.hwkt13</v>
      </c>
      <c r="H7989" t="str">
        <f>HYPERLINK("http://catalog.hathitrust.org/Record/011564965")</f>
        <v>http://catalog.hathitrust.org/Record/011564965</v>
      </c>
      <c r="J7989" s="1">
        <v>1869</v>
      </c>
      <c r="K7989" t="s">
        <v>881</v>
      </c>
      <c r="L7989" t="s">
        <v>20467</v>
      </c>
    </row>
    <row r="7990" spans="1:12">
      <c r="A7990" t="s">
        <v>882</v>
      </c>
      <c r="B7990" s="1" t="s">
        <v>883</v>
      </c>
      <c r="E7990">
        <v>1</v>
      </c>
      <c r="G7990" t="str">
        <f>HYPERLINK("http://babel.hathitrust.org/cgi/pt?id=hvd.hwkt37")</f>
        <v>http://babel.hathitrust.org/cgi/pt?id=hvd.hwkt37</v>
      </c>
      <c r="H7990" t="str">
        <f>HYPERLINK("http://catalog.hathitrust.org/Record/011564967")</f>
        <v>http://catalog.hathitrust.org/Record/011564967</v>
      </c>
      <c r="J7990" s="1">
        <v>1864</v>
      </c>
      <c r="K7990" t="s">
        <v>20466</v>
      </c>
      <c r="L7990" t="s">
        <v>20467</v>
      </c>
    </row>
    <row r="7991" spans="1:12">
      <c r="A7991" t="s">
        <v>884</v>
      </c>
      <c r="B7991" s="1" t="s">
        <v>885</v>
      </c>
      <c r="E7991">
        <v>1</v>
      </c>
      <c r="F7991">
        <v>1</v>
      </c>
      <c r="G7991" t="str">
        <f>HYPERLINK("http://babel.hathitrust.org/cgi/pt?id=hvd.hwsk5c")</f>
        <v>http://babel.hathitrust.org/cgi/pt?id=hvd.hwsk5c</v>
      </c>
      <c r="H7991" t="str">
        <f>HYPERLINK("http://catalog.hathitrust.org/Record/011565092")</f>
        <v>http://catalog.hathitrust.org/Record/011565092</v>
      </c>
      <c r="J7991" s="1">
        <v>1870</v>
      </c>
      <c r="K7991" t="s">
        <v>6955</v>
      </c>
      <c r="L7991" t="s">
        <v>6956</v>
      </c>
    </row>
    <row r="7992" spans="1:12">
      <c r="A7992" t="s">
        <v>886</v>
      </c>
      <c r="B7992" s="1" t="s">
        <v>887</v>
      </c>
      <c r="F7992">
        <v>1</v>
      </c>
      <c r="G7992" t="str">
        <f>HYPERLINK("http://babel.hathitrust.org/cgi/pt?id=hvd.32044097062426")</f>
        <v>http://babel.hathitrust.org/cgi/pt?id=hvd.32044097062426</v>
      </c>
      <c r="H7992" t="str">
        <f>HYPERLINK("http://catalog.hathitrust.org/Record/011565177")</f>
        <v>http://catalog.hathitrust.org/Record/011565177</v>
      </c>
      <c r="J7992" s="1">
        <v>1859</v>
      </c>
      <c r="K7992" t="s">
        <v>15753</v>
      </c>
      <c r="L7992" t="s">
        <v>15754</v>
      </c>
    </row>
    <row r="7993" spans="1:12">
      <c r="A7993" t="s">
        <v>888</v>
      </c>
      <c r="B7993" s="1" t="s">
        <v>887</v>
      </c>
      <c r="F7993">
        <v>1</v>
      </c>
      <c r="G7993" t="str">
        <f>HYPERLINK("http://babel.hathitrust.org/cgi/pt?id=hvd.hwshiw")</f>
        <v>http://babel.hathitrust.org/cgi/pt?id=hvd.hwshiw</v>
      </c>
      <c r="H7993" t="str">
        <f>HYPERLINK("http://catalog.hathitrust.org/Record/011565177")</f>
        <v>http://catalog.hathitrust.org/Record/011565177</v>
      </c>
      <c r="J7993" s="1">
        <v>1859</v>
      </c>
      <c r="K7993" t="s">
        <v>15753</v>
      </c>
      <c r="L7993" t="s">
        <v>15754</v>
      </c>
    </row>
    <row r="7994" spans="1:12">
      <c r="A7994" t="s">
        <v>889</v>
      </c>
      <c r="B7994" s="1" t="s">
        <v>890</v>
      </c>
      <c r="D7994">
        <v>1</v>
      </c>
      <c r="G7994" t="str">
        <f>HYPERLINK("http://babel.hathitrust.org/cgi/pt?id=hvd.hn1dcz")</f>
        <v>http://babel.hathitrust.org/cgi/pt?id=hvd.hn1dcz</v>
      </c>
      <c r="H7994" t="str">
        <f>HYPERLINK("http://catalog.hathitrust.org/Record/011565211")</f>
        <v>http://catalog.hathitrust.org/Record/011565211</v>
      </c>
      <c r="J7994" s="1">
        <v>1823</v>
      </c>
      <c r="K7994" t="s">
        <v>891</v>
      </c>
      <c r="L7994" t="s">
        <v>20043</v>
      </c>
    </row>
    <row r="7995" spans="1:12">
      <c r="A7995" t="s">
        <v>892</v>
      </c>
      <c r="B7995" s="1" t="s">
        <v>893</v>
      </c>
      <c r="F7995">
        <v>1</v>
      </c>
      <c r="G7995" t="str">
        <f>HYPERLINK("http://babel.hathitrust.org/cgi/pt?id=hvd.hn23hc")</f>
        <v>http://babel.hathitrust.org/cgi/pt?id=hvd.hn23hc</v>
      </c>
      <c r="H7995" t="str">
        <f>HYPERLINK("http://catalog.hathitrust.org/Record/011565327")</f>
        <v>http://catalog.hathitrust.org/Record/011565327</v>
      </c>
      <c r="J7995" s="1">
        <v>1853</v>
      </c>
      <c r="K7995" t="s">
        <v>894</v>
      </c>
      <c r="L7995" t="s">
        <v>6295</v>
      </c>
    </row>
    <row r="7996" spans="1:12">
      <c r="A7996" t="s">
        <v>895</v>
      </c>
      <c r="B7996" s="1" t="s">
        <v>896</v>
      </c>
      <c r="E7996">
        <v>1</v>
      </c>
      <c r="F7996">
        <v>1</v>
      </c>
      <c r="G7996" t="str">
        <f>HYPERLINK("http://babel.hathitrust.org/cgi/pt?id=hvd.ah3m3t")</f>
        <v>http://babel.hathitrust.org/cgi/pt?id=hvd.ah3m3t</v>
      </c>
      <c r="H7996" t="str">
        <f>HYPERLINK("http://catalog.hathitrust.org/Record/011565612")</f>
        <v>http://catalog.hathitrust.org/Record/011565612</v>
      </c>
      <c r="J7996" s="1">
        <v>1849</v>
      </c>
      <c r="K7996" t="s">
        <v>897</v>
      </c>
      <c r="L7996" t="s">
        <v>20629</v>
      </c>
    </row>
    <row r="7997" spans="1:12">
      <c r="A7997" t="s">
        <v>898</v>
      </c>
      <c r="B7997" s="1" t="s">
        <v>899</v>
      </c>
      <c r="F7997">
        <v>1</v>
      </c>
      <c r="G7997" t="str">
        <f>HYPERLINK("http://babel.hathitrust.org/cgi/pt?id=hvd.hwp99b")</f>
        <v>http://babel.hathitrust.org/cgi/pt?id=hvd.hwp99b</v>
      </c>
      <c r="H7997" t="str">
        <f>HYPERLINK("http://catalog.hathitrust.org/Record/011565796")</f>
        <v>http://catalog.hathitrust.org/Record/011565796</v>
      </c>
      <c r="J7997" s="1">
        <v>1848</v>
      </c>
      <c r="K7997" t="s">
        <v>7610</v>
      </c>
      <c r="L7997" t="s">
        <v>12659</v>
      </c>
    </row>
    <row r="7998" spans="1:12">
      <c r="A7998" t="s">
        <v>900</v>
      </c>
      <c r="B7998" s="1" t="s">
        <v>901</v>
      </c>
      <c r="E7998">
        <v>1</v>
      </c>
      <c r="G7998" t="str">
        <f>HYPERLINK("http://babel.hathitrust.org/cgi/pt?id=hvd.hn1rab")</f>
        <v>http://babel.hathitrust.org/cgi/pt?id=hvd.hn1rab</v>
      </c>
      <c r="H7998" t="str">
        <f>HYPERLINK("http://catalog.hathitrust.org/Record/011566755")</f>
        <v>http://catalog.hathitrust.org/Record/011566755</v>
      </c>
      <c r="I7998" s="1" t="s">
        <v>814</v>
      </c>
      <c r="J7998" s="1">
        <v>1850</v>
      </c>
      <c r="K7998" t="s">
        <v>813</v>
      </c>
      <c r="L7998" t="s">
        <v>11854</v>
      </c>
    </row>
    <row r="7999" spans="1:12">
      <c r="A7999" t="s">
        <v>815</v>
      </c>
      <c r="B7999" s="1" t="s">
        <v>816</v>
      </c>
      <c r="F7999">
        <v>1</v>
      </c>
      <c r="G7999" t="str">
        <f>HYPERLINK("http://babel.hathitrust.org/cgi/pt?id=hvd.hn1rq2")</f>
        <v>http://babel.hathitrust.org/cgi/pt?id=hvd.hn1rq2</v>
      </c>
      <c r="H7999" t="str">
        <f>HYPERLINK("http://catalog.hathitrust.org/Record/011567124")</f>
        <v>http://catalog.hathitrust.org/Record/011567124</v>
      </c>
      <c r="J7999" s="1">
        <v>1864</v>
      </c>
      <c r="K7999" t="s">
        <v>817</v>
      </c>
      <c r="L7999" t="s">
        <v>12718</v>
      </c>
    </row>
    <row r="8000" spans="1:12">
      <c r="A8000" t="s">
        <v>818</v>
      </c>
      <c r="B8000" s="1" t="s">
        <v>819</v>
      </c>
      <c r="F8000">
        <v>1</v>
      </c>
      <c r="G8000" t="str">
        <f>HYPERLINK("http://babel.hathitrust.org/cgi/pt?id=hvd.hn1t2i")</f>
        <v>http://babel.hathitrust.org/cgi/pt?id=hvd.hn1t2i</v>
      </c>
      <c r="H8000" t="str">
        <f>HYPERLINK("http://catalog.hathitrust.org/Record/011567125")</f>
        <v>http://catalog.hathitrust.org/Record/011567125</v>
      </c>
      <c r="J8000" s="1">
        <v>1854</v>
      </c>
      <c r="K8000" t="s">
        <v>820</v>
      </c>
      <c r="L8000" t="s">
        <v>12718</v>
      </c>
    </row>
    <row r="8001" spans="1:12">
      <c r="A8001" t="s">
        <v>821</v>
      </c>
      <c r="B8001" s="1" t="s">
        <v>822</v>
      </c>
      <c r="E8001">
        <v>1</v>
      </c>
      <c r="G8001" t="str">
        <f>HYPERLINK("http://babel.hathitrust.org/cgi/pt?id=hvd.hn5yw3")</f>
        <v>http://babel.hathitrust.org/cgi/pt?id=hvd.hn5yw3</v>
      </c>
      <c r="H8001" t="str">
        <f>HYPERLINK("http://catalog.hathitrust.org/Record/011568573")</f>
        <v>http://catalog.hathitrust.org/Record/011568573</v>
      </c>
      <c r="J8001" s="1">
        <v>1847</v>
      </c>
      <c r="K8001" t="s">
        <v>823</v>
      </c>
      <c r="L8001" t="s">
        <v>824</v>
      </c>
    </row>
    <row r="8002" spans="1:12">
      <c r="A8002" t="s">
        <v>825</v>
      </c>
      <c r="B8002" s="1" t="s">
        <v>826</v>
      </c>
      <c r="F8002">
        <v>1</v>
      </c>
      <c r="G8002" t="str">
        <f>HYPERLINK("http://babel.hathitrust.org/cgi/pt?id=hvd.hn1ssn")</f>
        <v>http://babel.hathitrust.org/cgi/pt?id=hvd.hn1ssn</v>
      </c>
      <c r="H8002" t="str">
        <f>HYPERLINK("http://catalog.hathitrust.org/Record/011569091")</f>
        <v>http://catalog.hathitrust.org/Record/011569091</v>
      </c>
      <c r="J8002" s="1">
        <v>1849</v>
      </c>
      <c r="K8002" t="s">
        <v>913</v>
      </c>
      <c r="L8002" t="s">
        <v>6119</v>
      </c>
    </row>
    <row r="8003" spans="1:12">
      <c r="A8003" t="s">
        <v>827</v>
      </c>
      <c r="B8003" s="1" t="s">
        <v>828</v>
      </c>
      <c r="F8003">
        <v>1</v>
      </c>
      <c r="G8003" t="str">
        <f>HYPERLINK("http://babel.hathitrust.org/cgi/pt?id=hvd.hn3q6h")</f>
        <v>http://babel.hathitrust.org/cgi/pt?id=hvd.hn3q6h</v>
      </c>
      <c r="H8003" t="str">
        <f>HYPERLINK("http://catalog.hathitrust.org/Record/011569116")</f>
        <v>http://catalog.hathitrust.org/Record/011569116</v>
      </c>
      <c r="J8003" s="1">
        <v>1870</v>
      </c>
      <c r="K8003" t="s">
        <v>9068</v>
      </c>
      <c r="L8003" t="s">
        <v>19080</v>
      </c>
    </row>
    <row r="8004" spans="1:12">
      <c r="A8004" t="s">
        <v>829</v>
      </c>
      <c r="B8004" s="1" t="s">
        <v>830</v>
      </c>
      <c r="F8004">
        <v>1</v>
      </c>
      <c r="G8004" t="str">
        <f>HYPERLINK("http://babel.hathitrust.org/cgi/pt?id=hvd.32044081501959")</f>
        <v>http://babel.hathitrust.org/cgi/pt?id=hvd.32044081501959</v>
      </c>
      <c r="H8004" t="str">
        <f>HYPERLINK("http://catalog.hathitrust.org/Record/011569716")</f>
        <v>http://catalog.hathitrust.org/Record/011569716</v>
      </c>
      <c r="J8004" s="1">
        <v>1864</v>
      </c>
      <c r="K8004" t="s">
        <v>831</v>
      </c>
      <c r="L8004" t="s">
        <v>12659</v>
      </c>
    </row>
    <row r="8005" spans="1:12">
      <c r="A8005" t="s">
        <v>832</v>
      </c>
      <c r="B8005" s="1" t="s">
        <v>833</v>
      </c>
      <c r="F8005">
        <v>1</v>
      </c>
      <c r="G8005" t="str">
        <f>HYPERLINK("http://babel.hathitrust.org/cgi/pt?id=hvd.32044025676198")</f>
        <v>http://babel.hathitrust.org/cgi/pt?id=hvd.32044025676198</v>
      </c>
      <c r="H8005" t="str">
        <f>HYPERLINK("http://catalog.hathitrust.org/Record/011570664")</f>
        <v>http://catalog.hathitrust.org/Record/011570664</v>
      </c>
      <c r="I8005" s="1" t="s">
        <v>835</v>
      </c>
      <c r="J8005" s="1">
        <v>1846</v>
      </c>
      <c r="K8005" t="s">
        <v>834</v>
      </c>
    </row>
    <row r="8006" spans="1:12">
      <c r="A8006" t="s">
        <v>836</v>
      </c>
      <c r="B8006" s="1" t="s">
        <v>833</v>
      </c>
      <c r="F8006">
        <v>1</v>
      </c>
      <c r="G8006" t="str">
        <f>HYPERLINK("http://babel.hathitrust.org/cgi/pt?id=hvd.32044025676206")</f>
        <v>http://babel.hathitrust.org/cgi/pt?id=hvd.32044025676206</v>
      </c>
      <c r="H8006" t="str">
        <f>HYPERLINK("http://catalog.hathitrust.org/Record/011570664")</f>
        <v>http://catalog.hathitrust.org/Record/011570664</v>
      </c>
      <c r="I8006" s="1" t="s">
        <v>837</v>
      </c>
      <c r="J8006" s="1">
        <v>1846</v>
      </c>
      <c r="K8006" t="s">
        <v>834</v>
      </c>
    </row>
    <row r="8007" spans="1:12">
      <c r="A8007" t="s">
        <v>838</v>
      </c>
      <c r="B8007" s="1" t="s">
        <v>839</v>
      </c>
      <c r="F8007">
        <v>1</v>
      </c>
      <c r="G8007" t="str">
        <f>HYPERLINK("http://babel.hathitrust.org/cgi/pt?id=uc1.b4802939")</f>
        <v>http://babel.hathitrust.org/cgi/pt?id=uc1.b4802939</v>
      </c>
      <c r="H8007" t="str">
        <f>HYPERLINK("http://catalog.hathitrust.org/Record/011589367")</f>
        <v>http://catalog.hathitrust.org/Record/011589367</v>
      </c>
      <c r="J8007" s="1">
        <v>1915</v>
      </c>
      <c r="K8007" t="s">
        <v>840</v>
      </c>
      <c r="L8007" t="s">
        <v>841</v>
      </c>
    </row>
    <row r="8008" spans="1:12">
      <c r="A8008" t="s">
        <v>842</v>
      </c>
      <c r="B8008" s="1" t="s">
        <v>843</v>
      </c>
      <c r="F8008">
        <v>1</v>
      </c>
      <c r="G8008" t="str">
        <f>HYPERLINK("http://babel.hathitrust.org/cgi/pt?id=uc1.b4822957")</f>
        <v>http://babel.hathitrust.org/cgi/pt?id=uc1.b4822957</v>
      </c>
      <c r="H8008" t="str">
        <f>HYPERLINK("http://catalog.hathitrust.org/Record/011589922")</f>
        <v>http://catalog.hathitrust.org/Record/011589922</v>
      </c>
      <c r="I8008" s="1" t="s">
        <v>20916</v>
      </c>
      <c r="J8008" s="1">
        <v>1821</v>
      </c>
      <c r="K8008" t="s">
        <v>844</v>
      </c>
      <c r="L8008" t="s">
        <v>20086</v>
      </c>
    </row>
    <row r="8009" spans="1:12">
      <c r="A8009" t="s">
        <v>845</v>
      </c>
      <c r="B8009" s="1" t="s">
        <v>843</v>
      </c>
      <c r="F8009">
        <v>1</v>
      </c>
      <c r="G8009" t="str">
        <f>HYPERLINK("http://babel.hathitrust.org/cgi/pt?id=uc1.b4822958")</f>
        <v>http://babel.hathitrust.org/cgi/pt?id=uc1.b4822958</v>
      </c>
      <c r="H8009" t="str">
        <f>HYPERLINK("http://catalog.hathitrust.org/Record/011589922")</f>
        <v>http://catalog.hathitrust.org/Record/011589922</v>
      </c>
      <c r="I8009" s="1" t="s">
        <v>20755</v>
      </c>
      <c r="J8009" s="1">
        <v>1821</v>
      </c>
      <c r="K8009" t="s">
        <v>844</v>
      </c>
      <c r="L8009" t="s">
        <v>20086</v>
      </c>
    </row>
    <row r="8010" spans="1:12">
      <c r="A8010" t="s">
        <v>846</v>
      </c>
      <c r="B8010" s="1" t="s">
        <v>843</v>
      </c>
      <c r="F8010">
        <v>1</v>
      </c>
      <c r="G8010" t="str">
        <f>HYPERLINK("http://babel.hathitrust.org/cgi/pt?id=uc1.b4822959")</f>
        <v>http://babel.hathitrust.org/cgi/pt?id=uc1.b4822959</v>
      </c>
      <c r="H8010" t="str">
        <f>HYPERLINK("http://catalog.hathitrust.org/Record/011589922")</f>
        <v>http://catalog.hathitrust.org/Record/011589922</v>
      </c>
      <c r="I8010" s="1" t="s">
        <v>20920</v>
      </c>
      <c r="J8010" s="1">
        <v>1821</v>
      </c>
      <c r="K8010" t="s">
        <v>844</v>
      </c>
      <c r="L8010" t="s">
        <v>20086</v>
      </c>
    </row>
    <row r="8011" spans="1:12">
      <c r="A8011" t="s">
        <v>847</v>
      </c>
      <c r="B8011" s="1" t="s">
        <v>848</v>
      </c>
      <c r="E8011">
        <v>1</v>
      </c>
      <c r="G8011" t="str">
        <f>HYPERLINK("http://babel.hathitrust.org/cgi/pt?id=uc1.31158007527590")</f>
        <v>http://babel.hathitrust.org/cgi/pt?id=uc1.31158007527590</v>
      </c>
      <c r="H8011" t="str">
        <f>HYPERLINK("http://catalog.hathitrust.org/Record/011590491")</f>
        <v>http://catalog.hathitrust.org/Record/011590491</v>
      </c>
      <c r="I8011" s="1" t="s">
        <v>20681</v>
      </c>
      <c r="J8011" s="1">
        <v>1831</v>
      </c>
      <c r="K8011" t="s">
        <v>13794</v>
      </c>
      <c r="L8011" t="s">
        <v>20675</v>
      </c>
    </row>
    <row r="8012" spans="1:12">
      <c r="A8012" t="s">
        <v>849</v>
      </c>
      <c r="B8012" s="1" t="s">
        <v>848</v>
      </c>
      <c r="E8012">
        <v>1</v>
      </c>
      <c r="G8012" t="str">
        <f>HYPERLINK("http://babel.hathitrust.org/cgi/pt?id=uc1.l0098676067")</f>
        <v>http://babel.hathitrust.org/cgi/pt?id=uc1.l0098676067</v>
      </c>
      <c r="H8012" t="str">
        <f>HYPERLINK("http://catalog.hathitrust.org/Record/011590491")</f>
        <v>http://catalog.hathitrust.org/Record/011590491</v>
      </c>
      <c r="I8012" s="1" t="s">
        <v>20679</v>
      </c>
      <c r="J8012" s="1">
        <v>1831</v>
      </c>
      <c r="K8012" t="s">
        <v>13794</v>
      </c>
      <c r="L8012" t="s">
        <v>20675</v>
      </c>
    </row>
    <row r="8013" spans="1:12">
      <c r="A8013" t="s">
        <v>850</v>
      </c>
      <c r="B8013" s="1" t="s">
        <v>851</v>
      </c>
      <c r="F8013">
        <v>1</v>
      </c>
      <c r="G8013" t="str">
        <f>HYPERLINK("http://babel.hathitrust.org/cgi/pt?id=uc1.b4866332")</f>
        <v>http://babel.hathitrust.org/cgi/pt?id=uc1.b4866332</v>
      </c>
      <c r="H8013" t="str">
        <f>HYPERLINK("http://catalog.hathitrust.org/Record/011594639")</f>
        <v>http://catalog.hathitrust.org/Record/011594639</v>
      </c>
      <c r="J8013" s="1">
        <v>1888</v>
      </c>
      <c r="K8013" t="s">
        <v>7840</v>
      </c>
      <c r="L8013" t="s">
        <v>7841</v>
      </c>
    </row>
    <row r="8014" spans="1:12">
      <c r="A8014" t="s">
        <v>852</v>
      </c>
      <c r="B8014" s="1" t="s">
        <v>853</v>
      </c>
      <c r="E8014">
        <v>1</v>
      </c>
      <c r="G8014" t="str">
        <f>HYPERLINK("http://babel.hathitrust.org/cgi/pt?id=uc1.l0096663364")</f>
        <v>http://babel.hathitrust.org/cgi/pt?id=uc1.l0096663364</v>
      </c>
      <c r="H8014" t="str">
        <f>HYPERLINK("http://catalog.hathitrust.org/Record/011595137")</f>
        <v>http://catalog.hathitrust.org/Record/011595137</v>
      </c>
      <c r="J8014" s="1">
        <v>1915</v>
      </c>
      <c r="K8014" t="s">
        <v>767</v>
      </c>
      <c r="L8014" t="s">
        <v>17247</v>
      </c>
    </row>
    <row r="8015" spans="1:12">
      <c r="A8015" t="s">
        <v>768</v>
      </c>
      <c r="B8015" s="1" t="s">
        <v>769</v>
      </c>
      <c r="F8015">
        <v>1</v>
      </c>
      <c r="G8015" t="str">
        <f>HYPERLINK("http://babel.hathitrust.org/cgi/pt?id=uc1.b5046191")</f>
        <v>http://babel.hathitrust.org/cgi/pt?id=uc1.b5046191</v>
      </c>
      <c r="H8015" t="str">
        <f>HYPERLINK("http://catalog.hathitrust.org/Record/011596380")</f>
        <v>http://catalog.hathitrust.org/Record/011596380</v>
      </c>
      <c r="I8015" s="1" t="s">
        <v>770</v>
      </c>
      <c r="J8015" s="1">
        <v>1913</v>
      </c>
      <c r="K8015" t="s">
        <v>19423</v>
      </c>
    </row>
    <row r="8016" spans="1:12">
      <c r="A8016" t="s">
        <v>771</v>
      </c>
      <c r="B8016" s="1" t="s">
        <v>772</v>
      </c>
      <c r="F8016">
        <v>1</v>
      </c>
      <c r="G8016" t="str">
        <f>HYPERLINK("http://babel.hathitrust.org/cgi/pt?id=uc1.b5057550")</f>
        <v>http://babel.hathitrust.org/cgi/pt?id=uc1.b5057550</v>
      </c>
      <c r="H8016" t="str">
        <f>HYPERLINK("http://catalog.hathitrust.org/Record/011596621")</f>
        <v>http://catalog.hathitrust.org/Record/011596621</v>
      </c>
      <c r="J8016" s="1">
        <v>1877</v>
      </c>
      <c r="K8016" t="s">
        <v>773</v>
      </c>
    </row>
    <row r="8017" spans="1:12">
      <c r="A8017" t="s">
        <v>774</v>
      </c>
      <c r="B8017" s="1" t="s">
        <v>775</v>
      </c>
      <c r="F8017">
        <v>1</v>
      </c>
      <c r="G8017" t="str">
        <f>HYPERLINK("http://babel.hathitrust.org/cgi/pt?id=uc1.b5060826")</f>
        <v>http://babel.hathitrust.org/cgi/pt?id=uc1.b5060826</v>
      </c>
      <c r="H8017" t="str">
        <f>HYPERLINK("http://catalog.hathitrust.org/Record/011596672")</f>
        <v>http://catalog.hathitrust.org/Record/011596672</v>
      </c>
      <c r="J8017" s="1">
        <v>1897</v>
      </c>
      <c r="K8017" t="s">
        <v>776</v>
      </c>
      <c r="L8017" t="s">
        <v>15032</v>
      </c>
    </row>
    <row r="8018" spans="1:12">
      <c r="A8018" t="s">
        <v>777</v>
      </c>
      <c r="B8018" s="1" t="s">
        <v>778</v>
      </c>
      <c r="E8018">
        <v>1</v>
      </c>
      <c r="F8018">
        <v>1</v>
      </c>
      <c r="G8018" t="str">
        <f>HYPERLINK("http://babel.hathitrust.org/cgi/pt?id=uc1.b5189976")</f>
        <v>http://babel.hathitrust.org/cgi/pt?id=uc1.b5189976</v>
      </c>
      <c r="H8018" t="str">
        <f>HYPERLINK("http://catalog.hathitrust.org/Record/011596759")</f>
        <v>http://catalog.hathitrust.org/Record/011596759</v>
      </c>
      <c r="J8018" s="1">
        <v>1874</v>
      </c>
      <c r="K8018" t="s">
        <v>779</v>
      </c>
      <c r="L8018" t="s">
        <v>18991</v>
      </c>
    </row>
    <row r="8019" spans="1:12">
      <c r="A8019" t="s">
        <v>780</v>
      </c>
      <c r="B8019" s="1" t="s">
        <v>781</v>
      </c>
      <c r="D8019">
        <v>1</v>
      </c>
      <c r="G8019" t="str">
        <f>HYPERLINK("http://babel.hathitrust.org/cgi/pt?id=hvd.32044102770088")</f>
        <v>http://babel.hathitrust.org/cgi/pt?id=hvd.32044102770088</v>
      </c>
      <c r="H8019" t="str">
        <f>HYPERLINK("http://catalog.hathitrust.org/Record/011600746")</f>
        <v>http://catalog.hathitrust.org/Record/011600746</v>
      </c>
      <c r="J8019" s="1">
        <v>1859</v>
      </c>
      <c r="K8019" t="s">
        <v>9889</v>
      </c>
      <c r="L8019" t="s">
        <v>15473</v>
      </c>
    </row>
    <row r="8020" spans="1:12">
      <c r="A8020" t="s">
        <v>782</v>
      </c>
      <c r="B8020" s="1" t="s">
        <v>783</v>
      </c>
      <c r="E8020">
        <v>1</v>
      </c>
      <c r="G8020" t="str">
        <f>HYPERLINK("http://babel.hathitrust.org/cgi/pt?id=hvd.32044018842971")</f>
        <v>http://babel.hathitrust.org/cgi/pt?id=hvd.32044018842971</v>
      </c>
      <c r="H8020" t="str">
        <f>HYPERLINK("http://catalog.hathitrust.org/Record/011600992")</f>
        <v>http://catalog.hathitrust.org/Record/011600992</v>
      </c>
      <c r="J8020" s="1">
        <v>1865</v>
      </c>
      <c r="K8020" t="s">
        <v>784</v>
      </c>
      <c r="L8020" t="s">
        <v>12960</v>
      </c>
    </row>
    <row r="8021" spans="1:12">
      <c r="A8021" t="s">
        <v>785</v>
      </c>
      <c r="B8021" s="1" t="s">
        <v>786</v>
      </c>
      <c r="F8021">
        <v>1</v>
      </c>
      <c r="G8021" t="str">
        <f>HYPERLINK("http://babel.hathitrust.org/cgi/pt?id=hvd.32044081497273")</f>
        <v>http://babel.hathitrust.org/cgi/pt?id=hvd.32044081497273</v>
      </c>
      <c r="H8021" t="str">
        <f>HYPERLINK("http://catalog.hathitrust.org/Record/011601009")</f>
        <v>http://catalog.hathitrust.org/Record/011601009</v>
      </c>
      <c r="J8021" s="1">
        <v>1854</v>
      </c>
      <c r="K8021" t="s">
        <v>787</v>
      </c>
      <c r="L8021" t="s">
        <v>4929</v>
      </c>
    </row>
    <row r="8022" spans="1:12">
      <c r="A8022" t="s">
        <v>788</v>
      </c>
      <c r="B8022" s="1" t="s">
        <v>789</v>
      </c>
      <c r="F8022">
        <v>1</v>
      </c>
      <c r="G8022" t="str">
        <f>HYPERLINK("http://babel.hathitrust.org/cgi/pt?id=hvd.32044097056832")</f>
        <v>http://babel.hathitrust.org/cgi/pt?id=hvd.32044097056832</v>
      </c>
      <c r="H8022" t="str">
        <f>HYPERLINK("http://catalog.hathitrust.org/Record/011601500")</f>
        <v>http://catalog.hathitrust.org/Record/011601500</v>
      </c>
      <c r="J8022" s="1">
        <v>1823</v>
      </c>
      <c r="K8022" t="s">
        <v>790</v>
      </c>
      <c r="L8022" t="s">
        <v>791</v>
      </c>
    </row>
    <row r="8023" spans="1:12">
      <c r="A8023" t="s">
        <v>792</v>
      </c>
      <c r="B8023" s="1" t="s">
        <v>793</v>
      </c>
      <c r="F8023">
        <v>1</v>
      </c>
      <c r="G8023" t="str">
        <f>HYPERLINK("http://babel.hathitrust.org/cgi/pt?id=hvd.32044038404117")</f>
        <v>http://babel.hathitrust.org/cgi/pt?id=hvd.32044038404117</v>
      </c>
      <c r="H8023" t="str">
        <f>HYPERLINK("http://catalog.hathitrust.org/Record/011601536")</f>
        <v>http://catalog.hathitrust.org/Record/011601536</v>
      </c>
      <c r="J8023" s="1">
        <v>1805</v>
      </c>
      <c r="K8023" t="s">
        <v>3448</v>
      </c>
      <c r="L8023" t="s">
        <v>20043</v>
      </c>
    </row>
    <row r="8024" spans="1:12">
      <c r="A8024" t="s">
        <v>794</v>
      </c>
      <c r="B8024" s="1" t="s">
        <v>793</v>
      </c>
      <c r="F8024">
        <v>1</v>
      </c>
      <c r="G8024" t="str">
        <f>HYPERLINK("http://babel.hathitrust.org/cgi/pt?id=hvd.32044038404125")</f>
        <v>http://babel.hathitrust.org/cgi/pt?id=hvd.32044038404125</v>
      </c>
      <c r="H8024" t="str">
        <f>HYPERLINK("http://catalog.hathitrust.org/Record/011601536")</f>
        <v>http://catalog.hathitrust.org/Record/011601536</v>
      </c>
      <c r="J8024" s="1">
        <v>1805</v>
      </c>
      <c r="K8024" t="s">
        <v>3448</v>
      </c>
      <c r="L8024" t="s">
        <v>20043</v>
      </c>
    </row>
    <row r="8025" spans="1:12">
      <c r="A8025" t="s">
        <v>795</v>
      </c>
      <c r="B8025" s="1" t="s">
        <v>796</v>
      </c>
      <c r="F8025">
        <v>1</v>
      </c>
      <c r="G8025" t="str">
        <f>HYPERLINK("http://babel.hathitrust.org/cgi/pt?id=hvd.32044097056568")</f>
        <v>http://babel.hathitrust.org/cgi/pt?id=hvd.32044097056568</v>
      </c>
      <c r="H8025" t="str">
        <f>HYPERLINK("http://catalog.hathitrust.org/Record/011601537")</f>
        <v>http://catalog.hathitrust.org/Record/011601537</v>
      </c>
      <c r="J8025" s="1">
        <v>1809</v>
      </c>
      <c r="K8025" t="s">
        <v>797</v>
      </c>
      <c r="L8025" t="s">
        <v>20043</v>
      </c>
    </row>
    <row r="8026" spans="1:12">
      <c r="A8026" t="s">
        <v>798</v>
      </c>
      <c r="B8026" s="1" t="s">
        <v>799</v>
      </c>
      <c r="F8026">
        <v>1</v>
      </c>
      <c r="G8026" t="str">
        <f>HYPERLINK("http://babel.hathitrust.org/cgi/pt?id=hvd.32044102771458")</f>
        <v>http://babel.hathitrust.org/cgi/pt?id=hvd.32044102771458</v>
      </c>
      <c r="H8026" t="str">
        <f>HYPERLINK("http://catalog.hathitrust.org/Record/011601542")</f>
        <v>http://catalog.hathitrust.org/Record/011601542</v>
      </c>
      <c r="J8026" s="1">
        <v>1871</v>
      </c>
      <c r="K8026" t="s">
        <v>800</v>
      </c>
      <c r="L8026" t="s">
        <v>19442</v>
      </c>
    </row>
    <row r="8027" spans="1:12">
      <c r="A8027" t="s">
        <v>801</v>
      </c>
      <c r="B8027" s="1" t="s">
        <v>802</v>
      </c>
      <c r="F8027">
        <v>1</v>
      </c>
      <c r="G8027" t="str">
        <f>HYPERLINK("http://babel.hathitrust.org/cgi/pt?id=hvd.32044081497067")</f>
        <v>http://babel.hathitrust.org/cgi/pt?id=hvd.32044081497067</v>
      </c>
      <c r="H8027" t="str">
        <f>HYPERLINK("http://catalog.hathitrust.org/Record/011601587")</f>
        <v>http://catalog.hathitrust.org/Record/011601587</v>
      </c>
      <c r="J8027" s="1">
        <v>1861</v>
      </c>
      <c r="K8027" t="s">
        <v>803</v>
      </c>
      <c r="L8027" t="s">
        <v>6119</v>
      </c>
    </row>
    <row r="8028" spans="1:12">
      <c r="A8028" t="s">
        <v>804</v>
      </c>
      <c r="B8028" s="1" t="s">
        <v>805</v>
      </c>
      <c r="F8028">
        <v>1</v>
      </c>
      <c r="G8028" t="str">
        <f>HYPERLINK("http://babel.hathitrust.org/cgi/pt?id=hvd.32044102770583")</f>
        <v>http://babel.hathitrust.org/cgi/pt?id=hvd.32044102770583</v>
      </c>
      <c r="H8028" t="str">
        <f>HYPERLINK("http://catalog.hathitrust.org/Record/011601588")</f>
        <v>http://catalog.hathitrust.org/Record/011601588</v>
      </c>
      <c r="J8028" s="1">
        <v>1869</v>
      </c>
      <c r="K8028" t="s">
        <v>806</v>
      </c>
      <c r="L8028" t="s">
        <v>12805</v>
      </c>
    </row>
    <row r="8029" spans="1:12">
      <c r="A8029" t="s">
        <v>807</v>
      </c>
      <c r="B8029" s="1" t="s">
        <v>808</v>
      </c>
      <c r="F8029">
        <v>1</v>
      </c>
      <c r="G8029" t="str">
        <f>HYPERLINK("http://babel.hathitrust.org/cgi/pt?id=hvd.32044079732996")</f>
        <v>http://babel.hathitrust.org/cgi/pt?id=hvd.32044079732996</v>
      </c>
      <c r="H8029" t="str">
        <f>HYPERLINK("http://catalog.hathitrust.org/Record/011601599")</f>
        <v>http://catalog.hathitrust.org/Record/011601599</v>
      </c>
      <c r="J8029" s="1">
        <v>1860</v>
      </c>
      <c r="K8029" t="s">
        <v>809</v>
      </c>
      <c r="L8029" t="s">
        <v>810</v>
      </c>
    </row>
    <row r="8030" spans="1:12">
      <c r="A8030" t="s">
        <v>811</v>
      </c>
      <c r="B8030" s="1" t="s">
        <v>812</v>
      </c>
      <c r="E8030">
        <v>1</v>
      </c>
      <c r="F8030">
        <v>1</v>
      </c>
      <c r="G8030" t="str">
        <f>HYPERLINK("http://babel.hathitrust.org/cgi/pt?id=hvd.32044097041479")</f>
        <v>http://babel.hathitrust.org/cgi/pt?id=hvd.32044097041479</v>
      </c>
      <c r="H8030" t="str">
        <f>HYPERLINK("http://catalog.hathitrust.org/Record/011601602")</f>
        <v>http://catalog.hathitrust.org/Record/011601602</v>
      </c>
      <c r="J8030" s="1">
        <v>1853</v>
      </c>
      <c r="K8030" t="s">
        <v>727</v>
      </c>
      <c r="L8030" t="s">
        <v>5177</v>
      </c>
    </row>
    <row r="8031" spans="1:12">
      <c r="A8031" t="s">
        <v>728</v>
      </c>
      <c r="B8031" s="1" t="s">
        <v>729</v>
      </c>
      <c r="D8031">
        <v>1</v>
      </c>
      <c r="G8031" t="str">
        <f>HYPERLINK("http://babel.hathitrust.org/cgi/pt?id=hvd.32044021076682")</f>
        <v>http://babel.hathitrust.org/cgi/pt?id=hvd.32044021076682</v>
      </c>
      <c r="H8031" t="str">
        <f>HYPERLINK("http://catalog.hathitrust.org/Record/011601670")</f>
        <v>http://catalog.hathitrust.org/Record/011601670</v>
      </c>
      <c r="J8031" s="1">
        <v>1865</v>
      </c>
      <c r="K8031" t="s">
        <v>2216</v>
      </c>
      <c r="L8031" t="s">
        <v>20331</v>
      </c>
    </row>
    <row r="8032" spans="1:12">
      <c r="A8032" t="s">
        <v>730</v>
      </c>
      <c r="B8032" s="1" t="s">
        <v>731</v>
      </c>
      <c r="D8032">
        <v>1</v>
      </c>
      <c r="G8032" t="str">
        <f>HYPERLINK("http://babel.hathitrust.org/cgi/pt?id=hvd.32044020532693")</f>
        <v>http://babel.hathitrust.org/cgi/pt?id=hvd.32044020532693</v>
      </c>
      <c r="H8032" t="str">
        <f>HYPERLINK("http://catalog.hathitrust.org/Record/011601687")</f>
        <v>http://catalog.hathitrust.org/Record/011601687</v>
      </c>
      <c r="J8032" s="1">
        <v>1866</v>
      </c>
      <c r="K8032" t="s">
        <v>2216</v>
      </c>
      <c r="L8032" t="s">
        <v>20331</v>
      </c>
    </row>
    <row r="8033" spans="1:12">
      <c r="A8033" t="s">
        <v>732</v>
      </c>
      <c r="B8033" s="1" t="s">
        <v>733</v>
      </c>
      <c r="F8033">
        <v>1</v>
      </c>
      <c r="G8033" t="str">
        <f>HYPERLINK("http://babel.hathitrust.org/cgi/pt?id=hvd.32044019028273")</f>
        <v>http://babel.hathitrust.org/cgi/pt?id=hvd.32044019028273</v>
      </c>
      <c r="H8033" t="str">
        <f>HYPERLINK("http://catalog.hathitrust.org/Record/011602015")</f>
        <v>http://catalog.hathitrust.org/Record/011602015</v>
      </c>
      <c r="J8033" s="1">
        <v>1868</v>
      </c>
      <c r="K8033" t="s">
        <v>734</v>
      </c>
      <c r="L8033" t="s">
        <v>12717</v>
      </c>
    </row>
    <row r="8034" spans="1:12">
      <c r="A8034" t="s">
        <v>735</v>
      </c>
      <c r="B8034" s="1" t="s">
        <v>733</v>
      </c>
      <c r="F8034">
        <v>1</v>
      </c>
      <c r="G8034" t="str">
        <f>HYPERLINK("http://babel.hathitrust.org/cgi/pt?id=hvd.32044105427546")</f>
        <v>http://babel.hathitrust.org/cgi/pt?id=hvd.32044105427546</v>
      </c>
      <c r="H8034" t="str">
        <f>HYPERLINK("http://catalog.hathitrust.org/Record/011602015")</f>
        <v>http://catalog.hathitrust.org/Record/011602015</v>
      </c>
      <c r="J8034" s="1">
        <v>1868</v>
      </c>
      <c r="K8034" t="s">
        <v>734</v>
      </c>
      <c r="L8034" t="s">
        <v>12717</v>
      </c>
    </row>
    <row r="8035" spans="1:12">
      <c r="A8035" t="s">
        <v>736</v>
      </c>
      <c r="B8035" s="1" t="s">
        <v>737</v>
      </c>
      <c r="F8035">
        <v>1</v>
      </c>
      <c r="G8035" t="str">
        <f>HYPERLINK("http://babel.hathitrust.org/cgi/pt?id=hvd.32044028779254")</f>
        <v>http://babel.hathitrust.org/cgi/pt?id=hvd.32044028779254</v>
      </c>
      <c r="H8035" t="str">
        <f>HYPERLINK("http://catalog.hathitrust.org/Record/011602175")</f>
        <v>http://catalog.hathitrust.org/Record/011602175</v>
      </c>
      <c r="J8035" s="1">
        <v>1864</v>
      </c>
      <c r="K8035" t="s">
        <v>738</v>
      </c>
      <c r="L8035" t="s">
        <v>5700</v>
      </c>
    </row>
    <row r="8036" spans="1:12">
      <c r="A8036" t="s">
        <v>739</v>
      </c>
      <c r="B8036" s="1" t="s">
        <v>740</v>
      </c>
      <c r="F8036">
        <v>1</v>
      </c>
      <c r="G8036" t="str">
        <f>HYPERLINK("http://babel.hathitrust.org/cgi/pt?id=hvd.32044102770054")</f>
        <v>http://babel.hathitrust.org/cgi/pt?id=hvd.32044102770054</v>
      </c>
      <c r="H8036" t="str">
        <f>HYPERLINK("http://catalog.hathitrust.org/Record/011602504")</f>
        <v>http://catalog.hathitrust.org/Record/011602504</v>
      </c>
      <c r="J8036" s="1">
        <v>1860</v>
      </c>
      <c r="K8036" t="s">
        <v>7199</v>
      </c>
      <c r="L8036" t="s">
        <v>11439</v>
      </c>
    </row>
    <row r="8037" spans="1:12">
      <c r="A8037" t="s">
        <v>741</v>
      </c>
      <c r="B8037" s="1" t="s">
        <v>742</v>
      </c>
      <c r="D8037">
        <v>1</v>
      </c>
      <c r="G8037" t="str">
        <f>HYPERLINK("http://babel.hathitrust.org/cgi/pt?id=hvd.32044102770138")</f>
        <v>http://babel.hathitrust.org/cgi/pt?id=hvd.32044102770138</v>
      </c>
      <c r="H8037" t="str">
        <f>HYPERLINK("http://catalog.hathitrust.org/Record/011602528")</f>
        <v>http://catalog.hathitrust.org/Record/011602528</v>
      </c>
      <c r="J8037" s="1">
        <v>1858</v>
      </c>
      <c r="K8037" t="s">
        <v>743</v>
      </c>
      <c r="L8037" t="s">
        <v>19694</v>
      </c>
    </row>
    <row r="8038" spans="1:12">
      <c r="A8038" t="s">
        <v>744</v>
      </c>
      <c r="B8038" s="1" t="s">
        <v>745</v>
      </c>
      <c r="F8038">
        <v>1</v>
      </c>
      <c r="G8038" t="str">
        <f>HYPERLINK("http://babel.hathitrust.org/cgi/pt?id=hvd.32044097042923")</f>
        <v>http://babel.hathitrust.org/cgi/pt?id=hvd.32044097042923</v>
      </c>
      <c r="H8038" t="str">
        <f>HYPERLINK("http://catalog.hathitrust.org/Record/011602554")</f>
        <v>http://catalog.hathitrust.org/Record/011602554</v>
      </c>
      <c r="J8038" s="1">
        <v>1858</v>
      </c>
      <c r="K8038" t="s">
        <v>746</v>
      </c>
      <c r="L8038" t="s">
        <v>747</v>
      </c>
    </row>
    <row r="8039" spans="1:12">
      <c r="A8039" t="s">
        <v>748</v>
      </c>
      <c r="B8039" s="1" t="s">
        <v>749</v>
      </c>
      <c r="F8039">
        <v>1</v>
      </c>
      <c r="G8039" t="str">
        <f>HYPERLINK("http://babel.hathitrust.org/cgi/pt?id=hvd.32044102787041")</f>
        <v>http://babel.hathitrust.org/cgi/pt?id=hvd.32044102787041</v>
      </c>
      <c r="H8039" t="str">
        <f>HYPERLINK("http://catalog.hathitrust.org/Record/011602572")</f>
        <v>http://catalog.hathitrust.org/Record/011602572</v>
      </c>
      <c r="J8039" s="1">
        <v>1851</v>
      </c>
      <c r="K8039" t="s">
        <v>750</v>
      </c>
      <c r="L8039" t="s">
        <v>4564</v>
      </c>
    </row>
    <row r="8040" spans="1:12">
      <c r="A8040" t="s">
        <v>751</v>
      </c>
      <c r="B8040" s="1" t="s">
        <v>752</v>
      </c>
      <c r="D8040">
        <v>1</v>
      </c>
      <c r="G8040" t="str">
        <f>HYPERLINK("http://babel.hathitrust.org/cgi/pt?id=hvd.32044086679164")</f>
        <v>http://babel.hathitrust.org/cgi/pt?id=hvd.32044086679164</v>
      </c>
      <c r="H8040" t="str">
        <f>HYPERLINK("http://catalog.hathitrust.org/Record/011602602")</f>
        <v>http://catalog.hathitrust.org/Record/011602602</v>
      </c>
      <c r="J8040" s="1">
        <v>1847</v>
      </c>
      <c r="K8040" t="s">
        <v>753</v>
      </c>
      <c r="L8040" t="s">
        <v>754</v>
      </c>
    </row>
    <row r="8041" spans="1:12">
      <c r="A8041" t="s">
        <v>755</v>
      </c>
      <c r="B8041" s="1" t="s">
        <v>756</v>
      </c>
      <c r="F8041">
        <v>1</v>
      </c>
      <c r="G8041" t="str">
        <f>HYPERLINK("http://babel.hathitrust.org/cgi/pt?id=hvd.32044081497331")</f>
        <v>http://babel.hathitrust.org/cgi/pt?id=hvd.32044081497331</v>
      </c>
      <c r="H8041" t="str">
        <f>HYPERLINK("http://catalog.hathitrust.org/Record/011602619")</f>
        <v>http://catalog.hathitrust.org/Record/011602619</v>
      </c>
      <c r="J8041" s="1">
        <v>1860</v>
      </c>
      <c r="K8041" t="s">
        <v>757</v>
      </c>
      <c r="L8041" t="s">
        <v>11955</v>
      </c>
    </row>
    <row r="8042" spans="1:12">
      <c r="A8042" t="s">
        <v>758</v>
      </c>
      <c r="B8042" s="1" t="s">
        <v>759</v>
      </c>
      <c r="F8042">
        <v>1</v>
      </c>
      <c r="G8042" t="str">
        <f>HYPERLINK("http://babel.hathitrust.org/cgi/pt?id=hvd.32044102845971")</f>
        <v>http://babel.hathitrust.org/cgi/pt?id=hvd.32044102845971</v>
      </c>
      <c r="H8042" t="str">
        <f>HYPERLINK("http://catalog.hathitrust.org/Record/011602702")</f>
        <v>http://catalog.hathitrust.org/Record/011602702</v>
      </c>
      <c r="J8042" s="1">
        <v>1849</v>
      </c>
      <c r="K8042" t="s">
        <v>18884</v>
      </c>
      <c r="L8042" t="s">
        <v>18885</v>
      </c>
    </row>
    <row r="8043" spans="1:12">
      <c r="A8043" t="s">
        <v>760</v>
      </c>
      <c r="B8043" s="1" t="s">
        <v>761</v>
      </c>
      <c r="F8043">
        <v>1</v>
      </c>
      <c r="G8043" t="str">
        <f>HYPERLINK("http://babel.hathitrust.org/cgi/pt?id=hvd.hxjgcb")</f>
        <v>http://babel.hathitrust.org/cgi/pt?id=hvd.hxjgcb</v>
      </c>
      <c r="H8043" t="str">
        <f>HYPERLINK("http://catalog.hathitrust.org/Record/011602716")</f>
        <v>http://catalog.hathitrust.org/Record/011602716</v>
      </c>
      <c r="J8043" s="1">
        <v>1826</v>
      </c>
      <c r="K8043" t="s">
        <v>1299</v>
      </c>
      <c r="L8043" t="s">
        <v>1300</v>
      </c>
    </row>
    <row r="8044" spans="1:12">
      <c r="A8044" t="s">
        <v>762</v>
      </c>
      <c r="B8044" s="1" t="s">
        <v>763</v>
      </c>
      <c r="E8044">
        <v>1</v>
      </c>
      <c r="G8044" t="str">
        <f>HYPERLINK("http://babel.hathitrust.org/cgi/pt?id=hvd.32044097041644")</f>
        <v>http://babel.hathitrust.org/cgi/pt?id=hvd.32044097041644</v>
      </c>
      <c r="H8044" t="str">
        <f>HYPERLINK("http://catalog.hathitrust.org/Record/011602724")</f>
        <v>http://catalog.hathitrust.org/Record/011602724</v>
      </c>
      <c r="J8044" s="1">
        <v>1856</v>
      </c>
      <c r="K8044" t="s">
        <v>764</v>
      </c>
      <c r="L8044" t="s">
        <v>15028</v>
      </c>
    </row>
    <row r="8045" spans="1:12">
      <c r="A8045" t="s">
        <v>765</v>
      </c>
      <c r="B8045" s="1" t="s">
        <v>766</v>
      </c>
      <c r="E8045">
        <v>1</v>
      </c>
      <c r="F8045">
        <v>1</v>
      </c>
      <c r="G8045" t="str">
        <f>HYPERLINK("http://babel.hathitrust.org/cgi/pt?id=hvd.32044097041503")</f>
        <v>http://babel.hathitrust.org/cgi/pt?id=hvd.32044097041503</v>
      </c>
      <c r="H8045" t="str">
        <f>HYPERLINK("http://catalog.hathitrust.org/Record/011602808")</f>
        <v>http://catalog.hathitrust.org/Record/011602808</v>
      </c>
      <c r="J8045" s="1">
        <v>1855</v>
      </c>
      <c r="K8045" t="s">
        <v>673</v>
      </c>
      <c r="L8045" t="s">
        <v>5177</v>
      </c>
    </row>
    <row r="8046" spans="1:12">
      <c r="A8046" t="s">
        <v>674</v>
      </c>
      <c r="B8046" s="1" t="s">
        <v>675</v>
      </c>
      <c r="F8046">
        <v>1</v>
      </c>
      <c r="G8046" t="str">
        <f>HYPERLINK("http://babel.hathitrust.org/cgi/pt?id=hvd.32044102770633")</f>
        <v>http://babel.hathitrust.org/cgi/pt?id=hvd.32044102770633</v>
      </c>
      <c r="H8046" t="str">
        <f>HYPERLINK("http://catalog.hathitrust.org/Record/011603066")</f>
        <v>http://catalog.hathitrust.org/Record/011603066</v>
      </c>
      <c r="J8046" s="1">
        <v>1863</v>
      </c>
      <c r="K8046" t="s">
        <v>11567</v>
      </c>
      <c r="L8046" t="s">
        <v>11568</v>
      </c>
    </row>
    <row r="8047" spans="1:12">
      <c r="A8047" t="s">
        <v>676</v>
      </c>
      <c r="B8047" s="1" t="s">
        <v>677</v>
      </c>
      <c r="E8047">
        <v>1</v>
      </c>
      <c r="F8047">
        <v>1</v>
      </c>
      <c r="G8047" t="str">
        <f>HYPERLINK("http://babel.hathitrust.org/cgi/pt?id=hvd.32044097071633")</f>
        <v>http://babel.hathitrust.org/cgi/pt?id=hvd.32044097071633</v>
      </c>
      <c r="H8047" t="str">
        <f>HYPERLINK("http://catalog.hathitrust.org/Record/011603070")</f>
        <v>http://catalog.hathitrust.org/Record/011603070</v>
      </c>
      <c r="J8047" s="1">
        <v>1849</v>
      </c>
      <c r="K8047" t="s">
        <v>4208</v>
      </c>
      <c r="L8047" t="s">
        <v>4209</v>
      </c>
    </row>
    <row r="8048" spans="1:12">
      <c r="A8048" t="s">
        <v>678</v>
      </c>
      <c r="B8048" s="1" t="s">
        <v>679</v>
      </c>
      <c r="F8048">
        <v>1</v>
      </c>
      <c r="G8048" t="str">
        <f>HYPERLINK("http://babel.hathitrust.org/cgi/pt?id=hvd.32044102854429")</f>
        <v>http://babel.hathitrust.org/cgi/pt?id=hvd.32044102854429</v>
      </c>
      <c r="H8048" t="str">
        <f>HYPERLINK("http://catalog.hathitrust.org/Record/011603071")</f>
        <v>http://catalog.hathitrust.org/Record/011603071</v>
      </c>
      <c r="J8048" s="1">
        <v>1863</v>
      </c>
      <c r="K8048" t="s">
        <v>11567</v>
      </c>
      <c r="L8048" t="s">
        <v>11568</v>
      </c>
    </row>
    <row r="8049" spans="1:12">
      <c r="A8049" t="s">
        <v>680</v>
      </c>
      <c r="B8049" s="1" t="s">
        <v>681</v>
      </c>
      <c r="D8049">
        <v>1</v>
      </c>
      <c r="G8049" t="str">
        <f>HYPERLINK("http://babel.hathitrust.org/cgi/pt?id=hvd.32044102845955")</f>
        <v>http://babel.hathitrust.org/cgi/pt?id=hvd.32044102845955</v>
      </c>
      <c r="H8049" t="str">
        <f>HYPERLINK("http://catalog.hathitrust.org/Record/011603128")</f>
        <v>http://catalog.hathitrust.org/Record/011603128</v>
      </c>
      <c r="J8049" s="1">
        <v>1847</v>
      </c>
      <c r="K8049" t="s">
        <v>682</v>
      </c>
      <c r="L8049" t="s">
        <v>15473</v>
      </c>
    </row>
    <row r="8050" spans="1:12">
      <c r="A8050" t="s">
        <v>683</v>
      </c>
      <c r="B8050" s="1" t="s">
        <v>684</v>
      </c>
      <c r="F8050">
        <v>1</v>
      </c>
      <c r="G8050" t="str">
        <f>HYPERLINK("http://babel.hathitrust.org/cgi/pt?id=hvd.32044102771466")</f>
        <v>http://babel.hathitrust.org/cgi/pt?id=hvd.32044102771466</v>
      </c>
      <c r="H8050" t="str">
        <f>HYPERLINK("http://catalog.hathitrust.org/Record/011603132")</f>
        <v>http://catalog.hathitrust.org/Record/011603132</v>
      </c>
      <c r="J8050" s="1">
        <v>1871</v>
      </c>
      <c r="K8050" t="s">
        <v>685</v>
      </c>
      <c r="L8050" t="s">
        <v>19442</v>
      </c>
    </row>
    <row r="8051" spans="1:12">
      <c r="A8051" t="s">
        <v>686</v>
      </c>
      <c r="B8051" s="1" t="s">
        <v>687</v>
      </c>
      <c r="F8051">
        <v>1</v>
      </c>
      <c r="G8051" t="str">
        <f>HYPERLINK("http://babel.hathitrust.org/cgi/pt?id=hvd.32044081501884")</f>
        <v>http://babel.hathitrust.org/cgi/pt?id=hvd.32044081501884</v>
      </c>
      <c r="H8051" t="str">
        <f>HYPERLINK("http://catalog.hathitrust.org/Record/011603136")</f>
        <v>http://catalog.hathitrust.org/Record/011603136</v>
      </c>
      <c r="J8051" s="1">
        <v>1866</v>
      </c>
      <c r="K8051" t="s">
        <v>4427</v>
      </c>
      <c r="L8051" t="s">
        <v>19442</v>
      </c>
    </row>
    <row r="8052" spans="1:12">
      <c r="A8052" t="s">
        <v>688</v>
      </c>
      <c r="B8052" s="1" t="s">
        <v>689</v>
      </c>
      <c r="F8052">
        <v>1</v>
      </c>
      <c r="G8052" t="str">
        <f>HYPERLINK("http://babel.hathitrust.org/cgi/pt?id=hvd.32044102787173")</f>
        <v>http://babel.hathitrust.org/cgi/pt?id=hvd.32044102787173</v>
      </c>
      <c r="H8052" t="str">
        <f>HYPERLINK("http://catalog.hathitrust.org/Record/011603296")</f>
        <v>http://catalog.hathitrust.org/Record/011603296</v>
      </c>
      <c r="J8052" s="1">
        <v>1831</v>
      </c>
      <c r="K8052" t="s">
        <v>690</v>
      </c>
      <c r="L8052" t="s">
        <v>691</v>
      </c>
    </row>
    <row r="8053" spans="1:12">
      <c r="A8053" t="s">
        <v>692</v>
      </c>
      <c r="B8053" s="1" t="s">
        <v>693</v>
      </c>
      <c r="F8053">
        <v>1</v>
      </c>
      <c r="G8053" t="str">
        <f>HYPERLINK("http://babel.hathitrust.org/cgi/pt?id=hvd.32044097056899")</f>
        <v>http://babel.hathitrust.org/cgi/pt?id=hvd.32044097056899</v>
      </c>
      <c r="H8053" t="str">
        <f>HYPERLINK("http://catalog.hathitrust.org/Record/011603309")</f>
        <v>http://catalog.hathitrust.org/Record/011603309</v>
      </c>
      <c r="J8053" s="1">
        <v>1821</v>
      </c>
      <c r="K8053" t="s">
        <v>5970</v>
      </c>
      <c r="L8053" t="s">
        <v>20043</v>
      </c>
    </row>
    <row r="8054" spans="1:12">
      <c r="A8054" t="s">
        <v>694</v>
      </c>
      <c r="B8054" s="1" t="s">
        <v>695</v>
      </c>
      <c r="E8054">
        <v>1</v>
      </c>
      <c r="F8054">
        <v>1</v>
      </c>
      <c r="G8054" t="str">
        <f>HYPERLINK("http://babel.hathitrust.org/cgi/pt?id=hvd.32044097041578")</f>
        <v>http://babel.hathitrust.org/cgi/pt?id=hvd.32044097041578</v>
      </c>
      <c r="H8054" t="str">
        <f>HYPERLINK("http://catalog.hathitrust.org/Record/011603310")</f>
        <v>http://catalog.hathitrust.org/Record/011603310</v>
      </c>
      <c r="J8054" s="1">
        <v>1854</v>
      </c>
      <c r="K8054" t="s">
        <v>5684</v>
      </c>
      <c r="L8054" t="s">
        <v>19446</v>
      </c>
    </row>
    <row r="8055" spans="1:12">
      <c r="A8055" t="s">
        <v>696</v>
      </c>
      <c r="B8055" s="1" t="s">
        <v>697</v>
      </c>
      <c r="F8055">
        <v>1</v>
      </c>
      <c r="G8055" t="str">
        <f>HYPERLINK("http://babel.hathitrust.org/cgi/pt?id=hvd.32044004825881")</f>
        <v>http://babel.hathitrust.org/cgi/pt?id=hvd.32044004825881</v>
      </c>
      <c r="H8055" t="str">
        <f>HYPERLINK("http://catalog.hathitrust.org/Record/011603389")</f>
        <v>http://catalog.hathitrust.org/Record/011603389</v>
      </c>
      <c r="J8055" s="1">
        <v>1851</v>
      </c>
      <c r="K8055" t="s">
        <v>698</v>
      </c>
      <c r="L8055" t="s">
        <v>699</v>
      </c>
    </row>
    <row r="8056" spans="1:12">
      <c r="A8056" t="s">
        <v>700</v>
      </c>
      <c r="B8056" s="1" t="s">
        <v>701</v>
      </c>
      <c r="F8056">
        <v>1</v>
      </c>
      <c r="G8056" t="str">
        <f>HYPERLINK("http://babel.hathitrust.org/cgi/pt?id=hvd.32044102769742")</f>
        <v>http://babel.hathitrust.org/cgi/pt?id=hvd.32044102769742</v>
      </c>
      <c r="H8056" t="str">
        <f>HYPERLINK("http://catalog.hathitrust.org/Record/011603424")</f>
        <v>http://catalog.hathitrust.org/Record/011603424</v>
      </c>
      <c r="J8056" s="1">
        <v>1871</v>
      </c>
      <c r="K8056" t="s">
        <v>702</v>
      </c>
      <c r="L8056" t="s">
        <v>17959</v>
      </c>
    </row>
    <row r="8057" spans="1:12">
      <c r="A8057" t="s">
        <v>703</v>
      </c>
      <c r="B8057" s="1" t="s">
        <v>704</v>
      </c>
      <c r="F8057">
        <v>1</v>
      </c>
      <c r="G8057" t="str">
        <f>HYPERLINK("http://babel.hathitrust.org/cgi/pt?id=hvd.32044102770070")</f>
        <v>http://babel.hathitrust.org/cgi/pt?id=hvd.32044102770070</v>
      </c>
      <c r="H8057" t="str">
        <f>HYPERLINK("http://catalog.hathitrust.org/Record/011603430")</f>
        <v>http://catalog.hathitrust.org/Record/011603430</v>
      </c>
      <c r="J8057" s="1">
        <v>1859</v>
      </c>
      <c r="K8057" t="s">
        <v>705</v>
      </c>
      <c r="L8057" t="s">
        <v>17959</v>
      </c>
    </row>
    <row r="8058" spans="1:12">
      <c r="A8058" t="s">
        <v>706</v>
      </c>
      <c r="B8058" s="1" t="s">
        <v>707</v>
      </c>
      <c r="F8058">
        <v>1</v>
      </c>
      <c r="G8058" t="str">
        <f>HYPERLINK("http://babel.hathitrust.org/cgi/pt?id=hvd.32044102846144")</f>
        <v>http://babel.hathitrust.org/cgi/pt?id=hvd.32044102846144</v>
      </c>
      <c r="H8058" t="str">
        <f>HYPERLINK("http://catalog.hathitrust.org/Record/011603431")</f>
        <v>http://catalog.hathitrust.org/Record/011603431</v>
      </c>
      <c r="J8058" s="1">
        <v>1857</v>
      </c>
      <c r="K8058" t="s">
        <v>7027</v>
      </c>
      <c r="L8058" t="s">
        <v>17959</v>
      </c>
    </row>
    <row r="8059" spans="1:12">
      <c r="A8059" t="s">
        <v>708</v>
      </c>
      <c r="B8059" s="1" t="s">
        <v>709</v>
      </c>
      <c r="F8059">
        <v>1</v>
      </c>
      <c r="G8059" t="str">
        <f>HYPERLINK("http://babel.hathitrust.org/cgi/pt?id=hvd.32044102770112")</f>
        <v>http://babel.hathitrust.org/cgi/pt?id=hvd.32044102770112</v>
      </c>
      <c r="H8059" t="str">
        <f>HYPERLINK("http://catalog.hathitrust.org/Record/011603432")</f>
        <v>http://catalog.hathitrust.org/Record/011603432</v>
      </c>
      <c r="J8059" s="1">
        <v>1858</v>
      </c>
      <c r="K8059" t="s">
        <v>1215</v>
      </c>
      <c r="L8059" t="s">
        <v>17959</v>
      </c>
    </row>
    <row r="8060" spans="1:12">
      <c r="A8060" t="s">
        <v>710</v>
      </c>
      <c r="B8060" s="1" t="s">
        <v>711</v>
      </c>
      <c r="F8060">
        <v>1</v>
      </c>
      <c r="G8060" t="str">
        <f>HYPERLINK("http://babel.hathitrust.org/cgi/pt?id=hvd.32044102846110")</f>
        <v>http://babel.hathitrust.org/cgi/pt?id=hvd.32044102846110</v>
      </c>
      <c r="H8060" t="str">
        <f>HYPERLINK("http://catalog.hathitrust.org/Record/011603446")</f>
        <v>http://catalog.hathitrust.org/Record/011603446</v>
      </c>
      <c r="J8060" s="1">
        <v>1856</v>
      </c>
      <c r="K8060" t="s">
        <v>2471</v>
      </c>
      <c r="L8060" t="s">
        <v>7106</v>
      </c>
    </row>
    <row r="8061" spans="1:12">
      <c r="A8061" t="s">
        <v>712</v>
      </c>
      <c r="B8061" s="1" t="s">
        <v>713</v>
      </c>
      <c r="F8061">
        <v>1</v>
      </c>
      <c r="G8061" t="str">
        <f>HYPERLINK("http://babel.hathitrust.org/cgi/pt?id=hvd.32044102771433")</f>
        <v>http://babel.hathitrust.org/cgi/pt?id=hvd.32044102771433</v>
      </c>
      <c r="H8061" t="str">
        <f>HYPERLINK("http://catalog.hathitrust.org/Record/011603466")</f>
        <v>http://catalog.hathitrust.org/Record/011603466</v>
      </c>
      <c r="J8061" s="1">
        <v>1871</v>
      </c>
      <c r="K8061" t="s">
        <v>714</v>
      </c>
      <c r="L8061" t="s">
        <v>5503</v>
      </c>
    </row>
    <row r="8062" spans="1:12">
      <c r="A8062" t="s">
        <v>715</v>
      </c>
      <c r="B8062" s="1" t="s">
        <v>716</v>
      </c>
      <c r="F8062">
        <v>1</v>
      </c>
      <c r="G8062" t="str">
        <f>HYPERLINK("http://babel.hathitrust.org/cgi/pt?id=hvd.32044097071591")</f>
        <v>http://babel.hathitrust.org/cgi/pt?id=hvd.32044097071591</v>
      </c>
      <c r="H8062" t="str">
        <f>HYPERLINK("http://catalog.hathitrust.org/Record/011603479")</f>
        <v>http://catalog.hathitrust.org/Record/011603479</v>
      </c>
      <c r="J8062" s="1">
        <v>1850</v>
      </c>
      <c r="K8062" t="s">
        <v>11335</v>
      </c>
      <c r="L8062" t="s">
        <v>15292</v>
      </c>
    </row>
    <row r="8063" spans="1:12">
      <c r="A8063" t="s">
        <v>717</v>
      </c>
      <c r="B8063" s="1" t="s">
        <v>718</v>
      </c>
      <c r="E8063">
        <v>1</v>
      </c>
      <c r="G8063" t="str">
        <f>HYPERLINK("http://babel.hathitrust.org/cgi/pt?id=hvd.32044081497158")</f>
        <v>http://babel.hathitrust.org/cgi/pt?id=hvd.32044081497158</v>
      </c>
      <c r="H8063" t="str">
        <f>HYPERLINK("http://catalog.hathitrust.org/Record/011603557")</f>
        <v>http://catalog.hathitrust.org/Record/011603557</v>
      </c>
      <c r="J8063" s="1">
        <v>1861</v>
      </c>
      <c r="K8063" t="s">
        <v>719</v>
      </c>
      <c r="L8063" t="s">
        <v>11568</v>
      </c>
    </row>
    <row r="8064" spans="1:12">
      <c r="A8064" t="s">
        <v>720</v>
      </c>
      <c r="B8064" s="1" t="s">
        <v>721</v>
      </c>
      <c r="D8064">
        <v>1</v>
      </c>
      <c r="G8064" t="str">
        <f>HYPERLINK("http://babel.hathitrust.org/cgi/pt?id=hvd.32044097056824")</f>
        <v>http://babel.hathitrust.org/cgi/pt?id=hvd.32044097056824</v>
      </c>
      <c r="H8064" t="str">
        <f>HYPERLINK("http://catalog.hathitrust.org/Record/011603647")</f>
        <v>http://catalog.hathitrust.org/Record/011603647</v>
      </c>
      <c r="J8064" s="1">
        <v>1824</v>
      </c>
      <c r="K8064" t="s">
        <v>722</v>
      </c>
      <c r="L8064" t="s">
        <v>20043</v>
      </c>
    </row>
    <row r="8065" spans="1:12">
      <c r="A8065" t="s">
        <v>723</v>
      </c>
      <c r="B8065" s="1" t="s">
        <v>724</v>
      </c>
      <c r="D8065">
        <v>1</v>
      </c>
      <c r="G8065" t="str">
        <f>HYPERLINK("http://babel.hathitrust.org/cgi/pt?id=hvd.32044097058440")</f>
        <v>http://babel.hathitrust.org/cgi/pt?id=hvd.32044097058440</v>
      </c>
      <c r="H8065" t="str">
        <f>HYPERLINK("http://catalog.hathitrust.org/Record/011603648")</f>
        <v>http://catalog.hathitrust.org/Record/011603648</v>
      </c>
      <c r="J8065" s="1">
        <v>1827</v>
      </c>
      <c r="K8065" t="s">
        <v>12224</v>
      </c>
      <c r="L8065" t="s">
        <v>20043</v>
      </c>
    </row>
    <row r="8066" spans="1:12">
      <c r="A8066" t="s">
        <v>725</v>
      </c>
      <c r="B8066" s="1" t="s">
        <v>726</v>
      </c>
      <c r="D8066">
        <v>1</v>
      </c>
      <c r="G8066" t="str">
        <f>HYPERLINK("http://babel.hathitrust.org/cgi/pt?id=hvd.32044102787165")</f>
        <v>http://babel.hathitrust.org/cgi/pt?id=hvd.32044102787165</v>
      </c>
      <c r="H8066" t="str">
        <f>HYPERLINK("http://catalog.hathitrust.org/Record/011603649")</f>
        <v>http://catalog.hathitrust.org/Record/011603649</v>
      </c>
      <c r="J8066" s="1">
        <v>1830</v>
      </c>
      <c r="K8066" t="s">
        <v>628</v>
      </c>
      <c r="L8066" t="s">
        <v>20043</v>
      </c>
    </row>
    <row r="8067" spans="1:12">
      <c r="A8067" t="s">
        <v>629</v>
      </c>
      <c r="B8067" s="1" t="s">
        <v>630</v>
      </c>
      <c r="D8067">
        <v>1</v>
      </c>
      <c r="G8067" t="str">
        <f>HYPERLINK("http://babel.hathitrust.org/cgi/pt?id=hvd.32044097079867")</f>
        <v>http://babel.hathitrust.org/cgi/pt?id=hvd.32044097079867</v>
      </c>
      <c r="H8067" t="str">
        <f>HYPERLINK("http://catalog.hathitrust.org/Record/011603650")</f>
        <v>http://catalog.hathitrust.org/Record/011603650</v>
      </c>
      <c r="J8067" s="1">
        <v>1844</v>
      </c>
      <c r="K8067" t="s">
        <v>631</v>
      </c>
      <c r="L8067" t="s">
        <v>20043</v>
      </c>
    </row>
    <row r="8068" spans="1:12">
      <c r="A8068" t="s">
        <v>632</v>
      </c>
      <c r="B8068" s="1" t="s">
        <v>633</v>
      </c>
      <c r="E8068">
        <v>1</v>
      </c>
      <c r="G8068" t="str">
        <f>HYPERLINK("http://babel.hathitrust.org/cgi/pt?id=hvd.32044097056667")</f>
        <v>http://babel.hathitrust.org/cgi/pt?id=hvd.32044097056667</v>
      </c>
      <c r="H8068" t="str">
        <f>HYPERLINK("http://catalog.hathitrust.org/Record/011603666")</f>
        <v>http://catalog.hathitrust.org/Record/011603666</v>
      </c>
      <c r="J8068" s="1">
        <v>1815</v>
      </c>
      <c r="K8068" t="s">
        <v>634</v>
      </c>
      <c r="L8068" t="s">
        <v>20043</v>
      </c>
    </row>
    <row r="8069" spans="1:12">
      <c r="A8069" t="s">
        <v>635</v>
      </c>
      <c r="B8069" s="1" t="s">
        <v>636</v>
      </c>
      <c r="F8069">
        <v>1</v>
      </c>
      <c r="G8069" t="str">
        <f>HYPERLINK("http://babel.hathitrust.org/cgi/pt?id=hvd.32044097071450")</f>
        <v>http://babel.hathitrust.org/cgi/pt?id=hvd.32044097071450</v>
      </c>
      <c r="H8069" t="str">
        <f>HYPERLINK("http://catalog.hathitrust.org/Record/011603667")</f>
        <v>http://catalog.hathitrust.org/Record/011603667</v>
      </c>
      <c r="J8069" s="1">
        <v>1847</v>
      </c>
      <c r="K8069" t="s">
        <v>6002</v>
      </c>
      <c r="L8069" t="s">
        <v>11681</v>
      </c>
    </row>
    <row r="8070" spans="1:12">
      <c r="A8070" t="s">
        <v>637</v>
      </c>
      <c r="B8070" s="1" t="s">
        <v>638</v>
      </c>
      <c r="E8070">
        <v>1</v>
      </c>
      <c r="G8070" t="str">
        <f>HYPERLINK("http://babel.hathitrust.org/cgi/pt?id=hvd.32044102787132")</f>
        <v>http://babel.hathitrust.org/cgi/pt?id=hvd.32044102787132</v>
      </c>
      <c r="H8070" t="str">
        <f>HYPERLINK("http://catalog.hathitrust.org/Record/011603685")</f>
        <v>http://catalog.hathitrust.org/Record/011603685</v>
      </c>
      <c r="J8070" s="1">
        <v>1836</v>
      </c>
      <c r="K8070" t="s">
        <v>639</v>
      </c>
      <c r="L8070" t="s">
        <v>20043</v>
      </c>
    </row>
    <row r="8071" spans="1:12">
      <c r="A8071" t="s">
        <v>640</v>
      </c>
      <c r="B8071" s="1" t="s">
        <v>641</v>
      </c>
      <c r="D8071">
        <v>1</v>
      </c>
      <c r="G8071" t="str">
        <f>HYPERLINK("http://babel.hathitrust.org/cgi/pt?id=hvd.32044097079859")</f>
        <v>http://babel.hathitrust.org/cgi/pt?id=hvd.32044097079859</v>
      </c>
      <c r="H8071" t="str">
        <f>HYPERLINK("http://catalog.hathitrust.org/Record/011603737")</f>
        <v>http://catalog.hathitrust.org/Record/011603737</v>
      </c>
      <c r="J8071" s="1">
        <v>1844</v>
      </c>
      <c r="K8071" t="s">
        <v>642</v>
      </c>
      <c r="L8071" t="s">
        <v>643</v>
      </c>
    </row>
    <row r="8072" spans="1:12">
      <c r="A8072" t="s">
        <v>644</v>
      </c>
      <c r="B8072" s="1" t="s">
        <v>645</v>
      </c>
      <c r="F8072">
        <v>1</v>
      </c>
      <c r="G8072" t="str">
        <f>HYPERLINK("http://babel.hathitrust.org/cgi/pt?id=hvd.32044097042840")</f>
        <v>http://babel.hathitrust.org/cgi/pt?id=hvd.32044097042840</v>
      </c>
      <c r="H8072" t="str">
        <f>HYPERLINK("http://catalog.hathitrust.org/Record/011603747")</f>
        <v>http://catalog.hathitrust.org/Record/011603747</v>
      </c>
      <c r="J8072" s="1">
        <v>1857</v>
      </c>
      <c r="K8072" t="s">
        <v>646</v>
      </c>
      <c r="L8072" t="s">
        <v>647</v>
      </c>
    </row>
    <row r="8073" spans="1:12">
      <c r="A8073" t="s">
        <v>648</v>
      </c>
      <c r="B8073" s="1" t="s">
        <v>649</v>
      </c>
      <c r="E8073">
        <v>1</v>
      </c>
      <c r="G8073" t="str">
        <f>HYPERLINK("http://babel.hathitrust.org/cgi/pt?id=hvd.32044097061873")</f>
        <v>http://babel.hathitrust.org/cgi/pt?id=hvd.32044097061873</v>
      </c>
      <c r="H8073" t="str">
        <f>HYPERLINK("http://catalog.hathitrust.org/Record/011603877")</f>
        <v>http://catalog.hathitrust.org/Record/011603877</v>
      </c>
      <c r="J8073" s="1">
        <v>1852</v>
      </c>
      <c r="K8073" t="s">
        <v>3813</v>
      </c>
      <c r="L8073" t="s">
        <v>3814</v>
      </c>
    </row>
    <row r="8074" spans="1:12">
      <c r="A8074" t="s">
        <v>650</v>
      </c>
      <c r="B8074" s="1" t="s">
        <v>651</v>
      </c>
      <c r="E8074">
        <v>1</v>
      </c>
      <c r="G8074" t="str">
        <f>HYPERLINK("http://babel.hathitrust.org/cgi/pt?id=hvd.32044081502072")</f>
        <v>http://babel.hathitrust.org/cgi/pt?id=hvd.32044081502072</v>
      </c>
      <c r="H8074" t="str">
        <f>HYPERLINK("http://catalog.hathitrust.org/Record/011603905")</f>
        <v>http://catalog.hathitrust.org/Record/011603905</v>
      </c>
      <c r="J8074" s="1">
        <v>1859</v>
      </c>
      <c r="K8074" t="s">
        <v>652</v>
      </c>
      <c r="L8074" t="s">
        <v>12659</v>
      </c>
    </row>
    <row r="8075" spans="1:12">
      <c r="A8075" t="s">
        <v>653</v>
      </c>
      <c r="B8075" s="1" t="s">
        <v>654</v>
      </c>
      <c r="F8075">
        <v>1</v>
      </c>
      <c r="G8075" t="str">
        <f>HYPERLINK("http://babel.hathitrust.org/cgi/pt?id=hvd.32044097042618")</f>
        <v>http://babel.hathitrust.org/cgi/pt?id=hvd.32044097042618</v>
      </c>
      <c r="H8075" t="str">
        <f>HYPERLINK("http://catalog.hathitrust.org/Record/011603972")</f>
        <v>http://catalog.hathitrust.org/Record/011603972</v>
      </c>
      <c r="J8075" s="1">
        <v>1849</v>
      </c>
      <c r="K8075" t="s">
        <v>913</v>
      </c>
      <c r="L8075" t="s">
        <v>6119</v>
      </c>
    </row>
    <row r="8076" spans="1:12">
      <c r="A8076" t="s">
        <v>655</v>
      </c>
      <c r="B8076" s="1" t="s">
        <v>654</v>
      </c>
      <c r="F8076">
        <v>1</v>
      </c>
      <c r="G8076" t="str">
        <f>HYPERLINK("http://babel.hathitrust.org/cgi/pt?id=hvd.hn2a16")</f>
        <v>http://babel.hathitrust.org/cgi/pt?id=hvd.hn2a16</v>
      </c>
      <c r="H8076" t="str">
        <f>HYPERLINK("http://catalog.hathitrust.org/Record/011603972")</f>
        <v>http://catalog.hathitrust.org/Record/011603972</v>
      </c>
      <c r="J8076" s="1">
        <v>1849</v>
      </c>
      <c r="K8076" t="s">
        <v>913</v>
      </c>
      <c r="L8076" t="s">
        <v>6119</v>
      </c>
    </row>
    <row r="8077" spans="1:12">
      <c r="A8077" t="s">
        <v>656</v>
      </c>
      <c r="B8077" s="1" t="s">
        <v>657</v>
      </c>
      <c r="E8077">
        <v>1</v>
      </c>
      <c r="G8077" t="str">
        <f>HYPERLINK("http://babel.hathitrust.org/cgi/pt?id=hvd.32044102848199")</f>
        <v>http://babel.hathitrust.org/cgi/pt?id=hvd.32044102848199</v>
      </c>
      <c r="H8077" t="str">
        <f>HYPERLINK("http://catalog.hathitrust.org/Record/011603984")</f>
        <v>http://catalog.hathitrust.org/Record/011603984</v>
      </c>
      <c r="J8077" s="1">
        <v>1861</v>
      </c>
      <c r="K8077" t="s">
        <v>658</v>
      </c>
      <c r="L8077" t="s">
        <v>17330</v>
      </c>
    </row>
    <row r="8078" spans="1:12">
      <c r="A8078" t="s">
        <v>659</v>
      </c>
      <c r="B8078" s="1" t="s">
        <v>660</v>
      </c>
      <c r="F8078">
        <v>1</v>
      </c>
      <c r="G8078" t="str">
        <f>HYPERLINK("http://babel.hathitrust.org/cgi/pt?id=hvd.32044102845930")</f>
        <v>http://babel.hathitrust.org/cgi/pt?id=hvd.32044102845930</v>
      </c>
      <c r="H8078" t="str">
        <f>HYPERLINK("http://catalog.hathitrust.org/Record/011603996")</f>
        <v>http://catalog.hathitrust.org/Record/011603996</v>
      </c>
      <c r="J8078" s="1">
        <v>1846</v>
      </c>
      <c r="K8078" t="s">
        <v>661</v>
      </c>
      <c r="L8078" t="s">
        <v>16039</v>
      </c>
    </row>
    <row r="8079" spans="1:12">
      <c r="A8079" t="s">
        <v>662</v>
      </c>
      <c r="B8079" s="1" t="s">
        <v>663</v>
      </c>
      <c r="F8079">
        <v>1</v>
      </c>
      <c r="G8079" t="str">
        <f>HYPERLINK("http://babel.hathitrust.org/cgi/pt?id=hvd.32044102770104")</f>
        <v>http://babel.hathitrust.org/cgi/pt?id=hvd.32044102770104</v>
      </c>
      <c r="H8079" t="str">
        <f>HYPERLINK("http://catalog.hathitrust.org/Record/011603997")</f>
        <v>http://catalog.hathitrust.org/Record/011603997</v>
      </c>
      <c r="J8079" s="1">
        <v>1858</v>
      </c>
      <c r="K8079" t="s">
        <v>664</v>
      </c>
      <c r="L8079" t="s">
        <v>16039</v>
      </c>
    </row>
    <row r="8080" spans="1:12">
      <c r="A8080" t="s">
        <v>665</v>
      </c>
      <c r="B8080" s="1" t="s">
        <v>666</v>
      </c>
      <c r="F8080">
        <v>1</v>
      </c>
      <c r="G8080" t="str">
        <f>HYPERLINK("http://babel.hathitrust.org/cgi/pt?id=hvd.32044097071518")</f>
        <v>http://babel.hathitrust.org/cgi/pt?id=hvd.32044097071518</v>
      </c>
      <c r="H8080" t="str">
        <f>HYPERLINK("http://catalog.hathitrust.org/Record/011604113")</f>
        <v>http://catalog.hathitrust.org/Record/011604113</v>
      </c>
      <c r="J8080" s="1">
        <v>1848</v>
      </c>
      <c r="K8080" t="s">
        <v>5963</v>
      </c>
      <c r="L8080" t="s">
        <v>14907</v>
      </c>
    </row>
    <row r="8081" spans="1:12">
      <c r="A8081" t="s">
        <v>667</v>
      </c>
      <c r="B8081" s="1" t="s">
        <v>668</v>
      </c>
      <c r="F8081">
        <v>1</v>
      </c>
      <c r="G8081" t="str">
        <f>HYPERLINK("http://babel.hathitrust.org/cgi/pt?id=hvd.32044038405734")</f>
        <v>http://babel.hathitrust.org/cgi/pt?id=hvd.32044038405734</v>
      </c>
      <c r="H8081" t="str">
        <f>HYPERLINK("http://catalog.hathitrust.org/Record/011604314")</f>
        <v>http://catalog.hathitrust.org/Record/011604314</v>
      </c>
      <c r="J8081" s="1">
        <v>1850</v>
      </c>
      <c r="K8081" t="s">
        <v>669</v>
      </c>
      <c r="L8081" t="s">
        <v>670</v>
      </c>
    </row>
    <row r="8082" spans="1:12">
      <c r="A8082" t="s">
        <v>671</v>
      </c>
      <c r="B8082" s="1" t="s">
        <v>672</v>
      </c>
      <c r="F8082">
        <v>1</v>
      </c>
      <c r="G8082" t="str">
        <f>HYPERLINK("http://babel.hathitrust.org/cgi/pt?id=hvd.32044038403978")</f>
        <v>http://babel.hathitrust.org/cgi/pt?id=hvd.32044038403978</v>
      </c>
      <c r="H8082" t="str">
        <f>HYPERLINK("http://catalog.hathitrust.org/Record/011604366")</f>
        <v>http://catalog.hathitrust.org/Record/011604366</v>
      </c>
      <c r="J8082" s="1">
        <v>1855</v>
      </c>
      <c r="K8082" t="s">
        <v>867</v>
      </c>
      <c r="L8082" t="s">
        <v>6139</v>
      </c>
    </row>
    <row r="8083" spans="1:12">
      <c r="A8083" t="s">
        <v>586</v>
      </c>
      <c r="B8083" s="1" t="s">
        <v>587</v>
      </c>
      <c r="D8083">
        <v>1</v>
      </c>
      <c r="G8083" t="str">
        <f>HYPERLINK("http://babel.hathitrust.org/cgi/pt?id=hvd.32044086791217")</f>
        <v>http://babel.hathitrust.org/cgi/pt?id=hvd.32044086791217</v>
      </c>
      <c r="H8083" t="str">
        <f>HYPERLINK("http://catalog.hathitrust.org/Record/011604455")</f>
        <v>http://catalog.hathitrust.org/Record/011604455</v>
      </c>
      <c r="J8083" s="1">
        <v>1830</v>
      </c>
      <c r="K8083" t="s">
        <v>588</v>
      </c>
      <c r="L8083" t="s">
        <v>8656</v>
      </c>
    </row>
    <row r="8084" spans="1:12">
      <c r="A8084" t="s">
        <v>589</v>
      </c>
      <c r="B8084" s="1" t="s">
        <v>590</v>
      </c>
      <c r="F8084">
        <v>1</v>
      </c>
      <c r="G8084" t="str">
        <f>HYPERLINK("http://babel.hathitrust.org/cgi/pt?id=hvd.32044024156143")</f>
        <v>http://babel.hathitrust.org/cgi/pt?id=hvd.32044024156143</v>
      </c>
      <c r="H8084" t="str">
        <f>HYPERLINK("http://catalog.hathitrust.org/Record/011604525")</f>
        <v>http://catalog.hathitrust.org/Record/011604525</v>
      </c>
      <c r="J8084" s="1">
        <v>1852</v>
      </c>
      <c r="K8084" t="s">
        <v>20883</v>
      </c>
      <c r="L8084" t="s">
        <v>20884</v>
      </c>
    </row>
    <row r="8085" spans="1:12">
      <c r="A8085" t="s">
        <v>591</v>
      </c>
      <c r="B8085" s="1" t="s">
        <v>590</v>
      </c>
      <c r="F8085">
        <v>1</v>
      </c>
      <c r="G8085" t="str">
        <f>HYPERLINK("http://babel.hathitrust.org/cgi/pt?id=hvd.hn2dvw")</f>
        <v>http://babel.hathitrust.org/cgi/pt?id=hvd.hn2dvw</v>
      </c>
      <c r="H8085" t="str">
        <f>HYPERLINK("http://catalog.hathitrust.org/Record/011604525")</f>
        <v>http://catalog.hathitrust.org/Record/011604525</v>
      </c>
      <c r="J8085" s="1">
        <v>1852</v>
      </c>
      <c r="K8085" t="s">
        <v>20883</v>
      </c>
      <c r="L8085" t="s">
        <v>20884</v>
      </c>
    </row>
    <row r="8086" spans="1:12">
      <c r="A8086" t="s">
        <v>592</v>
      </c>
      <c r="B8086" s="1" t="s">
        <v>593</v>
      </c>
      <c r="F8086">
        <v>1</v>
      </c>
      <c r="G8086" t="str">
        <f>HYPERLINK("http://babel.hathitrust.org/cgi/pt?id=hvd.32044097056741")</f>
        <v>http://babel.hathitrust.org/cgi/pt?id=hvd.32044097056741</v>
      </c>
      <c r="H8086" t="str">
        <f>HYPERLINK("http://catalog.hathitrust.org/Record/011605223")</f>
        <v>http://catalog.hathitrust.org/Record/011605223</v>
      </c>
      <c r="J8086" s="1">
        <v>1819</v>
      </c>
      <c r="K8086" t="s">
        <v>594</v>
      </c>
      <c r="L8086" t="s">
        <v>20043</v>
      </c>
    </row>
    <row r="8087" spans="1:12">
      <c r="A8087" t="s">
        <v>595</v>
      </c>
      <c r="B8087" s="1" t="s">
        <v>596</v>
      </c>
      <c r="F8087">
        <v>1</v>
      </c>
      <c r="G8087" t="str">
        <f>HYPERLINK("http://babel.hathitrust.org/cgi/pt?id=hvd.32044038405353")</f>
        <v>http://babel.hathitrust.org/cgi/pt?id=hvd.32044038405353</v>
      </c>
      <c r="H8087" t="str">
        <f>HYPERLINK("http://catalog.hathitrust.org/Record/011606956")</f>
        <v>http://catalog.hathitrust.org/Record/011606956</v>
      </c>
      <c r="J8087" s="1">
        <v>1866</v>
      </c>
      <c r="K8087" t="s">
        <v>597</v>
      </c>
      <c r="L8087" t="s">
        <v>598</v>
      </c>
    </row>
    <row r="8088" spans="1:12">
      <c r="A8088" t="s">
        <v>599</v>
      </c>
      <c r="B8088" s="1" t="s">
        <v>600</v>
      </c>
      <c r="E8088">
        <v>1</v>
      </c>
      <c r="F8088">
        <v>1</v>
      </c>
      <c r="G8088" t="str">
        <f>HYPERLINK("http://babel.hathitrust.org/cgi/pt?id=hvd.32044038404182")</f>
        <v>http://babel.hathitrust.org/cgi/pt?id=hvd.32044038404182</v>
      </c>
      <c r="H8088" t="str">
        <f>HYPERLINK("http://catalog.hathitrust.org/Record/011606962")</f>
        <v>http://catalog.hathitrust.org/Record/011606962</v>
      </c>
      <c r="J8088" s="1">
        <v>1846</v>
      </c>
      <c r="K8088" t="s">
        <v>601</v>
      </c>
      <c r="L8088" t="s">
        <v>602</v>
      </c>
    </row>
    <row r="8089" spans="1:12">
      <c r="A8089" t="s">
        <v>603</v>
      </c>
      <c r="B8089" s="1" t="s">
        <v>604</v>
      </c>
      <c r="E8089">
        <v>1</v>
      </c>
      <c r="G8089" t="str">
        <f>HYPERLINK("http://babel.hathitrust.org/cgi/pt?id=hvd.hn61ij")</f>
        <v>http://babel.hathitrust.org/cgi/pt?id=hvd.hn61ij</v>
      </c>
      <c r="H8089" t="str">
        <f>HYPERLINK("http://catalog.hathitrust.org/Record/011607569")</f>
        <v>http://catalog.hathitrust.org/Record/011607569</v>
      </c>
      <c r="I8089" s="1" t="s">
        <v>20916</v>
      </c>
      <c r="J8089" s="1">
        <v>1859</v>
      </c>
      <c r="K8089" t="s">
        <v>605</v>
      </c>
      <c r="L8089" t="s">
        <v>18463</v>
      </c>
    </row>
    <row r="8090" spans="1:12">
      <c r="A8090" t="s">
        <v>606</v>
      </c>
      <c r="B8090" s="1" t="s">
        <v>607</v>
      </c>
      <c r="E8090">
        <v>1</v>
      </c>
      <c r="G8090" t="str">
        <f>HYPERLINK("http://babel.hathitrust.org/cgi/pt?id=hvd.32044002025005")</f>
        <v>http://babel.hathitrust.org/cgi/pt?id=hvd.32044002025005</v>
      </c>
      <c r="H8090" t="str">
        <f>HYPERLINK("http://catalog.hathitrust.org/Record/011609570")</f>
        <v>http://catalog.hathitrust.org/Record/011609570</v>
      </c>
      <c r="I8090" s="1" t="s">
        <v>20916</v>
      </c>
      <c r="J8090" s="1">
        <v>1856</v>
      </c>
      <c r="K8090" t="s">
        <v>8266</v>
      </c>
      <c r="L8090" t="s">
        <v>15050</v>
      </c>
    </row>
    <row r="8091" spans="1:12">
      <c r="A8091" t="s">
        <v>608</v>
      </c>
      <c r="B8091" s="1" t="s">
        <v>607</v>
      </c>
      <c r="E8091">
        <v>1</v>
      </c>
      <c r="G8091" t="str">
        <f>HYPERLINK("http://babel.hathitrust.org/cgi/pt?id=hvd.32044094444528")</f>
        <v>http://babel.hathitrust.org/cgi/pt?id=hvd.32044094444528</v>
      </c>
      <c r="H8091" t="str">
        <f>HYPERLINK("http://catalog.hathitrust.org/Record/011609570")</f>
        <v>http://catalog.hathitrust.org/Record/011609570</v>
      </c>
      <c r="I8091" s="1" t="s">
        <v>20755</v>
      </c>
      <c r="J8091" s="1">
        <v>1856</v>
      </c>
      <c r="K8091" t="s">
        <v>8266</v>
      </c>
      <c r="L8091" t="s">
        <v>15050</v>
      </c>
    </row>
    <row r="8092" spans="1:12">
      <c r="A8092" t="s">
        <v>609</v>
      </c>
      <c r="B8092" s="1" t="s">
        <v>610</v>
      </c>
      <c r="F8092">
        <v>1</v>
      </c>
      <c r="G8092" t="str">
        <f>HYPERLINK("http://babel.hathitrust.org/cgi/pt?id=hvd.32044086703071")</f>
        <v>http://babel.hathitrust.org/cgi/pt?id=hvd.32044086703071</v>
      </c>
      <c r="H8092" t="str">
        <f>HYPERLINK("http://catalog.hathitrust.org/Record/011610501")</f>
        <v>http://catalog.hathitrust.org/Record/011610501</v>
      </c>
      <c r="J8092" s="1">
        <v>1831</v>
      </c>
      <c r="K8092" t="s">
        <v>611</v>
      </c>
      <c r="L8092" t="s">
        <v>5509</v>
      </c>
    </row>
    <row r="8093" spans="1:12">
      <c r="A8093" t="s">
        <v>612</v>
      </c>
      <c r="B8093" s="1" t="s">
        <v>613</v>
      </c>
      <c r="F8093">
        <v>1</v>
      </c>
      <c r="G8093" t="str">
        <f>HYPERLINK("http://babel.hathitrust.org/cgi/pt?id=hvd.hwsk5u")</f>
        <v>http://babel.hathitrust.org/cgi/pt?id=hvd.hwsk5u</v>
      </c>
      <c r="H8093" t="str">
        <f>HYPERLINK("http://catalog.hathitrust.org/Record/011610722")</f>
        <v>http://catalog.hathitrust.org/Record/011610722</v>
      </c>
      <c r="J8093" s="1">
        <v>1867</v>
      </c>
      <c r="K8093" t="s">
        <v>614</v>
      </c>
      <c r="L8093" t="s">
        <v>615</v>
      </c>
    </row>
    <row r="8094" spans="1:12">
      <c r="A8094" t="s">
        <v>616</v>
      </c>
      <c r="B8094" s="1" t="s">
        <v>617</v>
      </c>
      <c r="F8094">
        <v>1</v>
      </c>
      <c r="G8094" t="str">
        <f>HYPERLINK("http://babel.hathitrust.org/cgi/pt?id=hvd.hw24y2")</f>
        <v>http://babel.hathitrust.org/cgi/pt?id=hvd.hw24y2</v>
      </c>
      <c r="H8094" t="str">
        <f>HYPERLINK("http://catalog.hathitrust.org/Record/011610884")</f>
        <v>http://catalog.hathitrust.org/Record/011610884</v>
      </c>
      <c r="J8094" s="1">
        <v>1846</v>
      </c>
      <c r="K8094" t="s">
        <v>18409</v>
      </c>
      <c r="L8094" t="s">
        <v>18885</v>
      </c>
    </row>
    <row r="8095" spans="1:12">
      <c r="A8095" t="s">
        <v>618</v>
      </c>
      <c r="B8095" s="1" t="s">
        <v>619</v>
      </c>
      <c r="E8095">
        <v>1</v>
      </c>
      <c r="G8095" t="str">
        <f>HYPERLINK("http://babel.hathitrust.org/cgi/pt?id=hvd.32044086857885")</f>
        <v>http://babel.hathitrust.org/cgi/pt?id=hvd.32044086857885</v>
      </c>
      <c r="H8095" t="str">
        <f>HYPERLINK("http://catalog.hathitrust.org/Record/011610929")</f>
        <v>http://catalog.hathitrust.org/Record/011610929</v>
      </c>
      <c r="J8095" s="1">
        <v>1847</v>
      </c>
      <c r="K8095" t="s">
        <v>620</v>
      </c>
      <c r="L8095" t="s">
        <v>20629</v>
      </c>
    </row>
    <row r="8096" spans="1:12">
      <c r="A8096" t="s">
        <v>621</v>
      </c>
      <c r="B8096" s="1" t="s">
        <v>622</v>
      </c>
      <c r="E8096">
        <v>1</v>
      </c>
      <c r="G8096" t="str">
        <f>HYPERLINK("http://babel.hathitrust.org/cgi/pt?id=hvd.32044050785153")</f>
        <v>http://babel.hathitrust.org/cgi/pt?id=hvd.32044050785153</v>
      </c>
      <c r="H8096" t="str">
        <f>HYPERLINK("http://catalog.hathitrust.org/Record/011610932")</f>
        <v>http://catalog.hathitrust.org/Record/011610932</v>
      </c>
      <c r="J8096" s="1">
        <v>1865</v>
      </c>
      <c r="K8096" t="s">
        <v>623</v>
      </c>
      <c r="L8096" t="s">
        <v>20629</v>
      </c>
    </row>
    <row r="8097" spans="1:12">
      <c r="A8097" t="s">
        <v>624</v>
      </c>
      <c r="B8097" s="1" t="s">
        <v>625</v>
      </c>
      <c r="F8097">
        <v>1</v>
      </c>
      <c r="G8097" t="str">
        <f>HYPERLINK("http://babel.hathitrust.org/cgi/pt?id=hvd.32044088287073")</f>
        <v>http://babel.hathitrust.org/cgi/pt?id=hvd.32044088287073</v>
      </c>
      <c r="H8097" t="str">
        <f>HYPERLINK("http://catalog.hathitrust.org/Record/011611321")</f>
        <v>http://catalog.hathitrust.org/Record/011611321</v>
      </c>
      <c r="J8097" s="1">
        <v>1859</v>
      </c>
      <c r="K8097" t="s">
        <v>14470</v>
      </c>
      <c r="L8097" t="s">
        <v>20297</v>
      </c>
    </row>
    <row r="8098" spans="1:12">
      <c r="A8098" t="s">
        <v>626</v>
      </c>
      <c r="B8098" s="1" t="s">
        <v>627</v>
      </c>
      <c r="F8098">
        <v>1</v>
      </c>
      <c r="G8098" t="str">
        <f>HYPERLINK("http://babel.hathitrust.org/cgi/pt?id=hvd.32044097078943")</f>
        <v>http://babel.hathitrust.org/cgi/pt?id=hvd.32044097078943</v>
      </c>
      <c r="H8098" t="str">
        <f>HYPERLINK("http://catalog.hathitrust.org/Record/011611334")</f>
        <v>http://catalog.hathitrust.org/Record/011611334</v>
      </c>
      <c r="J8098" s="1">
        <v>1838</v>
      </c>
      <c r="K8098" t="s">
        <v>549</v>
      </c>
      <c r="L8098" t="s">
        <v>550</v>
      </c>
    </row>
    <row r="8099" spans="1:12">
      <c r="A8099" t="s">
        <v>551</v>
      </c>
      <c r="B8099" s="1" t="s">
        <v>552</v>
      </c>
      <c r="E8099">
        <v>1</v>
      </c>
      <c r="G8099" t="str">
        <f>HYPERLINK("http://babel.hathitrust.org/cgi/pt?id=hvd.hwkt2h")</f>
        <v>http://babel.hathitrust.org/cgi/pt?id=hvd.hwkt2h</v>
      </c>
      <c r="H8099" t="str">
        <f>HYPERLINK("http://catalog.hathitrust.org/Record/011611723")</f>
        <v>http://catalog.hathitrust.org/Record/011611723</v>
      </c>
      <c r="J8099" s="1">
        <v>1866</v>
      </c>
      <c r="K8099" t="s">
        <v>3285</v>
      </c>
      <c r="L8099" t="s">
        <v>20467</v>
      </c>
    </row>
    <row r="8100" spans="1:12">
      <c r="A8100" t="s">
        <v>553</v>
      </c>
      <c r="B8100" s="1" t="s">
        <v>554</v>
      </c>
      <c r="F8100">
        <v>1</v>
      </c>
      <c r="G8100" t="str">
        <f>HYPERLINK("http://babel.hathitrust.org/cgi/pt?id=hvd.hwsk54")</f>
        <v>http://babel.hathitrust.org/cgi/pt?id=hvd.hwsk54</v>
      </c>
      <c r="H8100" t="str">
        <f>HYPERLINK("http://catalog.hathitrust.org/Record/011611793")</f>
        <v>http://catalog.hathitrust.org/Record/011611793</v>
      </c>
      <c r="J8100" s="1">
        <v>1849</v>
      </c>
      <c r="K8100" t="s">
        <v>555</v>
      </c>
      <c r="L8100" t="s">
        <v>556</v>
      </c>
    </row>
    <row r="8101" spans="1:12">
      <c r="A8101" t="s">
        <v>557</v>
      </c>
      <c r="B8101" s="1" t="s">
        <v>558</v>
      </c>
      <c r="F8101">
        <v>1</v>
      </c>
      <c r="G8101" t="str">
        <f>HYPERLINK("http://babel.hathitrust.org/cgi/pt?id=hvd.32044097078869")</f>
        <v>http://babel.hathitrust.org/cgi/pt?id=hvd.32044097078869</v>
      </c>
      <c r="H8101" t="str">
        <f>HYPERLINK("http://catalog.hathitrust.org/Record/011611834")</f>
        <v>http://catalog.hathitrust.org/Record/011611834</v>
      </c>
      <c r="J8101" s="1">
        <v>1836</v>
      </c>
      <c r="K8101" t="s">
        <v>5561</v>
      </c>
      <c r="L8101" t="s">
        <v>16785</v>
      </c>
    </row>
    <row r="8102" spans="1:12">
      <c r="A8102" t="s">
        <v>559</v>
      </c>
      <c r="B8102" s="1" t="s">
        <v>560</v>
      </c>
      <c r="D8102">
        <v>1</v>
      </c>
      <c r="G8102" t="str">
        <f>HYPERLINK("http://babel.hathitrust.org/cgi/pt?id=hvd.32044097058481")</f>
        <v>http://babel.hathitrust.org/cgi/pt?id=hvd.32044097058481</v>
      </c>
      <c r="H8102" t="str">
        <f>HYPERLINK("http://catalog.hathitrust.org/Record/011611885")</f>
        <v>http://catalog.hathitrust.org/Record/011611885</v>
      </c>
      <c r="J8102" s="1">
        <v>1828</v>
      </c>
      <c r="K8102" t="s">
        <v>561</v>
      </c>
      <c r="L8102" t="s">
        <v>20043</v>
      </c>
    </row>
    <row r="8103" spans="1:12">
      <c r="A8103" t="s">
        <v>562</v>
      </c>
      <c r="B8103" s="1" t="s">
        <v>563</v>
      </c>
      <c r="F8103">
        <v>1</v>
      </c>
      <c r="G8103" t="str">
        <f>HYPERLINK("http://babel.hathitrust.org/cgi/pt?id=hvd.32044105239875")</f>
        <v>http://babel.hathitrust.org/cgi/pt?id=hvd.32044105239875</v>
      </c>
      <c r="H8103" t="str">
        <f>HYPERLINK("http://catalog.hathitrust.org/Record/011612167")</f>
        <v>http://catalog.hathitrust.org/Record/011612167</v>
      </c>
      <c r="I8103" s="1" t="s">
        <v>20920</v>
      </c>
      <c r="J8103" s="1">
        <v>1869</v>
      </c>
      <c r="K8103" t="s">
        <v>17515</v>
      </c>
      <c r="L8103" t="s">
        <v>17516</v>
      </c>
    </row>
    <row r="8104" spans="1:12">
      <c r="A8104" t="s">
        <v>564</v>
      </c>
      <c r="B8104" s="1" t="s">
        <v>565</v>
      </c>
      <c r="F8104">
        <v>1</v>
      </c>
      <c r="G8104" t="str">
        <f>HYPERLINK("http://babel.hathitrust.org/cgi/pt?id=hvd.32044097068027")</f>
        <v>http://babel.hathitrust.org/cgi/pt?id=hvd.32044097068027</v>
      </c>
      <c r="H8104" t="str">
        <f>HYPERLINK("http://catalog.hathitrust.org/Record/011612277")</f>
        <v>http://catalog.hathitrust.org/Record/011612277</v>
      </c>
      <c r="J8104" s="1">
        <v>1849</v>
      </c>
      <c r="K8104" t="s">
        <v>913</v>
      </c>
      <c r="L8104" t="s">
        <v>6119</v>
      </c>
    </row>
    <row r="8105" spans="1:12">
      <c r="A8105" t="s">
        <v>566</v>
      </c>
      <c r="B8105" s="1" t="s">
        <v>567</v>
      </c>
      <c r="F8105">
        <v>1</v>
      </c>
      <c r="G8105" t="str">
        <f>HYPERLINK("http://babel.hathitrust.org/cgi/pt?id=hvd.hn6kdd")</f>
        <v>http://babel.hathitrust.org/cgi/pt?id=hvd.hn6kdd</v>
      </c>
      <c r="H8105" t="str">
        <f>HYPERLINK("http://catalog.hathitrust.org/Record/011612286")</f>
        <v>http://catalog.hathitrust.org/Record/011612286</v>
      </c>
      <c r="J8105" s="1">
        <v>1865</v>
      </c>
      <c r="K8105" t="s">
        <v>568</v>
      </c>
      <c r="L8105" t="s">
        <v>16039</v>
      </c>
    </row>
    <row r="8106" spans="1:12">
      <c r="A8106" t="s">
        <v>569</v>
      </c>
      <c r="B8106" s="1" t="s">
        <v>570</v>
      </c>
      <c r="F8106">
        <v>1</v>
      </c>
      <c r="G8106" t="str">
        <f>HYPERLINK("http://babel.hathitrust.org/cgi/pt?id=hvd.32044024513723")</f>
        <v>http://babel.hathitrust.org/cgi/pt?id=hvd.32044024513723</v>
      </c>
      <c r="H8106" t="str">
        <f>HYPERLINK("http://catalog.hathitrust.org/Record/011612694")</f>
        <v>http://catalog.hathitrust.org/Record/011612694</v>
      </c>
      <c r="J8106" s="1">
        <v>1868</v>
      </c>
      <c r="K8106" t="s">
        <v>571</v>
      </c>
      <c r="L8106" t="s">
        <v>20884</v>
      </c>
    </row>
    <row r="8107" spans="1:12">
      <c r="A8107" t="s">
        <v>572</v>
      </c>
      <c r="B8107" s="1" t="s">
        <v>573</v>
      </c>
      <c r="E8107">
        <v>1</v>
      </c>
      <c r="G8107" t="str">
        <f>HYPERLINK("http://babel.hathitrust.org/cgi/pt?id=hvd.32044086660677")</f>
        <v>http://babel.hathitrust.org/cgi/pt?id=hvd.32044086660677</v>
      </c>
      <c r="H8107" t="str">
        <f>HYPERLINK("http://catalog.hathitrust.org/Record/011612989")</f>
        <v>http://catalog.hathitrust.org/Record/011612989</v>
      </c>
      <c r="J8107" s="1">
        <v>1837</v>
      </c>
      <c r="K8107" t="s">
        <v>574</v>
      </c>
      <c r="L8107" t="s">
        <v>20960</v>
      </c>
    </row>
    <row r="8108" spans="1:12">
      <c r="A8108" t="s">
        <v>575</v>
      </c>
      <c r="B8108" s="1" t="s">
        <v>576</v>
      </c>
      <c r="E8108">
        <v>1</v>
      </c>
      <c r="G8108" t="str">
        <f>HYPERLINK("http://babel.hathitrust.org/cgi/pt?id=hvd.32044086660685")</f>
        <v>http://babel.hathitrust.org/cgi/pt?id=hvd.32044086660685</v>
      </c>
      <c r="H8108" t="str">
        <f>HYPERLINK("http://catalog.hathitrust.org/Record/011612991")</f>
        <v>http://catalog.hathitrust.org/Record/011612991</v>
      </c>
      <c r="J8108" s="1">
        <v>1838</v>
      </c>
      <c r="K8108" t="s">
        <v>574</v>
      </c>
      <c r="L8108" t="s">
        <v>20960</v>
      </c>
    </row>
    <row r="8109" spans="1:12">
      <c r="A8109" t="s">
        <v>577</v>
      </c>
      <c r="B8109" s="1" t="s">
        <v>578</v>
      </c>
      <c r="E8109">
        <v>1</v>
      </c>
      <c r="G8109" t="str">
        <f>HYPERLINK("http://babel.hathitrust.org/cgi/pt?id=hvd.hwpa6n")</f>
        <v>http://babel.hathitrust.org/cgi/pt?id=hvd.hwpa6n</v>
      </c>
      <c r="H8109" t="str">
        <f>HYPERLINK("http://catalog.hathitrust.org/Record/011613007")</f>
        <v>http://catalog.hathitrust.org/Record/011613007</v>
      </c>
      <c r="J8109" s="1">
        <v>1841</v>
      </c>
      <c r="K8109" t="s">
        <v>579</v>
      </c>
      <c r="L8109" t="s">
        <v>1057</v>
      </c>
    </row>
    <row r="8110" spans="1:12">
      <c r="A8110" t="s">
        <v>580</v>
      </c>
      <c r="B8110" s="1" t="s">
        <v>581</v>
      </c>
      <c r="F8110">
        <v>1</v>
      </c>
      <c r="G8110" t="str">
        <f>HYPERLINK("http://babel.hathitrust.org/cgi/pt?id=hvd.hn5x35")</f>
        <v>http://babel.hathitrust.org/cgi/pt?id=hvd.hn5x35</v>
      </c>
      <c r="H8110" t="str">
        <f>HYPERLINK("http://catalog.hathitrust.org/Record/011613405")</f>
        <v>http://catalog.hathitrust.org/Record/011613405</v>
      </c>
      <c r="J8110" s="1">
        <v>1852</v>
      </c>
      <c r="K8110" t="s">
        <v>7199</v>
      </c>
      <c r="L8110" t="s">
        <v>11439</v>
      </c>
    </row>
    <row r="8111" spans="1:12">
      <c r="A8111" t="s">
        <v>582</v>
      </c>
      <c r="B8111" s="1" t="s">
        <v>583</v>
      </c>
      <c r="F8111">
        <v>1</v>
      </c>
      <c r="G8111" t="str">
        <f>HYPERLINK("http://babel.hathitrust.org/cgi/pt?id=hvd.hwsmei")</f>
        <v>http://babel.hathitrust.org/cgi/pt?id=hvd.hwsmei</v>
      </c>
      <c r="H8111" t="str">
        <f>HYPERLINK("http://catalog.hathitrust.org/Record/011614197")</f>
        <v>http://catalog.hathitrust.org/Record/011614197</v>
      </c>
      <c r="J8111" s="1">
        <v>1870</v>
      </c>
      <c r="K8111" t="s">
        <v>15181</v>
      </c>
      <c r="L8111" t="s">
        <v>15182</v>
      </c>
    </row>
    <row r="8112" spans="1:12">
      <c r="A8112" t="s">
        <v>584</v>
      </c>
      <c r="B8112" s="1" t="s">
        <v>585</v>
      </c>
      <c r="D8112">
        <v>1</v>
      </c>
      <c r="G8112" t="str">
        <f>HYPERLINK("http://babel.hathitrust.org/cgi/pt?id=hvd.hn2wxb")</f>
        <v>http://babel.hathitrust.org/cgi/pt?id=hvd.hn2wxb</v>
      </c>
      <c r="H8112" t="str">
        <f>HYPERLINK("http://catalog.hathitrust.org/Record/011614508")</f>
        <v>http://catalog.hathitrust.org/Record/011614508</v>
      </c>
      <c r="J8112" s="1">
        <v>1849</v>
      </c>
      <c r="K8112" t="s">
        <v>516</v>
      </c>
      <c r="L8112" t="s">
        <v>14485</v>
      </c>
    </row>
    <row r="8113" spans="1:12">
      <c r="A8113" t="s">
        <v>517</v>
      </c>
      <c r="B8113" s="1" t="s">
        <v>518</v>
      </c>
      <c r="D8113">
        <v>1</v>
      </c>
      <c r="G8113" t="str">
        <f>HYPERLINK("http://babel.hathitrust.org/cgi/pt?id=hvd.hn6naz")</f>
        <v>http://babel.hathitrust.org/cgi/pt?id=hvd.hn6naz</v>
      </c>
      <c r="H8113" t="str">
        <f>HYPERLINK("http://catalog.hathitrust.org/Record/011615492")</f>
        <v>http://catalog.hathitrust.org/Record/011615492</v>
      </c>
      <c r="J8113" s="1">
        <v>1840</v>
      </c>
      <c r="K8113" t="s">
        <v>519</v>
      </c>
      <c r="L8113" t="s">
        <v>20086</v>
      </c>
    </row>
    <row r="8114" spans="1:12">
      <c r="A8114" t="s">
        <v>520</v>
      </c>
      <c r="B8114" s="1" t="s">
        <v>521</v>
      </c>
      <c r="E8114">
        <v>1</v>
      </c>
      <c r="G8114" t="str">
        <f>HYPERLINK("http://babel.hathitrust.org/cgi/pt?id=hvd.hn5x1r")</f>
        <v>http://babel.hathitrust.org/cgi/pt?id=hvd.hn5x1r</v>
      </c>
      <c r="H8114" t="str">
        <f>HYPERLINK("http://catalog.hathitrust.org/Record/011616239")</f>
        <v>http://catalog.hathitrust.org/Record/011616239</v>
      </c>
      <c r="J8114" s="1">
        <v>1774</v>
      </c>
      <c r="K8114" t="s">
        <v>522</v>
      </c>
      <c r="L8114" t="s">
        <v>20956</v>
      </c>
    </row>
    <row r="8115" spans="1:12">
      <c r="A8115" t="s">
        <v>523</v>
      </c>
      <c r="B8115" s="1" t="s">
        <v>524</v>
      </c>
      <c r="D8115">
        <v>1</v>
      </c>
      <c r="G8115" t="str">
        <f>HYPERLINK("http://babel.hathitrust.org/cgi/pt?id=hvd.hn3fxf")</f>
        <v>http://babel.hathitrust.org/cgi/pt?id=hvd.hn3fxf</v>
      </c>
      <c r="H8115" t="str">
        <f>HYPERLINK("http://catalog.hathitrust.org/Record/011616590")</f>
        <v>http://catalog.hathitrust.org/Record/011616590</v>
      </c>
      <c r="J8115" s="1">
        <v>1838</v>
      </c>
      <c r="K8115" t="s">
        <v>561</v>
      </c>
      <c r="L8115" t="s">
        <v>20043</v>
      </c>
    </row>
    <row r="8116" spans="1:12">
      <c r="A8116" t="s">
        <v>525</v>
      </c>
      <c r="B8116" s="1" t="s">
        <v>526</v>
      </c>
      <c r="D8116">
        <v>1</v>
      </c>
      <c r="G8116" t="str">
        <f>HYPERLINK("http://babel.hathitrust.org/cgi/pt?id=hvd.hn5wjs")</f>
        <v>http://babel.hathitrust.org/cgi/pt?id=hvd.hn5wjs</v>
      </c>
      <c r="H8116" t="str">
        <f>HYPERLINK("http://catalog.hathitrust.org/Record/011616591")</f>
        <v>http://catalog.hathitrust.org/Record/011616591</v>
      </c>
      <c r="J8116" s="1">
        <v>1839</v>
      </c>
      <c r="K8116" t="s">
        <v>527</v>
      </c>
      <c r="L8116" t="s">
        <v>20043</v>
      </c>
    </row>
    <row r="8117" spans="1:12">
      <c r="A8117" t="s">
        <v>528</v>
      </c>
      <c r="B8117" s="1" t="s">
        <v>529</v>
      </c>
      <c r="D8117">
        <v>1</v>
      </c>
      <c r="G8117" t="str">
        <f>HYPERLINK("http://babel.hathitrust.org/cgi/pt?id=hvd.hn5wxc")</f>
        <v>http://babel.hathitrust.org/cgi/pt?id=hvd.hn5wxc</v>
      </c>
      <c r="H8117" t="str">
        <f>HYPERLINK("http://catalog.hathitrust.org/Record/011616592")</f>
        <v>http://catalog.hathitrust.org/Record/011616592</v>
      </c>
      <c r="J8117" s="1">
        <v>1837</v>
      </c>
      <c r="K8117" t="s">
        <v>530</v>
      </c>
      <c r="L8117" t="s">
        <v>20043</v>
      </c>
    </row>
    <row r="8118" spans="1:12">
      <c r="A8118" t="s">
        <v>531</v>
      </c>
      <c r="B8118" s="1" t="s">
        <v>532</v>
      </c>
      <c r="E8118">
        <v>1</v>
      </c>
      <c r="G8118" t="str">
        <f>HYPERLINK("http://babel.hathitrust.org/cgi/pt?id=hvd.hn5wip")</f>
        <v>http://babel.hathitrust.org/cgi/pt?id=hvd.hn5wip</v>
      </c>
      <c r="H8118" t="str">
        <f>HYPERLINK("http://catalog.hathitrust.org/Record/011616596")</f>
        <v>http://catalog.hathitrust.org/Record/011616596</v>
      </c>
      <c r="J8118" s="1">
        <v>1837</v>
      </c>
      <c r="K8118" t="s">
        <v>533</v>
      </c>
      <c r="L8118" t="s">
        <v>20043</v>
      </c>
    </row>
    <row r="8119" spans="1:12">
      <c r="A8119" t="s">
        <v>534</v>
      </c>
      <c r="B8119" s="1" t="s">
        <v>535</v>
      </c>
      <c r="E8119">
        <v>1</v>
      </c>
      <c r="G8119" t="str">
        <f>HYPERLINK("http://babel.hathitrust.org/cgi/pt?id=hvd.hn5xap")</f>
        <v>http://babel.hathitrust.org/cgi/pt?id=hvd.hn5xap</v>
      </c>
      <c r="H8119" t="str">
        <f>HYPERLINK("http://catalog.hathitrust.org/Record/011616881")</f>
        <v>http://catalog.hathitrust.org/Record/011616881</v>
      </c>
      <c r="J8119" s="1">
        <v>1823</v>
      </c>
      <c r="K8119" t="s">
        <v>536</v>
      </c>
      <c r="L8119" t="s">
        <v>537</v>
      </c>
    </row>
    <row r="8120" spans="1:12">
      <c r="A8120" t="s">
        <v>538</v>
      </c>
      <c r="B8120" s="1" t="s">
        <v>539</v>
      </c>
      <c r="E8120">
        <v>1</v>
      </c>
      <c r="G8120" t="str">
        <f>HYPERLINK("http://babel.hathitrust.org/cgi/pt?id=hvd.hn24l7")</f>
        <v>http://babel.hathitrust.org/cgi/pt?id=hvd.hn24l7</v>
      </c>
      <c r="H8120" t="str">
        <f>HYPERLINK("http://catalog.hathitrust.org/Record/011617380")</f>
        <v>http://catalog.hathitrust.org/Record/011617380</v>
      </c>
      <c r="J8120" s="1">
        <v>1850</v>
      </c>
      <c r="K8120" t="s">
        <v>540</v>
      </c>
      <c r="L8120" t="s">
        <v>11681</v>
      </c>
    </row>
    <row r="8121" spans="1:12">
      <c r="A8121" t="s">
        <v>541</v>
      </c>
      <c r="B8121" s="1" t="s">
        <v>542</v>
      </c>
      <c r="F8121">
        <v>1</v>
      </c>
      <c r="G8121" t="str">
        <f>HYPERLINK("http://babel.hathitrust.org/cgi/pt?id=hvd.hn5x2a")</f>
        <v>http://babel.hathitrust.org/cgi/pt?id=hvd.hn5x2a</v>
      </c>
      <c r="H8121" t="str">
        <f>HYPERLINK("http://catalog.hathitrust.org/Record/011617497")</f>
        <v>http://catalog.hathitrust.org/Record/011617497</v>
      </c>
      <c r="J8121" s="1">
        <v>1860</v>
      </c>
      <c r="K8121" t="s">
        <v>543</v>
      </c>
      <c r="L8121" t="s">
        <v>6119</v>
      </c>
    </row>
    <row r="8122" spans="1:12">
      <c r="A8122" t="s">
        <v>544</v>
      </c>
      <c r="B8122" s="1" t="s">
        <v>545</v>
      </c>
      <c r="F8122">
        <v>1</v>
      </c>
      <c r="G8122" t="str">
        <f>HYPERLINK("http://babel.hathitrust.org/cgi/pt?id=hvd.hn5wjz")</f>
        <v>http://babel.hathitrust.org/cgi/pt?id=hvd.hn5wjz</v>
      </c>
      <c r="H8122" t="str">
        <f>HYPERLINK("http://catalog.hathitrust.org/Record/011617513")</f>
        <v>http://catalog.hathitrust.org/Record/011617513</v>
      </c>
      <c r="J8122" s="1">
        <v>1858</v>
      </c>
      <c r="K8122" t="s">
        <v>546</v>
      </c>
      <c r="L8122" t="s">
        <v>16039</v>
      </c>
    </row>
    <row r="8123" spans="1:12">
      <c r="A8123" t="s">
        <v>547</v>
      </c>
      <c r="B8123" s="1" t="s">
        <v>548</v>
      </c>
      <c r="E8123">
        <v>1</v>
      </c>
      <c r="G8123" t="str">
        <f>HYPERLINK("http://babel.hathitrust.org/cgi/pt?id=hvd.hn6bns")</f>
        <v>http://babel.hathitrust.org/cgi/pt?id=hvd.hn6bns</v>
      </c>
      <c r="H8123" t="str">
        <f>HYPERLINK("http://catalog.hathitrust.org/Record/011617843")</f>
        <v>http://catalog.hathitrust.org/Record/011617843</v>
      </c>
      <c r="J8123" s="1">
        <v>1842</v>
      </c>
      <c r="K8123" t="s">
        <v>481</v>
      </c>
      <c r="L8123" t="s">
        <v>10390</v>
      </c>
    </row>
    <row r="8124" spans="1:12">
      <c r="A8124" t="s">
        <v>482</v>
      </c>
      <c r="B8124" s="1" t="s">
        <v>483</v>
      </c>
      <c r="F8124">
        <v>1</v>
      </c>
      <c r="G8124" t="str">
        <f>HYPERLINK("http://babel.hathitrust.org/cgi/pt?id=hvd.rslgw2")</f>
        <v>http://babel.hathitrust.org/cgi/pt?id=hvd.rslgw2</v>
      </c>
      <c r="H8124" t="str">
        <f>HYPERLINK("http://catalog.hathitrust.org/Record/011618275")</f>
        <v>http://catalog.hathitrust.org/Record/011618275</v>
      </c>
      <c r="J8124" s="1">
        <v>1846</v>
      </c>
      <c r="K8124" t="s">
        <v>864</v>
      </c>
      <c r="L8124" t="s">
        <v>20026</v>
      </c>
    </row>
    <row r="8125" spans="1:12">
      <c r="A8125" t="s">
        <v>484</v>
      </c>
      <c r="B8125" s="1" t="s">
        <v>485</v>
      </c>
      <c r="F8125">
        <v>1</v>
      </c>
      <c r="G8125" t="str">
        <f>HYPERLINK("http://babel.hathitrust.org/cgi/pt?id=hvd.ah5t3s")</f>
        <v>http://babel.hathitrust.org/cgi/pt?id=hvd.ah5t3s</v>
      </c>
      <c r="H8125" t="str">
        <f>HYPERLINK("http://catalog.hathitrust.org/Record/011619072")</f>
        <v>http://catalog.hathitrust.org/Record/011619072</v>
      </c>
      <c r="J8125" s="1">
        <v>1869</v>
      </c>
      <c r="K8125" t="s">
        <v>486</v>
      </c>
      <c r="L8125" t="s">
        <v>19514</v>
      </c>
    </row>
    <row r="8126" spans="1:12">
      <c r="A8126" t="s">
        <v>487</v>
      </c>
      <c r="B8126" s="1" t="s">
        <v>488</v>
      </c>
      <c r="F8126">
        <v>1</v>
      </c>
      <c r="G8126" t="str">
        <f>HYPERLINK("http://babel.hathitrust.org/cgi/pt?id=hvd.32044086599172")</f>
        <v>http://babel.hathitrust.org/cgi/pt?id=hvd.32044086599172</v>
      </c>
      <c r="H8126" t="str">
        <f>HYPERLINK("http://catalog.hathitrust.org/Record/011619334")</f>
        <v>http://catalog.hathitrust.org/Record/011619334</v>
      </c>
      <c r="J8126" s="1">
        <v>1853</v>
      </c>
      <c r="K8126" t="s">
        <v>489</v>
      </c>
      <c r="L8126" t="s">
        <v>490</v>
      </c>
    </row>
    <row r="8127" spans="1:12">
      <c r="A8127" t="s">
        <v>491</v>
      </c>
      <c r="B8127" s="1" t="s">
        <v>492</v>
      </c>
      <c r="E8127">
        <v>1</v>
      </c>
      <c r="G8127" t="str">
        <f>HYPERLINK("http://babel.hathitrust.org/cgi/pt?id=hvd.hnkx5v")</f>
        <v>http://babel.hathitrust.org/cgi/pt?id=hvd.hnkx5v</v>
      </c>
      <c r="H8127" t="str">
        <f>HYPERLINK("http://catalog.hathitrust.org/Record/011619449")</f>
        <v>http://catalog.hathitrust.org/Record/011619449</v>
      </c>
      <c r="J8127" s="1">
        <v>1865</v>
      </c>
      <c r="K8127" t="s">
        <v>12098</v>
      </c>
      <c r="L8127" t="s">
        <v>20773</v>
      </c>
    </row>
    <row r="8128" spans="1:12">
      <c r="A8128" t="s">
        <v>493</v>
      </c>
      <c r="B8128" s="1" t="s">
        <v>494</v>
      </c>
      <c r="E8128">
        <v>1</v>
      </c>
      <c r="G8128" t="str">
        <f>HYPERLINK("http://babel.hathitrust.org/cgi/pt?id=hvd.hwj9az")</f>
        <v>http://babel.hathitrust.org/cgi/pt?id=hvd.hwj9az</v>
      </c>
      <c r="H8128" t="str">
        <f>HYPERLINK("http://catalog.hathitrust.org/Record/011619639")</f>
        <v>http://catalog.hathitrust.org/Record/011619639</v>
      </c>
      <c r="J8128" s="1">
        <v>1862</v>
      </c>
      <c r="K8128" t="s">
        <v>6498</v>
      </c>
      <c r="L8128" t="s">
        <v>20773</v>
      </c>
    </row>
    <row r="8129" spans="1:12">
      <c r="A8129" t="s">
        <v>495</v>
      </c>
      <c r="B8129" s="1" t="s">
        <v>496</v>
      </c>
      <c r="D8129">
        <v>1</v>
      </c>
      <c r="G8129" t="str">
        <f>HYPERLINK("http://babel.hathitrust.org/cgi/pt?id=hvd.32044010377299")</f>
        <v>http://babel.hathitrust.org/cgi/pt?id=hvd.32044010377299</v>
      </c>
      <c r="H8129" t="str">
        <f>HYPERLINK("http://catalog.hathitrust.org/Record/011619841")</f>
        <v>http://catalog.hathitrust.org/Record/011619841</v>
      </c>
      <c r="J8129" s="1">
        <v>1852</v>
      </c>
      <c r="K8129" t="s">
        <v>6699</v>
      </c>
      <c r="L8129" t="s">
        <v>15473</v>
      </c>
    </row>
    <row r="8130" spans="1:12">
      <c r="A8130" t="s">
        <v>497</v>
      </c>
      <c r="B8130" s="1" t="s">
        <v>498</v>
      </c>
      <c r="E8130">
        <v>1</v>
      </c>
      <c r="F8130">
        <v>1</v>
      </c>
      <c r="G8130" t="str">
        <f>HYPERLINK("http://babel.hathitrust.org/cgi/pt?id=hvd.32044097079826")</f>
        <v>http://babel.hathitrust.org/cgi/pt?id=hvd.32044097079826</v>
      </c>
      <c r="H8130" t="str">
        <f>HYPERLINK("http://catalog.hathitrust.org/Record/011619854")</f>
        <v>http://catalog.hathitrust.org/Record/011619854</v>
      </c>
      <c r="J8130" s="1">
        <v>1846</v>
      </c>
      <c r="K8130" t="s">
        <v>499</v>
      </c>
      <c r="L8130" t="s">
        <v>12780</v>
      </c>
    </row>
    <row r="8131" spans="1:12">
      <c r="A8131" t="s">
        <v>500</v>
      </c>
      <c r="B8131" s="1" t="s">
        <v>501</v>
      </c>
      <c r="E8131">
        <v>1</v>
      </c>
      <c r="G8131" t="str">
        <f>HYPERLINK("http://babel.hathitrust.org/cgi/pt?id=hvd.hn23m9")</f>
        <v>http://babel.hathitrust.org/cgi/pt?id=hvd.hn23m9</v>
      </c>
      <c r="H8131" t="str">
        <f>HYPERLINK("http://catalog.hathitrust.org/Record/011620021")</f>
        <v>http://catalog.hathitrust.org/Record/011620021</v>
      </c>
      <c r="J8131" s="1">
        <v>1859</v>
      </c>
      <c r="K8131" t="s">
        <v>502</v>
      </c>
      <c r="L8131" t="s">
        <v>11568</v>
      </c>
    </row>
    <row r="8132" spans="1:12">
      <c r="A8132" t="s">
        <v>503</v>
      </c>
      <c r="B8132" s="1" t="s">
        <v>504</v>
      </c>
      <c r="F8132">
        <v>1</v>
      </c>
      <c r="G8132" t="str">
        <f>HYPERLINK("http://babel.hathitrust.org/cgi/pt?id=hvd.hwnqc6")</f>
        <v>http://babel.hathitrust.org/cgi/pt?id=hvd.hwnqc6</v>
      </c>
      <c r="H8132" t="str">
        <f>HYPERLINK("http://catalog.hathitrust.org/Record/011620048")</f>
        <v>http://catalog.hathitrust.org/Record/011620048</v>
      </c>
      <c r="J8132" s="1">
        <v>1850</v>
      </c>
      <c r="K8132" t="s">
        <v>505</v>
      </c>
      <c r="L8132" t="s">
        <v>556</v>
      </c>
    </row>
    <row r="8133" spans="1:12">
      <c r="A8133" t="s">
        <v>506</v>
      </c>
      <c r="B8133" s="1" t="s">
        <v>507</v>
      </c>
      <c r="F8133">
        <v>1</v>
      </c>
      <c r="G8133" t="str">
        <f>HYPERLINK("http://babel.hathitrust.org/cgi/pt?id=hvd.32044102771599")</f>
        <v>http://babel.hathitrust.org/cgi/pt?id=hvd.32044102771599</v>
      </c>
      <c r="H8133" t="str">
        <f>HYPERLINK("http://catalog.hathitrust.org/Record/011620056")</f>
        <v>http://catalog.hathitrust.org/Record/011620056</v>
      </c>
      <c r="J8133" s="1">
        <v>1870</v>
      </c>
      <c r="K8133" t="s">
        <v>800</v>
      </c>
      <c r="L8133" t="s">
        <v>19442</v>
      </c>
    </row>
    <row r="8134" spans="1:12">
      <c r="A8134" t="s">
        <v>508</v>
      </c>
      <c r="B8134" s="1" t="s">
        <v>507</v>
      </c>
      <c r="F8134">
        <v>1</v>
      </c>
      <c r="G8134" t="str">
        <f>HYPERLINK("http://babel.hathitrust.org/cgi/pt?id=hvd.hn1rqc")</f>
        <v>http://babel.hathitrust.org/cgi/pt?id=hvd.hn1rqc</v>
      </c>
      <c r="H8134" t="str">
        <f>HYPERLINK("http://catalog.hathitrust.org/Record/011620056")</f>
        <v>http://catalog.hathitrust.org/Record/011620056</v>
      </c>
      <c r="J8134" s="1">
        <v>1870</v>
      </c>
      <c r="K8134" t="s">
        <v>800</v>
      </c>
      <c r="L8134" t="s">
        <v>19442</v>
      </c>
    </row>
    <row r="8135" spans="1:12">
      <c r="A8135" t="s">
        <v>509</v>
      </c>
      <c r="B8135" s="1" t="s">
        <v>510</v>
      </c>
      <c r="E8135">
        <v>1</v>
      </c>
      <c r="F8135">
        <v>1</v>
      </c>
      <c r="G8135" t="str">
        <f>HYPERLINK("http://babel.hathitrust.org/cgi/pt?id=hvd.hwnqbh")</f>
        <v>http://babel.hathitrust.org/cgi/pt?id=hvd.hwnqbh</v>
      </c>
      <c r="H8135" t="str">
        <f>HYPERLINK("http://catalog.hathitrust.org/Record/011620450")</f>
        <v>http://catalog.hathitrust.org/Record/011620450</v>
      </c>
      <c r="J8135" s="1">
        <v>1854</v>
      </c>
      <c r="K8135" t="s">
        <v>511</v>
      </c>
      <c r="L8135" t="s">
        <v>19514</v>
      </c>
    </row>
    <row r="8136" spans="1:12">
      <c r="A8136" t="s">
        <v>512</v>
      </c>
      <c r="B8136" s="1" t="s">
        <v>513</v>
      </c>
      <c r="F8136">
        <v>1</v>
      </c>
      <c r="G8136" t="str">
        <f>HYPERLINK("http://babel.hathitrust.org/cgi/pt?id=hvd.hwsika")</f>
        <v>http://babel.hathitrust.org/cgi/pt?id=hvd.hwsika</v>
      </c>
      <c r="H8136" t="str">
        <f>HYPERLINK("http://catalog.hathitrust.org/Record/011620611")</f>
        <v>http://catalog.hathitrust.org/Record/011620611</v>
      </c>
      <c r="J8136" s="1">
        <v>1861</v>
      </c>
      <c r="K8136" t="s">
        <v>514</v>
      </c>
      <c r="L8136" t="s">
        <v>20526</v>
      </c>
    </row>
    <row r="8137" spans="1:12">
      <c r="A8137" t="s">
        <v>515</v>
      </c>
      <c r="B8137" s="1" t="s">
        <v>439</v>
      </c>
      <c r="F8137">
        <v>1</v>
      </c>
      <c r="G8137" t="str">
        <f>HYPERLINK("http://babel.hathitrust.org/cgi/pt?id=hvd.hn2irx")</f>
        <v>http://babel.hathitrust.org/cgi/pt?id=hvd.hn2irx</v>
      </c>
      <c r="H8137" t="str">
        <f>HYPERLINK("http://catalog.hathitrust.org/Record/011621172")</f>
        <v>http://catalog.hathitrust.org/Record/011621172</v>
      </c>
      <c r="J8137" s="1">
        <v>1869</v>
      </c>
      <c r="K8137" t="s">
        <v>11954</v>
      </c>
      <c r="L8137" t="s">
        <v>6371</v>
      </c>
    </row>
    <row r="8138" spans="1:12">
      <c r="A8138" t="s">
        <v>440</v>
      </c>
      <c r="B8138" s="1" t="s">
        <v>441</v>
      </c>
      <c r="F8138">
        <v>1</v>
      </c>
      <c r="G8138" t="str">
        <f>HYPERLINK("http://babel.hathitrust.org/cgi/pt?id=hvd.hn1c37")</f>
        <v>http://babel.hathitrust.org/cgi/pt?id=hvd.hn1c37</v>
      </c>
      <c r="H8138" t="str">
        <f>HYPERLINK("http://catalog.hathitrust.org/Record/011621215")</f>
        <v>http://catalog.hathitrust.org/Record/011621215</v>
      </c>
      <c r="J8138" s="1">
        <v>1870</v>
      </c>
      <c r="K8138" t="s">
        <v>17144</v>
      </c>
      <c r="L8138" t="s">
        <v>17145</v>
      </c>
    </row>
    <row r="8139" spans="1:12">
      <c r="A8139" t="s">
        <v>442</v>
      </c>
      <c r="B8139" s="1" t="s">
        <v>443</v>
      </c>
      <c r="D8139">
        <v>1</v>
      </c>
      <c r="G8139" t="str">
        <f>HYPERLINK("http://babel.hathitrust.org/cgi/pt?id=hvd.hn6bxb")</f>
        <v>http://babel.hathitrust.org/cgi/pt?id=hvd.hn6bxb</v>
      </c>
      <c r="H8139" t="str">
        <f>HYPERLINK("http://catalog.hathitrust.org/Record/011621448")</f>
        <v>http://catalog.hathitrust.org/Record/011621448</v>
      </c>
      <c r="J8139" s="1">
        <v>1805</v>
      </c>
      <c r="K8139" t="s">
        <v>444</v>
      </c>
      <c r="L8139" t="s">
        <v>19694</v>
      </c>
    </row>
    <row r="8140" spans="1:12">
      <c r="A8140" t="s">
        <v>445</v>
      </c>
      <c r="B8140" s="1" t="s">
        <v>446</v>
      </c>
      <c r="F8140">
        <v>1</v>
      </c>
      <c r="G8140" t="str">
        <f>HYPERLINK("http://babel.hathitrust.org/cgi/pt?id=hvd.hn1t3y")</f>
        <v>http://babel.hathitrust.org/cgi/pt?id=hvd.hn1t3y</v>
      </c>
      <c r="H8140" t="str">
        <f>HYPERLINK("http://catalog.hathitrust.org/Record/011621592")</f>
        <v>http://catalog.hathitrust.org/Record/011621592</v>
      </c>
      <c r="J8140" s="1">
        <v>1852</v>
      </c>
      <c r="K8140" t="s">
        <v>447</v>
      </c>
      <c r="L8140" t="s">
        <v>448</v>
      </c>
    </row>
    <row r="8141" spans="1:12">
      <c r="A8141" t="s">
        <v>449</v>
      </c>
      <c r="B8141" s="1" t="s">
        <v>450</v>
      </c>
      <c r="F8141">
        <v>1</v>
      </c>
      <c r="G8141" t="str">
        <f>HYPERLINK("http://babel.hathitrust.org/cgi/pt?id=hvd.hn1fjq")</f>
        <v>http://babel.hathitrust.org/cgi/pt?id=hvd.hn1fjq</v>
      </c>
      <c r="H8141" t="str">
        <f>HYPERLINK("http://catalog.hathitrust.org/Record/011621752")</f>
        <v>http://catalog.hathitrust.org/Record/011621752</v>
      </c>
      <c r="J8141" s="1">
        <v>1866</v>
      </c>
      <c r="K8141" t="s">
        <v>451</v>
      </c>
      <c r="L8141" t="s">
        <v>17034</v>
      </c>
    </row>
    <row r="8142" spans="1:12">
      <c r="A8142" t="s">
        <v>452</v>
      </c>
      <c r="B8142" s="1" t="s">
        <v>453</v>
      </c>
      <c r="E8142">
        <v>1</v>
      </c>
      <c r="G8142" t="str">
        <f>HYPERLINK("http://babel.hathitrust.org/cgi/pt?id=hvd.hn1ccf")</f>
        <v>http://babel.hathitrust.org/cgi/pt?id=hvd.hn1ccf</v>
      </c>
      <c r="H8142" t="str">
        <f>HYPERLINK("http://catalog.hathitrust.org/Record/011622021")</f>
        <v>http://catalog.hathitrust.org/Record/011622021</v>
      </c>
      <c r="J8142" s="1">
        <v>1866</v>
      </c>
      <c r="K8142" t="s">
        <v>454</v>
      </c>
      <c r="L8142" t="s">
        <v>15662</v>
      </c>
    </row>
    <row r="8143" spans="1:12">
      <c r="A8143" t="s">
        <v>455</v>
      </c>
      <c r="B8143" s="1" t="s">
        <v>456</v>
      </c>
      <c r="F8143">
        <v>1</v>
      </c>
      <c r="G8143" t="str">
        <f>HYPERLINK("http://babel.hathitrust.org/cgi/pt?id=hvd.hn2fjq")</f>
        <v>http://babel.hathitrust.org/cgi/pt?id=hvd.hn2fjq</v>
      </c>
      <c r="H8143" t="str">
        <f>HYPERLINK("http://catalog.hathitrust.org/Record/011622126")</f>
        <v>http://catalog.hathitrust.org/Record/011622126</v>
      </c>
      <c r="J8143" s="1">
        <v>1848</v>
      </c>
      <c r="K8143" t="s">
        <v>457</v>
      </c>
      <c r="L8143" t="s">
        <v>2603</v>
      </c>
    </row>
    <row r="8144" spans="1:12">
      <c r="A8144" t="s">
        <v>458</v>
      </c>
      <c r="B8144" s="1" t="s">
        <v>459</v>
      </c>
      <c r="F8144">
        <v>1</v>
      </c>
      <c r="G8144" t="str">
        <f>HYPERLINK("http://babel.hathitrust.org/cgi/pt?id=hvd.hn1fkc")</f>
        <v>http://babel.hathitrust.org/cgi/pt?id=hvd.hn1fkc</v>
      </c>
      <c r="H8144" t="str">
        <f>HYPERLINK("http://catalog.hathitrust.org/Record/011622411")</f>
        <v>http://catalog.hathitrust.org/Record/011622411</v>
      </c>
      <c r="J8144" s="1">
        <v>1868</v>
      </c>
      <c r="K8144" t="s">
        <v>460</v>
      </c>
      <c r="L8144" t="s">
        <v>461</v>
      </c>
    </row>
    <row r="8145" spans="1:12">
      <c r="A8145" t="s">
        <v>462</v>
      </c>
      <c r="B8145" s="1" t="s">
        <v>463</v>
      </c>
      <c r="E8145">
        <v>1</v>
      </c>
      <c r="G8145" t="str">
        <f>HYPERLINK("http://babel.hathitrust.org/cgi/pt?id=hvd.hn1t2b")</f>
        <v>http://babel.hathitrust.org/cgi/pt?id=hvd.hn1t2b</v>
      </c>
      <c r="H8145" t="str">
        <f>HYPERLINK("http://catalog.hathitrust.org/Record/011622446")</f>
        <v>http://catalog.hathitrust.org/Record/011622446</v>
      </c>
      <c r="J8145" s="1">
        <v>1853</v>
      </c>
      <c r="K8145" t="s">
        <v>464</v>
      </c>
      <c r="L8145" t="s">
        <v>5177</v>
      </c>
    </row>
    <row r="8146" spans="1:12">
      <c r="A8146" t="s">
        <v>465</v>
      </c>
      <c r="B8146" s="1" t="s">
        <v>466</v>
      </c>
      <c r="F8146">
        <v>1</v>
      </c>
      <c r="G8146" t="str">
        <f>HYPERLINK("http://babel.hathitrust.org/cgi/pt?id=hvd.hn1f35")</f>
        <v>http://babel.hathitrust.org/cgi/pt?id=hvd.hn1f35</v>
      </c>
      <c r="H8146" t="str">
        <f>HYPERLINK("http://catalog.hathitrust.org/Record/011622804")</f>
        <v>http://catalog.hathitrust.org/Record/011622804</v>
      </c>
      <c r="J8146" s="1">
        <v>1856</v>
      </c>
      <c r="K8146" t="s">
        <v>467</v>
      </c>
      <c r="L8146" t="s">
        <v>13577</v>
      </c>
    </row>
    <row r="8147" spans="1:12">
      <c r="A8147" t="s">
        <v>468</v>
      </c>
      <c r="B8147" s="1" t="s">
        <v>469</v>
      </c>
      <c r="D8147">
        <v>1</v>
      </c>
      <c r="G8147" t="str">
        <f>HYPERLINK("http://babel.hathitrust.org/cgi/pt?id=hvd.hn1tty")</f>
        <v>http://babel.hathitrust.org/cgi/pt?id=hvd.hn1tty</v>
      </c>
      <c r="H8147" t="str">
        <f>HYPERLINK("http://catalog.hathitrust.org/Record/011623445")</f>
        <v>http://catalog.hathitrust.org/Record/011623445</v>
      </c>
      <c r="J8147" s="1">
        <v>1861</v>
      </c>
      <c r="K8147" t="s">
        <v>7293</v>
      </c>
      <c r="L8147" t="s">
        <v>20086</v>
      </c>
    </row>
    <row r="8148" spans="1:12">
      <c r="A8148" t="s">
        <v>470</v>
      </c>
      <c r="B8148" s="1" t="s">
        <v>471</v>
      </c>
      <c r="F8148">
        <v>1</v>
      </c>
      <c r="G8148" t="str">
        <f>HYPERLINK("http://babel.hathitrust.org/cgi/pt?id=hvd.hw22jx")</f>
        <v>http://babel.hathitrust.org/cgi/pt?id=hvd.hw22jx</v>
      </c>
      <c r="H8148" t="str">
        <f>HYPERLINK("http://catalog.hathitrust.org/Record/011624101")</f>
        <v>http://catalog.hathitrust.org/Record/011624101</v>
      </c>
      <c r="J8148" s="1">
        <v>1847</v>
      </c>
      <c r="K8148" t="s">
        <v>472</v>
      </c>
      <c r="L8148" t="s">
        <v>21029</v>
      </c>
    </row>
    <row r="8149" spans="1:12">
      <c r="A8149" t="s">
        <v>473</v>
      </c>
      <c r="B8149" s="1" t="s">
        <v>474</v>
      </c>
      <c r="D8149">
        <v>1</v>
      </c>
      <c r="G8149" t="str">
        <f>HYPERLINK("http://babel.hathitrust.org/cgi/pt?id=hvd.hn5ev8")</f>
        <v>http://babel.hathitrust.org/cgi/pt?id=hvd.hn5ev8</v>
      </c>
      <c r="H8149" t="str">
        <f>HYPERLINK("http://catalog.hathitrust.org/Record/011624500")</f>
        <v>http://catalog.hathitrust.org/Record/011624500</v>
      </c>
      <c r="J8149" s="1">
        <v>1833</v>
      </c>
      <c r="K8149" t="s">
        <v>475</v>
      </c>
      <c r="L8149" t="s">
        <v>20043</v>
      </c>
    </row>
    <row r="8150" spans="1:12">
      <c r="A8150" t="s">
        <v>476</v>
      </c>
      <c r="B8150" s="1" t="s">
        <v>477</v>
      </c>
      <c r="D8150">
        <v>1</v>
      </c>
      <c r="G8150" t="str">
        <f>HYPERLINK("http://babel.hathitrust.org/cgi/pt?id=hvd.hn1clk")</f>
        <v>http://babel.hathitrust.org/cgi/pt?id=hvd.hn1clk</v>
      </c>
      <c r="H8150" t="str">
        <f>HYPERLINK("http://catalog.hathitrust.org/Record/011624501")</f>
        <v>http://catalog.hathitrust.org/Record/011624501</v>
      </c>
      <c r="J8150" s="1">
        <v>1867</v>
      </c>
      <c r="K8150" t="s">
        <v>478</v>
      </c>
      <c r="L8150" t="s">
        <v>20043</v>
      </c>
    </row>
    <row r="8151" spans="1:12">
      <c r="A8151" t="s">
        <v>479</v>
      </c>
      <c r="B8151" s="1" t="s">
        <v>480</v>
      </c>
      <c r="E8151">
        <v>1</v>
      </c>
      <c r="G8151" t="str">
        <f>HYPERLINK("http://babel.hathitrust.org/cgi/pt?id=hvd.hn1etg")</f>
        <v>http://babel.hathitrust.org/cgi/pt?id=hvd.hn1etg</v>
      </c>
      <c r="H8151" t="str">
        <f>HYPERLINK("http://catalog.hathitrust.org/Record/011624503")</f>
        <v>http://catalog.hathitrust.org/Record/011624503</v>
      </c>
      <c r="J8151" s="1">
        <v>1835</v>
      </c>
      <c r="K8151" t="s">
        <v>415</v>
      </c>
      <c r="L8151" t="s">
        <v>20043</v>
      </c>
    </row>
    <row r="8152" spans="1:12">
      <c r="A8152" t="s">
        <v>416</v>
      </c>
      <c r="B8152" s="1" t="s">
        <v>417</v>
      </c>
      <c r="E8152">
        <v>1</v>
      </c>
      <c r="G8152" t="str">
        <f>HYPERLINK("http://babel.hathitrust.org/cgi/pt?id=hvd.hn1evk")</f>
        <v>http://babel.hathitrust.org/cgi/pt?id=hvd.hn1evk</v>
      </c>
      <c r="H8152" t="str">
        <f>HYPERLINK("http://catalog.hathitrust.org/Record/011624504")</f>
        <v>http://catalog.hathitrust.org/Record/011624504</v>
      </c>
      <c r="J8152" s="1">
        <v>1846</v>
      </c>
      <c r="K8152" t="s">
        <v>418</v>
      </c>
      <c r="L8152" t="s">
        <v>20043</v>
      </c>
    </row>
    <row r="8153" spans="1:12">
      <c r="A8153" t="s">
        <v>419</v>
      </c>
      <c r="B8153" s="1" t="s">
        <v>420</v>
      </c>
      <c r="D8153">
        <v>1</v>
      </c>
      <c r="G8153" t="str">
        <f>HYPERLINK("http://babel.hathitrust.org/cgi/pt?id=hvd.hn1rqn")</f>
        <v>http://babel.hathitrust.org/cgi/pt?id=hvd.hn1rqn</v>
      </c>
      <c r="H8153" t="str">
        <f>HYPERLINK("http://catalog.hathitrust.org/Record/011624506")</f>
        <v>http://catalog.hathitrust.org/Record/011624506</v>
      </c>
      <c r="J8153" s="1">
        <v>1839</v>
      </c>
      <c r="K8153" t="s">
        <v>421</v>
      </c>
      <c r="L8153" t="s">
        <v>20043</v>
      </c>
    </row>
    <row r="8154" spans="1:12">
      <c r="A8154" t="s">
        <v>422</v>
      </c>
      <c r="B8154" s="1" t="s">
        <v>423</v>
      </c>
      <c r="F8154">
        <v>1</v>
      </c>
      <c r="G8154" t="str">
        <f>HYPERLINK("http://babel.hathitrust.org/cgi/pt?id=hvd.hn1eu2")</f>
        <v>http://babel.hathitrust.org/cgi/pt?id=hvd.hn1eu2</v>
      </c>
      <c r="H8154" t="str">
        <f>HYPERLINK("http://catalog.hathitrust.org/Record/011624618")</f>
        <v>http://catalog.hathitrust.org/Record/011624618</v>
      </c>
      <c r="J8154" s="1">
        <v>1864</v>
      </c>
      <c r="K8154" t="s">
        <v>11335</v>
      </c>
      <c r="L8154" t="s">
        <v>15292</v>
      </c>
    </row>
    <row r="8155" spans="1:12">
      <c r="A8155" t="s">
        <v>424</v>
      </c>
      <c r="B8155" s="1" t="s">
        <v>425</v>
      </c>
      <c r="F8155">
        <v>1</v>
      </c>
      <c r="G8155" t="str">
        <f>HYPERLINK("http://babel.hathitrust.org/cgi/pt?id=hvd.hn1j1n")</f>
        <v>http://babel.hathitrust.org/cgi/pt?id=hvd.hn1j1n</v>
      </c>
      <c r="H8155" t="str">
        <f>HYPERLINK("http://catalog.hathitrust.org/Record/011624653")</f>
        <v>http://catalog.hathitrust.org/Record/011624653</v>
      </c>
      <c r="J8155" s="1">
        <v>1838</v>
      </c>
      <c r="K8155" t="s">
        <v>426</v>
      </c>
      <c r="L8155" t="s">
        <v>8550</v>
      </c>
    </row>
    <row r="8156" spans="1:12">
      <c r="A8156" t="s">
        <v>427</v>
      </c>
      <c r="B8156" s="1" t="s">
        <v>428</v>
      </c>
      <c r="F8156">
        <v>1</v>
      </c>
      <c r="G8156" t="str">
        <f>HYPERLINK("http://babel.hathitrust.org/cgi/pt?id=hvd.hn1dls")</f>
        <v>http://babel.hathitrust.org/cgi/pt?id=hvd.hn1dls</v>
      </c>
      <c r="H8156" t="str">
        <f>HYPERLINK("http://catalog.hathitrust.org/Record/011625818")</f>
        <v>http://catalog.hathitrust.org/Record/011625818</v>
      </c>
      <c r="J8156" s="1">
        <v>1848</v>
      </c>
      <c r="K8156" t="s">
        <v>2500</v>
      </c>
      <c r="L8156" t="s">
        <v>6295</v>
      </c>
    </row>
    <row r="8157" spans="1:12">
      <c r="A8157" t="s">
        <v>429</v>
      </c>
      <c r="B8157" s="1" t="s">
        <v>430</v>
      </c>
      <c r="E8157">
        <v>1</v>
      </c>
      <c r="G8157" t="str">
        <f>HYPERLINK("http://babel.hathitrust.org/cgi/pt?id=hvd.hw22yy")</f>
        <v>http://babel.hathitrust.org/cgi/pt?id=hvd.hw22yy</v>
      </c>
      <c r="H8157" t="str">
        <f>HYPERLINK("http://catalog.hathitrust.org/Record/011625973")</f>
        <v>http://catalog.hathitrust.org/Record/011625973</v>
      </c>
      <c r="J8157" s="1">
        <v>1855</v>
      </c>
      <c r="K8157" t="s">
        <v>962</v>
      </c>
      <c r="L8157" t="s">
        <v>19514</v>
      </c>
    </row>
    <row r="8158" spans="1:12">
      <c r="A8158" t="s">
        <v>431</v>
      </c>
      <c r="B8158" s="1" t="s">
        <v>432</v>
      </c>
      <c r="E8158">
        <v>1</v>
      </c>
      <c r="G8158" t="str">
        <f>HYPERLINK("http://babel.hathitrust.org/cgi/pt?id=hvd.hw3a18")</f>
        <v>http://babel.hathitrust.org/cgi/pt?id=hvd.hw3a18</v>
      </c>
      <c r="H8158" t="str">
        <f>HYPERLINK("http://catalog.hathitrust.org/Record/011625974")</f>
        <v>http://catalog.hathitrust.org/Record/011625974</v>
      </c>
      <c r="J8158" s="1">
        <v>1861</v>
      </c>
      <c r="K8158" t="s">
        <v>433</v>
      </c>
      <c r="L8158" t="s">
        <v>19514</v>
      </c>
    </row>
    <row r="8159" spans="1:12">
      <c r="A8159" t="s">
        <v>434</v>
      </c>
      <c r="B8159" s="1" t="s">
        <v>435</v>
      </c>
      <c r="E8159">
        <v>1</v>
      </c>
      <c r="F8159">
        <v>1</v>
      </c>
      <c r="G8159" t="str">
        <f>HYPERLINK("http://babel.hathitrust.org/cgi/pt?id=hvd.32044081497190")</f>
        <v>http://babel.hathitrust.org/cgi/pt?id=hvd.32044081497190</v>
      </c>
      <c r="H8159" t="str">
        <f>HYPERLINK("http://catalog.hathitrust.org/Record/011628193")</f>
        <v>http://catalog.hathitrust.org/Record/011628193</v>
      </c>
      <c r="J8159" s="1">
        <v>1860</v>
      </c>
      <c r="K8159" t="s">
        <v>436</v>
      </c>
      <c r="L8159" t="s">
        <v>6119</v>
      </c>
    </row>
    <row r="8160" spans="1:12">
      <c r="A8160" t="s">
        <v>437</v>
      </c>
      <c r="B8160" s="1" t="s">
        <v>438</v>
      </c>
      <c r="F8160">
        <v>1</v>
      </c>
      <c r="G8160" t="str">
        <f>HYPERLINK("http://babel.hathitrust.org/cgi/pt?id=hvd.hx5dkm")</f>
        <v>http://babel.hathitrust.org/cgi/pt?id=hvd.hx5dkm</v>
      </c>
      <c r="H8160" t="str">
        <f>HYPERLINK("http://catalog.hathitrust.org/Record/011628324")</f>
        <v>http://catalog.hathitrust.org/Record/011628324</v>
      </c>
      <c r="J8160" s="1">
        <v>1838</v>
      </c>
      <c r="K8160" t="s">
        <v>365</v>
      </c>
      <c r="L8160" t="s">
        <v>4500</v>
      </c>
    </row>
    <row r="8161" spans="1:12">
      <c r="A8161" t="s">
        <v>366</v>
      </c>
      <c r="B8161" s="1" t="s">
        <v>367</v>
      </c>
      <c r="E8161">
        <v>1</v>
      </c>
      <c r="G8161" t="str">
        <f>HYPERLINK("http://babel.hathitrust.org/cgi/pt?id=hvd.hn61ny")</f>
        <v>http://babel.hathitrust.org/cgi/pt?id=hvd.hn61ny</v>
      </c>
      <c r="H8161" t="str">
        <f>HYPERLINK("http://catalog.hathitrust.org/Record/011628502")</f>
        <v>http://catalog.hathitrust.org/Record/011628502</v>
      </c>
      <c r="J8161" s="1">
        <v>1857</v>
      </c>
      <c r="K8161" t="s">
        <v>368</v>
      </c>
      <c r="L8161" t="s">
        <v>20485</v>
      </c>
    </row>
    <row r="8162" spans="1:12">
      <c r="A8162" t="s">
        <v>369</v>
      </c>
      <c r="B8162" s="1" t="s">
        <v>370</v>
      </c>
      <c r="F8162">
        <v>1</v>
      </c>
      <c r="G8162" t="str">
        <f>HYPERLINK("http://babel.hathitrust.org/cgi/pt?id=hvd.hwj9ax")</f>
        <v>http://babel.hathitrust.org/cgi/pt?id=hvd.hwj9ax</v>
      </c>
      <c r="H8162" t="str">
        <f>HYPERLINK("http://catalog.hathitrust.org/Record/011628644")</f>
        <v>http://catalog.hathitrust.org/Record/011628644</v>
      </c>
      <c r="I8162" s="1" t="s">
        <v>20755</v>
      </c>
      <c r="J8162" s="1">
        <v>1864</v>
      </c>
      <c r="K8162" t="s">
        <v>371</v>
      </c>
      <c r="L8162" t="s">
        <v>17914</v>
      </c>
    </row>
    <row r="8163" spans="1:12">
      <c r="A8163" t="s">
        <v>372</v>
      </c>
      <c r="B8163" s="1" t="s">
        <v>370</v>
      </c>
      <c r="F8163">
        <v>1</v>
      </c>
      <c r="G8163" t="str">
        <f>HYPERLINK("http://babel.hathitrust.org/cgi/pt?id=hvd.hwj9ay")</f>
        <v>http://babel.hathitrust.org/cgi/pt?id=hvd.hwj9ay</v>
      </c>
      <c r="H8163" t="str">
        <f>HYPERLINK("http://catalog.hathitrust.org/Record/011628644")</f>
        <v>http://catalog.hathitrust.org/Record/011628644</v>
      </c>
      <c r="I8163" s="1" t="s">
        <v>20916</v>
      </c>
      <c r="J8163" s="1">
        <v>1864</v>
      </c>
      <c r="K8163" t="s">
        <v>371</v>
      </c>
      <c r="L8163" t="s">
        <v>17914</v>
      </c>
    </row>
    <row r="8164" spans="1:12">
      <c r="A8164" t="s">
        <v>373</v>
      </c>
      <c r="B8164" s="1" t="s">
        <v>374</v>
      </c>
      <c r="F8164">
        <v>1</v>
      </c>
      <c r="G8164" t="str">
        <f>HYPERLINK("http://babel.hathitrust.org/cgi/pt?id=hvd.hx5djm")</f>
        <v>http://babel.hathitrust.org/cgi/pt?id=hvd.hx5djm</v>
      </c>
      <c r="H8164" t="str">
        <f>HYPERLINK("http://catalog.hathitrust.org/Record/011628994")</f>
        <v>http://catalog.hathitrust.org/Record/011628994</v>
      </c>
      <c r="J8164" s="1">
        <v>1871</v>
      </c>
      <c r="K8164" t="s">
        <v>375</v>
      </c>
      <c r="L8164" t="s">
        <v>10091</v>
      </c>
    </row>
    <row r="8165" spans="1:12">
      <c r="A8165" t="s">
        <v>376</v>
      </c>
      <c r="B8165" s="1" t="s">
        <v>377</v>
      </c>
      <c r="F8165">
        <v>1</v>
      </c>
      <c r="G8165" t="str">
        <f>HYPERLINK("http://babel.hathitrust.org/cgi/pt?id=hvd.hwkb4i")</f>
        <v>http://babel.hathitrust.org/cgi/pt?id=hvd.hwkb4i</v>
      </c>
      <c r="H8165" t="str">
        <f>HYPERLINK("http://catalog.hathitrust.org/Record/011629037")</f>
        <v>http://catalog.hathitrust.org/Record/011629037</v>
      </c>
      <c r="J8165" s="1">
        <v>1845</v>
      </c>
      <c r="K8165" t="s">
        <v>378</v>
      </c>
      <c r="L8165" t="s">
        <v>20297</v>
      </c>
    </row>
    <row r="8166" spans="1:12">
      <c r="A8166" t="s">
        <v>379</v>
      </c>
      <c r="B8166" s="1" t="s">
        <v>380</v>
      </c>
      <c r="F8166">
        <v>1</v>
      </c>
      <c r="G8166" t="str">
        <f>HYPERLINK("http://babel.hathitrust.org/cgi/pt?id=hvd.hwsk4z")</f>
        <v>http://babel.hathitrust.org/cgi/pt?id=hvd.hwsk4z</v>
      </c>
      <c r="H8166" t="str">
        <f>HYPERLINK("http://catalog.hathitrust.org/Record/011629259")</f>
        <v>http://catalog.hathitrust.org/Record/011629259</v>
      </c>
      <c r="J8166" s="1">
        <v>1857</v>
      </c>
      <c r="K8166" t="s">
        <v>381</v>
      </c>
      <c r="L8166" t="s">
        <v>19505</v>
      </c>
    </row>
    <row r="8167" spans="1:12">
      <c r="A8167" t="s">
        <v>382</v>
      </c>
      <c r="B8167" s="1" t="s">
        <v>383</v>
      </c>
      <c r="F8167">
        <v>1</v>
      </c>
      <c r="G8167" t="str">
        <f>HYPERLINK("http://babel.hathitrust.org/cgi/pt?id=hvd.hn1qc9")</f>
        <v>http://babel.hathitrust.org/cgi/pt?id=hvd.hn1qc9</v>
      </c>
      <c r="H8167" t="str">
        <f>HYPERLINK("http://catalog.hathitrust.org/Record/011629392")</f>
        <v>http://catalog.hathitrust.org/Record/011629392</v>
      </c>
      <c r="J8167" s="1">
        <v>1846</v>
      </c>
      <c r="K8167" t="s">
        <v>11558</v>
      </c>
      <c r="L8167" t="s">
        <v>12718</v>
      </c>
    </row>
    <row r="8168" spans="1:12">
      <c r="A8168" t="s">
        <v>384</v>
      </c>
      <c r="B8168" s="1" t="s">
        <v>385</v>
      </c>
      <c r="F8168">
        <v>1</v>
      </c>
      <c r="G8168" t="str">
        <f>HYPERLINK("http://babel.hathitrust.org/cgi/pt?id=hvd.32044102769734")</f>
        <v>http://babel.hathitrust.org/cgi/pt?id=hvd.32044102769734</v>
      </c>
      <c r="H8168" t="str">
        <f>HYPERLINK("http://catalog.hathitrust.org/Record/011629479")</f>
        <v>http://catalog.hathitrust.org/Record/011629479</v>
      </c>
      <c r="J8168" s="1">
        <v>1871</v>
      </c>
      <c r="K8168" t="s">
        <v>3972</v>
      </c>
      <c r="L8168" t="s">
        <v>19442</v>
      </c>
    </row>
    <row r="8169" spans="1:12">
      <c r="A8169" t="s">
        <v>386</v>
      </c>
      <c r="B8169" s="1" t="s">
        <v>387</v>
      </c>
      <c r="F8169">
        <v>1</v>
      </c>
      <c r="G8169" t="str">
        <f>HYPERLINK("http://babel.hathitrust.org/cgi/pt?id=hvd.32044081501850")</f>
        <v>http://babel.hathitrust.org/cgi/pt?id=hvd.32044081501850</v>
      </c>
      <c r="H8169" t="str">
        <f>HYPERLINK("http://catalog.hathitrust.org/Record/011629596")</f>
        <v>http://catalog.hathitrust.org/Record/011629596</v>
      </c>
      <c r="J8169" s="1">
        <v>1866</v>
      </c>
      <c r="K8169" t="s">
        <v>4484</v>
      </c>
      <c r="L8169" t="s">
        <v>17959</v>
      </c>
    </row>
    <row r="8170" spans="1:12">
      <c r="A8170" t="s">
        <v>388</v>
      </c>
      <c r="B8170" s="1" t="s">
        <v>389</v>
      </c>
      <c r="F8170">
        <v>1</v>
      </c>
      <c r="G8170" t="str">
        <f>HYPERLINK("http://babel.hathitrust.org/cgi/pt?id=hvd.hx5dlt")</f>
        <v>http://babel.hathitrust.org/cgi/pt?id=hvd.hx5dlt</v>
      </c>
      <c r="H8170" t="str">
        <f>HYPERLINK("http://catalog.hathitrust.org/Record/011630067")</f>
        <v>http://catalog.hathitrust.org/Record/011630067</v>
      </c>
      <c r="J8170" s="1">
        <v>1849</v>
      </c>
      <c r="K8170" t="s">
        <v>390</v>
      </c>
      <c r="L8170" t="s">
        <v>391</v>
      </c>
    </row>
    <row r="8171" spans="1:12">
      <c r="A8171" t="s">
        <v>392</v>
      </c>
      <c r="B8171" s="1" t="s">
        <v>393</v>
      </c>
      <c r="F8171">
        <v>1</v>
      </c>
      <c r="G8171" t="str">
        <f>HYPERLINK("http://babel.hathitrust.org/cgi/pt?id=hvd.hnjymb")</f>
        <v>http://babel.hathitrust.org/cgi/pt?id=hvd.hnjymb</v>
      </c>
      <c r="H8171" t="str">
        <f>HYPERLINK("http://catalog.hathitrust.org/Record/011630191")</f>
        <v>http://catalog.hathitrust.org/Record/011630191</v>
      </c>
      <c r="J8171" s="1">
        <v>1854</v>
      </c>
      <c r="K8171" t="s">
        <v>394</v>
      </c>
      <c r="L8171" t="s">
        <v>395</v>
      </c>
    </row>
    <row r="8172" spans="1:12">
      <c r="A8172" t="s">
        <v>396</v>
      </c>
      <c r="B8172" s="1" t="s">
        <v>397</v>
      </c>
      <c r="F8172">
        <v>1</v>
      </c>
      <c r="G8172" t="str">
        <f>HYPERLINK("http://babel.hathitrust.org/cgi/pt?id=hvd.32044022660989")</f>
        <v>http://babel.hathitrust.org/cgi/pt?id=hvd.32044022660989</v>
      </c>
      <c r="H8172" t="str">
        <f>HYPERLINK("http://catalog.hathitrust.org/Record/011630362")</f>
        <v>http://catalog.hathitrust.org/Record/011630362</v>
      </c>
      <c r="J8172" s="1">
        <v>1871</v>
      </c>
      <c r="K8172" t="s">
        <v>398</v>
      </c>
    </row>
    <row r="8173" spans="1:12">
      <c r="A8173" t="s">
        <v>399</v>
      </c>
      <c r="B8173" s="1" t="s">
        <v>400</v>
      </c>
      <c r="F8173">
        <v>1</v>
      </c>
      <c r="G8173" t="str">
        <f>HYPERLINK("http://babel.hathitrust.org/cgi/pt?id=hvd.hwpa7b")</f>
        <v>http://babel.hathitrust.org/cgi/pt?id=hvd.hwpa7b</v>
      </c>
      <c r="H8173" t="str">
        <f>HYPERLINK("http://catalog.hathitrust.org/Record/011630590")</f>
        <v>http://catalog.hathitrust.org/Record/011630590</v>
      </c>
      <c r="J8173" s="1">
        <v>1853</v>
      </c>
      <c r="K8173" t="s">
        <v>401</v>
      </c>
      <c r="L8173" t="s">
        <v>20960</v>
      </c>
    </row>
    <row r="8174" spans="1:12">
      <c r="A8174" t="s">
        <v>402</v>
      </c>
      <c r="B8174" s="1" t="s">
        <v>403</v>
      </c>
      <c r="F8174">
        <v>1</v>
      </c>
      <c r="G8174" t="str">
        <f>HYPERLINK("http://babel.hathitrust.org/cgi/pt?id=hvd.hn1r2m")</f>
        <v>http://babel.hathitrust.org/cgi/pt?id=hvd.hn1r2m</v>
      </c>
      <c r="H8174" t="str">
        <f>HYPERLINK("http://catalog.hathitrust.org/Record/011631206")</f>
        <v>http://catalog.hathitrust.org/Record/011631206</v>
      </c>
      <c r="J8174" s="1">
        <v>1859</v>
      </c>
      <c r="K8174" t="s">
        <v>757</v>
      </c>
      <c r="L8174" t="s">
        <v>15032</v>
      </c>
    </row>
    <row r="8175" spans="1:12">
      <c r="A8175" t="s">
        <v>404</v>
      </c>
      <c r="B8175" s="1" t="s">
        <v>405</v>
      </c>
      <c r="E8175">
        <v>1</v>
      </c>
      <c r="G8175" t="str">
        <f>HYPERLINK("http://babel.hathitrust.org/cgi/pt?id=hvd.hn1q78")</f>
        <v>http://babel.hathitrust.org/cgi/pt?id=hvd.hn1q78</v>
      </c>
      <c r="H8175" t="str">
        <f>HYPERLINK("http://catalog.hathitrust.org/Record/011631605")</f>
        <v>http://catalog.hathitrust.org/Record/011631605</v>
      </c>
      <c r="J8175" s="1">
        <v>1871</v>
      </c>
      <c r="K8175" t="s">
        <v>406</v>
      </c>
      <c r="L8175" t="s">
        <v>12780</v>
      </c>
    </row>
    <row r="8176" spans="1:12">
      <c r="A8176" t="s">
        <v>407</v>
      </c>
      <c r="B8176" s="1" t="s">
        <v>408</v>
      </c>
      <c r="D8176">
        <v>1</v>
      </c>
      <c r="G8176" t="str">
        <f>HYPERLINK("http://babel.hathitrust.org/cgi/pt?id=hvd.hxczs9")</f>
        <v>http://babel.hathitrust.org/cgi/pt?id=hvd.hxczs9</v>
      </c>
      <c r="H8176" t="str">
        <f>HYPERLINK("http://catalog.hathitrust.org/Record/011631610")</f>
        <v>http://catalog.hathitrust.org/Record/011631610</v>
      </c>
      <c r="J8176" s="1">
        <v>1847</v>
      </c>
      <c r="K8176" t="s">
        <v>409</v>
      </c>
    </row>
    <row r="8177" spans="1:12">
      <c r="A8177" t="s">
        <v>410</v>
      </c>
      <c r="B8177" s="1" t="s">
        <v>411</v>
      </c>
      <c r="E8177">
        <v>1</v>
      </c>
      <c r="G8177" t="str">
        <f>HYPERLINK("http://babel.hathitrust.org/cgi/pt?id=hvd.hn1uel")</f>
        <v>http://babel.hathitrust.org/cgi/pt?id=hvd.hn1uel</v>
      </c>
      <c r="H8177" t="str">
        <f>HYPERLINK("http://catalog.hathitrust.org/Record/011633365")</f>
        <v>http://catalog.hathitrust.org/Record/011633365</v>
      </c>
      <c r="J8177" s="1">
        <v>1853</v>
      </c>
      <c r="K8177" t="s">
        <v>412</v>
      </c>
      <c r="L8177" t="s">
        <v>20043</v>
      </c>
    </row>
    <row r="8178" spans="1:12">
      <c r="A8178" t="s">
        <v>413</v>
      </c>
      <c r="B8178" s="1" t="s">
        <v>414</v>
      </c>
      <c r="F8178">
        <v>1</v>
      </c>
      <c r="G8178" t="str">
        <f>HYPERLINK("http://babel.hathitrust.org/cgi/pt?id=hvd.hw3a2u")</f>
        <v>http://babel.hathitrust.org/cgi/pt?id=hvd.hw3a2u</v>
      </c>
      <c r="H8178" t="str">
        <f>HYPERLINK("http://catalog.hathitrust.org/Record/011633528")</f>
        <v>http://catalog.hathitrust.org/Record/011633528</v>
      </c>
      <c r="J8178" s="1">
        <v>1867</v>
      </c>
      <c r="K8178" t="s">
        <v>343</v>
      </c>
      <c r="L8178" t="s">
        <v>15292</v>
      </c>
    </row>
    <row r="8179" spans="1:12">
      <c r="A8179" t="s">
        <v>344</v>
      </c>
      <c r="B8179" s="1" t="s">
        <v>345</v>
      </c>
      <c r="F8179">
        <v>1</v>
      </c>
      <c r="G8179" t="str">
        <f>HYPERLINK("http://babel.hathitrust.org/cgi/pt?id=hvd.hn1rvq")</f>
        <v>http://babel.hathitrust.org/cgi/pt?id=hvd.hn1rvq</v>
      </c>
      <c r="H8179" t="str">
        <f>HYPERLINK("http://catalog.hathitrust.org/Record/011633563")</f>
        <v>http://catalog.hathitrust.org/Record/011633563</v>
      </c>
      <c r="J8179" s="1">
        <v>1845</v>
      </c>
      <c r="K8179" t="s">
        <v>346</v>
      </c>
      <c r="L8179" t="s">
        <v>8550</v>
      </c>
    </row>
    <row r="8180" spans="1:12">
      <c r="A8180" t="s">
        <v>347</v>
      </c>
      <c r="B8180" s="1" t="s">
        <v>348</v>
      </c>
      <c r="F8180">
        <v>1</v>
      </c>
      <c r="G8180" t="str">
        <f>HYPERLINK("http://babel.hathitrust.org/cgi/pt?id=hvd.hn3klm")</f>
        <v>http://babel.hathitrust.org/cgi/pt?id=hvd.hn3klm</v>
      </c>
      <c r="H8180" t="str">
        <f>HYPERLINK("http://catalog.hathitrust.org/Record/011633567")</f>
        <v>http://catalog.hathitrust.org/Record/011633567</v>
      </c>
      <c r="J8180" s="1">
        <v>1843</v>
      </c>
      <c r="K8180" t="s">
        <v>349</v>
      </c>
      <c r="L8180" t="s">
        <v>8550</v>
      </c>
    </row>
    <row r="8181" spans="1:12">
      <c r="A8181" t="s">
        <v>350</v>
      </c>
      <c r="B8181" s="1" t="s">
        <v>351</v>
      </c>
      <c r="F8181">
        <v>1</v>
      </c>
      <c r="G8181" t="str">
        <f>HYPERLINK("http://babel.hathitrust.org/cgi/pt?id=hvd.hw3ed7")</f>
        <v>http://babel.hathitrust.org/cgi/pt?id=hvd.hw3ed7</v>
      </c>
      <c r="H8181" t="str">
        <f>HYPERLINK("http://catalog.hathitrust.org/Record/011633954")</f>
        <v>http://catalog.hathitrust.org/Record/011633954</v>
      </c>
      <c r="J8181" s="1">
        <v>1856</v>
      </c>
      <c r="K8181" t="s">
        <v>352</v>
      </c>
      <c r="L8181" t="s">
        <v>11018</v>
      </c>
    </row>
    <row r="8182" spans="1:12">
      <c r="A8182" t="s">
        <v>353</v>
      </c>
      <c r="B8182" s="1" t="s">
        <v>354</v>
      </c>
      <c r="E8182">
        <v>1</v>
      </c>
      <c r="G8182" t="str">
        <f>HYPERLINK("http://babel.hathitrust.org/cgi/pt?id=hvd.hn37lg")</f>
        <v>http://babel.hathitrust.org/cgi/pt?id=hvd.hn37lg</v>
      </c>
      <c r="H8182" t="str">
        <f>HYPERLINK("http://catalog.hathitrust.org/Record/011634763")</f>
        <v>http://catalog.hathitrust.org/Record/011634763</v>
      </c>
      <c r="J8182" s="1">
        <v>1859</v>
      </c>
      <c r="K8182" t="s">
        <v>355</v>
      </c>
      <c r="L8182" t="s">
        <v>10390</v>
      </c>
    </row>
    <row r="8183" spans="1:12">
      <c r="A8183" t="s">
        <v>356</v>
      </c>
      <c r="B8183" s="1" t="s">
        <v>357</v>
      </c>
      <c r="F8183">
        <v>1</v>
      </c>
      <c r="G8183" t="str">
        <f>HYPERLINK("http://babel.hathitrust.org/cgi/pt?id=hvd.hn1jzr")</f>
        <v>http://babel.hathitrust.org/cgi/pt?id=hvd.hn1jzr</v>
      </c>
      <c r="H8183" t="str">
        <f>HYPERLINK("http://catalog.hathitrust.org/Record/011634868")</f>
        <v>http://catalog.hathitrust.org/Record/011634868</v>
      </c>
      <c r="J8183" s="1">
        <v>1835</v>
      </c>
      <c r="K8183" t="s">
        <v>358</v>
      </c>
      <c r="L8183" t="s">
        <v>12659</v>
      </c>
    </row>
    <row r="8184" spans="1:12">
      <c r="A8184" t="s">
        <v>359</v>
      </c>
      <c r="B8184" s="1" t="s">
        <v>360</v>
      </c>
      <c r="F8184">
        <v>1</v>
      </c>
      <c r="G8184" t="str">
        <f>HYPERLINK("http://babel.hathitrust.org/cgi/pt?id=hvd.hwskpf")</f>
        <v>http://babel.hathitrust.org/cgi/pt?id=hvd.hwskpf</v>
      </c>
      <c r="H8184" t="str">
        <f>HYPERLINK("http://catalog.hathitrust.org/Record/011635569")</f>
        <v>http://catalog.hathitrust.org/Record/011635569</v>
      </c>
      <c r="J8184" s="1">
        <v>1870</v>
      </c>
      <c r="K8184" t="s">
        <v>361</v>
      </c>
      <c r="L8184" t="s">
        <v>362</v>
      </c>
    </row>
    <row r="8185" spans="1:12">
      <c r="A8185" t="s">
        <v>363</v>
      </c>
      <c r="B8185" s="1" t="s">
        <v>364</v>
      </c>
      <c r="F8185">
        <v>1</v>
      </c>
      <c r="G8185" t="str">
        <f>HYPERLINK("http://babel.hathitrust.org/cgi/pt?id=hvd.hwnzk9")</f>
        <v>http://babel.hathitrust.org/cgi/pt?id=hvd.hwnzk9</v>
      </c>
      <c r="H8185" t="str">
        <f>HYPERLINK("http://catalog.hathitrust.org/Record/011636413")</f>
        <v>http://catalog.hathitrust.org/Record/011636413</v>
      </c>
      <c r="J8185" s="1">
        <v>1870</v>
      </c>
      <c r="K8185" t="s">
        <v>283</v>
      </c>
      <c r="L8185" t="s">
        <v>17169</v>
      </c>
    </row>
    <row r="8186" spans="1:12">
      <c r="A8186" t="s">
        <v>284</v>
      </c>
      <c r="B8186" s="1" t="s">
        <v>285</v>
      </c>
      <c r="E8186">
        <v>1</v>
      </c>
      <c r="F8186">
        <v>1</v>
      </c>
      <c r="G8186" t="str">
        <f>HYPERLINK("http://babel.hathitrust.org/cgi/pt?id=hvd.hx5b1b")</f>
        <v>http://babel.hathitrust.org/cgi/pt?id=hvd.hx5b1b</v>
      </c>
      <c r="H8186" t="str">
        <f>HYPERLINK("http://catalog.hathitrust.org/Record/011636502")</f>
        <v>http://catalog.hathitrust.org/Record/011636502</v>
      </c>
      <c r="J8186" s="1">
        <v>1851</v>
      </c>
      <c r="K8186" t="s">
        <v>13464</v>
      </c>
      <c r="L8186" t="s">
        <v>17914</v>
      </c>
    </row>
    <row r="8187" spans="1:12">
      <c r="A8187" t="s">
        <v>286</v>
      </c>
      <c r="B8187" s="1" t="s">
        <v>287</v>
      </c>
      <c r="F8187">
        <v>1</v>
      </c>
      <c r="G8187" t="str">
        <f>HYPERLINK("http://babel.hathitrust.org/cgi/pt?id=hvd.hx5az5")</f>
        <v>http://babel.hathitrust.org/cgi/pt?id=hvd.hx5az5</v>
      </c>
      <c r="H8187" t="str">
        <f>HYPERLINK("http://catalog.hathitrust.org/Record/011636890")</f>
        <v>http://catalog.hathitrust.org/Record/011636890</v>
      </c>
      <c r="J8187" s="1">
        <v>1857</v>
      </c>
      <c r="K8187" t="s">
        <v>288</v>
      </c>
      <c r="L8187" t="s">
        <v>289</v>
      </c>
    </row>
    <row r="8188" spans="1:12">
      <c r="A8188" t="s">
        <v>290</v>
      </c>
      <c r="B8188" s="1" t="s">
        <v>291</v>
      </c>
      <c r="E8188">
        <v>1</v>
      </c>
      <c r="F8188">
        <v>1</v>
      </c>
      <c r="G8188" t="str">
        <f>HYPERLINK("http://babel.hathitrust.org/cgi/pt?id=hvd.hwp9c7")</f>
        <v>http://babel.hathitrust.org/cgi/pt?id=hvd.hwp9c7</v>
      </c>
      <c r="H8188" t="str">
        <f>HYPERLINK("http://catalog.hathitrust.org/Record/011637040")</f>
        <v>http://catalog.hathitrust.org/Record/011637040</v>
      </c>
      <c r="J8188" s="1">
        <v>1849</v>
      </c>
      <c r="K8188" t="s">
        <v>292</v>
      </c>
      <c r="L8188" t="s">
        <v>19446</v>
      </c>
    </row>
    <row r="8189" spans="1:12">
      <c r="A8189" t="s">
        <v>293</v>
      </c>
      <c r="B8189" s="1" t="s">
        <v>294</v>
      </c>
      <c r="F8189">
        <v>1</v>
      </c>
      <c r="G8189" t="str">
        <f>HYPERLINK("http://babel.hathitrust.org/cgi/pt?id=hvd.32044102771474")</f>
        <v>http://babel.hathitrust.org/cgi/pt?id=hvd.32044102771474</v>
      </c>
      <c r="H8189" t="str">
        <f>HYPERLINK("http://catalog.hathitrust.org/Record/011637160")</f>
        <v>http://catalog.hathitrust.org/Record/011637160</v>
      </c>
      <c r="J8189" s="1">
        <v>1871</v>
      </c>
      <c r="K8189" t="s">
        <v>4427</v>
      </c>
      <c r="L8189" t="s">
        <v>19442</v>
      </c>
    </row>
    <row r="8190" spans="1:12">
      <c r="A8190" t="s">
        <v>295</v>
      </c>
      <c r="B8190" s="1" t="s">
        <v>296</v>
      </c>
      <c r="D8190">
        <v>1</v>
      </c>
      <c r="G8190" t="str">
        <f>HYPERLINK("http://babel.hathitrust.org/cgi/pt?id=hvd.hwp9cf")</f>
        <v>http://babel.hathitrust.org/cgi/pt?id=hvd.hwp9cf</v>
      </c>
      <c r="H8190" t="str">
        <f>HYPERLINK("http://catalog.hathitrust.org/Record/011637182")</f>
        <v>http://catalog.hathitrust.org/Record/011637182</v>
      </c>
      <c r="J8190" s="1">
        <v>1859</v>
      </c>
      <c r="K8190" t="s">
        <v>10745</v>
      </c>
      <c r="L8190" t="s">
        <v>13169</v>
      </c>
    </row>
    <row r="8191" spans="1:12">
      <c r="A8191" t="s">
        <v>297</v>
      </c>
      <c r="B8191" s="1" t="s">
        <v>298</v>
      </c>
      <c r="D8191">
        <v>1</v>
      </c>
      <c r="G8191" t="str">
        <f>HYPERLINK("http://babel.hathitrust.org/cgi/pt?id=hvd.hxkcgb")</f>
        <v>http://babel.hathitrust.org/cgi/pt?id=hvd.hxkcgb</v>
      </c>
      <c r="H8191" t="str">
        <f>HYPERLINK("http://catalog.hathitrust.org/Record/011637217")</f>
        <v>http://catalog.hathitrust.org/Record/011637217</v>
      </c>
      <c r="J8191" s="1">
        <v>1766</v>
      </c>
      <c r="K8191" t="s">
        <v>2976</v>
      </c>
      <c r="L8191" t="s">
        <v>20086</v>
      </c>
    </row>
    <row r="8192" spans="1:12">
      <c r="A8192" t="s">
        <v>299</v>
      </c>
      <c r="B8192" s="1" t="s">
        <v>300</v>
      </c>
      <c r="F8192">
        <v>1</v>
      </c>
      <c r="G8192" t="str">
        <f>HYPERLINK("http://babel.hathitrust.org/cgi/pt?id=hvd.hx51y8")</f>
        <v>http://babel.hathitrust.org/cgi/pt?id=hvd.hx51y8</v>
      </c>
      <c r="H8192" t="str">
        <f>HYPERLINK("http://catalog.hathitrust.org/Record/011638273")</f>
        <v>http://catalog.hathitrust.org/Record/011638273</v>
      </c>
      <c r="J8192" s="1">
        <v>1855</v>
      </c>
      <c r="K8192" t="s">
        <v>1170</v>
      </c>
      <c r="L8192" t="s">
        <v>1171</v>
      </c>
    </row>
    <row r="8193" spans="1:12">
      <c r="A8193" t="s">
        <v>301</v>
      </c>
      <c r="B8193" s="1" t="s">
        <v>302</v>
      </c>
      <c r="F8193">
        <v>1</v>
      </c>
      <c r="G8193" t="str">
        <f>HYPERLINK("http://babel.hathitrust.org/cgi/pt?id=hvd.32044102788650")</f>
        <v>http://babel.hathitrust.org/cgi/pt?id=hvd.32044102788650</v>
      </c>
      <c r="H8193" t="str">
        <f>HYPERLINK("http://catalog.hathitrust.org/Record/011638364")</f>
        <v>http://catalog.hathitrust.org/Record/011638364</v>
      </c>
      <c r="J8193" s="1">
        <v>1867</v>
      </c>
      <c r="K8193" t="s">
        <v>303</v>
      </c>
      <c r="L8193" t="s">
        <v>12659</v>
      </c>
    </row>
    <row r="8194" spans="1:12">
      <c r="A8194" t="s">
        <v>304</v>
      </c>
      <c r="B8194" s="1" t="s">
        <v>305</v>
      </c>
      <c r="F8194">
        <v>1</v>
      </c>
      <c r="G8194" t="str">
        <f>HYPERLINK("http://babel.hathitrust.org/cgi/pt?id=hvd.hn6ps3")</f>
        <v>http://babel.hathitrust.org/cgi/pt?id=hvd.hn6ps3</v>
      </c>
      <c r="H8194" t="str">
        <f>HYPERLINK("http://catalog.hathitrust.org/Record/011638473")</f>
        <v>http://catalog.hathitrust.org/Record/011638473</v>
      </c>
      <c r="J8194" s="1">
        <v>1846</v>
      </c>
      <c r="K8194" t="s">
        <v>1101</v>
      </c>
      <c r="L8194" t="s">
        <v>5929</v>
      </c>
    </row>
    <row r="8195" spans="1:12">
      <c r="A8195" t="s">
        <v>306</v>
      </c>
      <c r="B8195" s="1" t="s">
        <v>307</v>
      </c>
      <c r="E8195">
        <v>1</v>
      </c>
      <c r="G8195" t="str">
        <f>HYPERLINK("http://babel.hathitrust.org/cgi/pt?id=hvd.hx5gb8")</f>
        <v>http://babel.hathitrust.org/cgi/pt?id=hvd.hx5gb8</v>
      </c>
      <c r="H8195" t="str">
        <f>HYPERLINK("http://catalog.hathitrust.org/Record/011641315")</f>
        <v>http://catalog.hathitrust.org/Record/011641315</v>
      </c>
      <c r="J8195" s="1">
        <v>1846</v>
      </c>
      <c r="K8195" t="s">
        <v>308</v>
      </c>
      <c r="L8195" t="s">
        <v>20960</v>
      </c>
    </row>
    <row r="8196" spans="1:12">
      <c r="A8196" t="s">
        <v>309</v>
      </c>
      <c r="B8196" s="1" t="s">
        <v>310</v>
      </c>
      <c r="F8196">
        <v>1</v>
      </c>
      <c r="G8196" t="str">
        <f>HYPERLINK("http://babel.hathitrust.org/cgi/pt?id=coo.31924013267285")</f>
        <v>http://babel.hathitrust.org/cgi/pt?id=coo.31924013267285</v>
      </c>
      <c r="H8196" t="str">
        <f>HYPERLINK("http://catalog.hathitrust.org/Record/011665280")</f>
        <v>http://catalog.hathitrust.org/Record/011665280</v>
      </c>
      <c r="I8196" s="1" t="s">
        <v>20755</v>
      </c>
      <c r="J8196" s="1">
        <v>1906</v>
      </c>
      <c r="K8196" t="s">
        <v>311</v>
      </c>
      <c r="L8196" t="s">
        <v>20086</v>
      </c>
    </row>
    <row r="8197" spans="1:12">
      <c r="A8197" t="s">
        <v>312</v>
      </c>
      <c r="B8197" s="1" t="s">
        <v>313</v>
      </c>
      <c r="F8197">
        <v>1</v>
      </c>
      <c r="G8197" t="str">
        <f>HYPERLINK("http://babel.hathitrust.org/cgi/pt?id=coo.31924013267327")</f>
        <v>http://babel.hathitrust.org/cgi/pt?id=coo.31924013267327</v>
      </c>
      <c r="H8197" t="str">
        <f>HYPERLINK("http://catalog.hathitrust.org/Record/011665281")</f>
        <v>http://catalog.hathitrust.org/Record/011665281</v>
      </c>
      <c r="I8197" s="1" t="s">
        <v>20916</v>
      </c>
      <c r="J8197" s="1">
        <v>1896</v>
      </c>
      <c r="K8197" t="s">
        <v>314</v>
      </c>
      <c r="L8197" t="s">
        <v>20086</v>
      </c>
    </row>
    <row r="8198" spans="1:12">
      <c r="A8198" t="s">
        <v>315</v>
      </c>
      <c r="B8198" s="1" t="s">
        <v>313</v>
      </c>
      <c r="F8198">
        <v>1</v>
      </c>
      <c r="G8198" t="str">
        <f>HYPERLINK("http://babel.hathitrust.org/cgi/pt?id=coo.31924060450644")</f>
        <v>http://babel.hathitrust.org/cgi/pt?id=coo.31924060450644</v>
      </c>
      <c r="H8198" t="str">
        <f>HYPERLINK("http://catalog.hathitrust.org/Record/011665281")</f>
        <v>http://catalog.hathitrust.org/Record/011665281</v>
      </c>
      <c r="I8198" s="1" t="s">
        <v>20755</v>
      </c>
      <c r="J8198" s="1">
        <v>1896</v>
      </c>
      <c r="K8198" t="s">
        <v>314</v>
      </c>
      <c r="L8198" t="s">
        <v>20086</v>
      </c>
    </row>
    <row r="8199" spans="1:12">
      <c r="A8199" t="s">
        <v>316</v>
      </c>
      <c r="B8199" s="1" t="s">
        <v>317</v>
      </c>
      <c r="F8199">
        <v>1</v>
      </c>
      <c r="G8199" t="str">
        <f>HYPERLINK("http://babel.hathitrust.org/cgi/pt?id=coo.31924013348564")</f>
        <v>http://babel.hathitrust.org/cgi/pt?id=coo.31924013348564</v>
      </c>
      <c r="H8199" t="str">
        <f>HYPERLINK("http://catalog.hathitrust.org/Record/011665307")</f>
        <v>http://catalog.hathitrust.org/Record/011665307</v>
      </c>
      <c r="I8199" s="1" t="s">
        <v>19820</v>
      </c>
      <c r="J8199" s="1">
        <v>1882</v>
      </c>
      <c r="K8199" t="s">
        <v>318</v>
      </c>
      <c r="L8199" t="s">
        <v>14746</v>
      </c>
    </row>
    <row r="8200" spans="1:12">
      <c r="A8200" t="s">
        <v>319</v>
      </c>
      <c r="B8200" s="1" t="s">
        <v>320</v>
      </c>
      <c r="E8200">
        <v>1</v>
      </c>
      <c r="G8200" t="str">
        <f>HYPERLINK("http://babel.hathitrust.org/cgi/pt?id=coo.31924064968609")</f>
        <v>http://babel.hathitrust.org/cgi/pt?id=coo.31924064968609</v>
      </c>
      <c r="H8200" t="str">
        <f>HYPERLINK("http://catalog.hathitrust.org/Record/011665431")</f>
        <v>http://catalog.hathitrust.org/Record/011665431</v>
      </c>
      <c r="I8200" s="1" t="s">
        <v>20679</v>
      </c>
      <c r="J8200" s="1">
        <v>1872</v>
      </c>
      <c r="K8200" t="s">
        <v>321</v>
      </c>
      <c r="L8200" t="s">
        <v>20485</v>
      </c>
    </row>
    <row r="8201" spans="1:12">
      <c r="A8201" t="s">
        <v>322</v>
      </c>
      <c r="B8201" s="1" t="s">
        <v>320</v>
      </c>
      <c r="E8201">
        <v>1</v>
      </c>
      <c r="G8201" t="str">
        <f>HYPERLINK("http://babel.hathitrust.org/cgi/pt?id=coo.31924064968617")</f>
        <v>http://babel.hathitrust.org/cgi/pt?id=coo.31924064968617</v>
      </c>
      <c r="H8201" t="str">
        <f>HYPERLINK("http://catalog.hathitrust.org/Record/011665431")</f>
        <v>http://catalog.hathitrust.org/Record/011665431</v>
      </c>
      <c r="I8201" s="1" t="s">
        <v>20681</v>
      </c>
      <c r="J8201" s="1">
        <v>1872</v>
      </c>
      <c r="K8201" t="s">
        <v>321</v>
      </c>
      <c r="L8201" t="s">
        <v>20485</v>
      </c>
    </row>
    <row r="8202" spans="1:12">
      <c r="A8202" t="s">
        <v>323</v>
      </c>
      <c r="B8202" s="1" t="s">
        <v>320</v>
      </c>
      <c r="E8202">
        <v>1</v>
      </c>
      <c r="G8202" t="str">
        <f>HYPERLINK("http://babel.hathitrust.org/cgi/pt?id=coo.31924064968625")</f>
        <v>http://babel.hathitrust.org/cgi/pt?id=coo.31924064968625</v>
      </c>
      <c r="H8202" t="str">
        <f>HYPERLINK("http://catalog.hathitrust.org/Record/011665431")</f>
        <v>http://catalog.hathitrust.org/Record/011665431</v>
      </c>
      <c r="I8202" s="1" t="s">
        <v>21018</v>
      </c>
      <c r="J8202" s="1">
        <v>1872</v>
      </c>
      <c r="K8202" t="s">
        <v>321</v>
      </c>
      <c r="L8202" t="s">
        <v>20485</v>
      </c>
    </row>
    <row r="8203" spans="1:12">
      <c r="A8203" t="s">
        <v>324</v>
      </c>
      <c r="B8203" s="1" t="s">
        <v>325</v>
      </c>
      <c r="E8203">
        <v>1</v>
      </c>
      <c r="G8203" t="str">
        <f>HYPERLINK("http://babel.hathitrust.org/cgi/pt?id=coo.31924013460435")</f>
        <v>http://babel.hathitrust.org/cgi/pt?id=coo.31924013460435</v>
      </c>
      <c r="H8203" t="str">
        <f>HYPERLINK("http://catalog.hathitrust.org/Record/011665432")</f>
        <v>http://catalog.hathitrust.org/Record/011665432</v>
      </c>
      <c r="I8203" s="1" t="s">
        <v>20108</v>
      </c>
      <c r="J8203" s="1">
        <v>1881</v>
      </c>
      <c r="K8203" t="s">
        <v>10178</v>
      </c>
      <c r="L8203" t="s">
        <v>20485</v>
      </c>
    </row>
    <row r="8204" spans="1:12">
      <c r="A8204" t="s">
        <v>326</v>
      </c>
      <c r="B8204" s="1" t="s">
        <v>327</v>
      </c>
      <c r="D8204">
        <v>1</v>
      </c>
      <c r="G8204" t="str">
        <f>HYPERLINK("http://babel.hathitrust.org/cgi/pt?id=coo.31924071178317")</f>
        <v>http://babel.hathitrust.org/cgi/pt?id=coo.31924071178317</v>
      </c>
      <c r="H8204" t="str">
        <f>HYPERLINK("http://catalog.hathitrust.org/Record/011665866")</f>
        <v>http://catalog.hathitrust.org/Record/011665866</v>
      </c>
      <c r="J8204" s="1">
        <v>1874</v>
      </c>
      <c r="K8204" t="s">
        <v>328</v>
      </c>
      <c r="L8204" t="s">
        <v>13169</v>
      </c>
    </row>
    <row r="8205" spans="1:12">
      <c r="A8205" t="s">
        <v>329</v>
      </c>
      <c r="B8205" s="1" t="s">
        <v>330</v>
      </c>
      <c r="D8205">
        <v>1</v>
      </c>
      <c r="G8205" t="str">
        <f>HYPERLINK("http://babel.hathitrust.org/cgi/pt?id=coo.31924071178333")</f>
        <v>http://babel.hathitrust.org/cgi/pt?id=coo.31924071178333</v>
      </c>
      <c r="H8205" t="str">
        <f>HYPERLINK("http://catalog.hathitrust.org/Record/011665867")</f>
        <v>http://catalog.hathitrust.org/Record/011665867</v>
      </c>
      <c r="J8205" s="1">
        <v>1824</v>
      </c>
      <c r="K8205" t="s">
        <v>6304</v>
      </c>
      <c r="L8205" t="s">
        <v>20043</v>
      </c>
    </row>
    <row r="8206" spans="1:12">
      <c r="A8206" t="s">
        <v>331</v>
      </c>
      <c r="B8206" s="1" t="s">
        <v>332</v>
      </c>
      <c r="F8206">
        <v>1</v>
      </c>
      <c r="G8206" t="str">
        <f>HYPERLINK("http://babel.hathitrust.org/cgi/pt?id=coo.31924071178358")</f>
        <v>http://babel.hathitrust.org/cgi/pt?id=coo.31924071178358</v>
      </c>
      <c r="H8206" t="str">
        <f>HYPERLINK("http://catalog.hathitrust.org/Record/011665868")</f>
        <v>http://catalog.hathitrust.org/Record/011665868</v>
      </c>
      <c r="J8206" s="1">
        <v>1856</v>
      </c>
      <c r="K8206" t="s">
        <v>451</v>
      </c>
      <c r="L8206" t="s">
        <v>333</v>
      </c>
    </row>
    <row r="8207" spans="1:12">
      <c r="A8207" t="s">
        <v>334</v>
      </c>
      <c r="B8207" s="1" t="s">
        <v>335</v>
      </c>
      <c r="F8207">
        <v>1</v>
      </c>
      <c r="G8207" t="str">
        <f>HYPERLINK("http://babel.hathitrust.org/cgi/pt?id=coo.31924026521355")</f>
        <v>http://babel.hathitrust.org/cgi/pt?id=coo.31924026521355</v>
      </c>
      <c r="H8207" t="str">
        <f>HYPERLINK("http://catalog.hathitrust.org/Record/011666064")</f>
        <v>http://catalog.hathitrust.org/Record/011666064</v>
      </c>
      <c r="J8207" s="1">
        <v>1920</v>
      </c>
      <c r="K8207" t="s">
        <v>336</v>
      </c>
      <c r="L8207" t="s">
        <v>2186</v>
      </c>
    </row>
    <row r="8208" spans="1:12">
      <c r="A8208" t="s">
        <v>337</v>
      </c>
      <c r="B8208" s="1" t="s">
        <v>338</v>
      </c>
      <c r="F8208">
        <v>1</v>
      </c>
      <c r="G8208" t="str">
        <f>HYPERLINK("http://babel.hathitrust.org/cgi/pt?id=coo.31924026580955")</f>
        <v>http://babel.hathitrust.org/cgi/pt?id=coo.31924026580955</v>
      </c>
      <c r="H8208" t="str">
        <f>HYPERLINK("http://catalog.hathitrust.org/Record/011666162")</f>
        <v>http://catalog.hathitrust.org/Record/011666162</v>
      </c>
      <c r="J8208" s="1">
        <v>1919</v>
      </c>
      <c r="K8208" t="s">
        <v>339</v>
      </c>
      <c r="L8208" t="s">
        <v>340</v>
      </c>
    </row>
    <row r="8209" spans="1:12">
      <c r="A8209" t="s">
        <v>341</v>
      </c>
      <c r="B8209" s="1" t="s">
        <v>342</v>
      </c>
      <c r="F8209">
        <v>1</v>
      </c>
      <c r="G8209" t="str">
        <f>HYPERLINK("http://babel.hathitrust.org/cgi/pt?id=coo.31924026634570")</f>
        <v>http://babel.hathitrust.org/cgi/pt?id=coo.31924026634570</v>
      </c>
      <c r="H8209" t="str">
        <f>HYPERLINK("http://catalog.hathitrust.org/Record/011666197")</f>
        <v>http://catalog.hathitrust.org/Record/011666197</v>
      </c>
      <c r="J8209" s="1">
        <v>1848</v>
      </c>
      <c r="K8209" t="s">
        <v>233</v>
      </c>
      <c r="L8209" t="s">
        <v>234</v>
      </c>
    </row>
    <row r="8210" spans="1:12">
      <c r="A8210" t="s">
        <v>235</v>
      </c>
      <c r="B8210" s="1" t="s">
        <v>236</v>
      </c>
      <c r="F8210">
        <v>1</v>
      </c>
      <c r="G8210" t="str">
        <f>HYPERLINK("http://babel.hathitrust.org/cgi/pt?id=coo.31924026933956")</f>
        <v>http://babel.hathitrust.org/cgi/pt?id=coo.31924026933956</v>
      </c>
      <c r="H8210" t="str">
        <f>HYPERLINK("http://catalog.hathitrust.org/Record/011666331")</f>
        <v>http://catalog.hathitrust.org/Record/011666331</v>
      </c>
      <c r="J8210" s="1">
        <v>1902</v>
      </c>
      <c r="K8210" t="s">
        <v>237</v>
      </c>
      <c r="L8210" t="s">
        <v>19582</v>
      </c>
    </row>
    <row r="8211" spans="1:12">
      <c r="A8211" t="s">
        <v>238</v>
      </c>
      <c r="B8211" s="1" t="s">
        <v>239</v>
      </c>
      <c r="F8211">
        <v>1</v>
      </c>
      <c r="G8211" t="str">
        <f>HYPERLINK("http://babel.hathitrust.org/cgi/pt?id=coo.31924027105067")</f>
        <v>http://babel.hathitrust.org/cgi/pt?id=coo.31924027105067</v>
      </c>
      <c r="H8211" t="str">
        <f>HYPERLINK("http://catalog.hathitrust.org/Record/011666352")</f>
        <v>http://catalog.hathitrust.org/Record/011666352</v>
      </c>
      <c r="J8211" s="1">
        <v>1913</v>
      </c>
      <c r="K8211" t="s">
        <v>240</v>
      </c>
      <c r="L8211" t="s">
        <v>20536</v>
      </c>
    </row>
    <row r="8212" spans="1:12">
      <c r="A8212" t="s">
        <v>241</v>
      </c>
      <c r="B8212" s="1" t="s">
        <v>242</v>
      </c>
      <c r="F8212">
        <v>1</v>
      </c>
      <c r="G8212" t="str">
        <f>HYPERLINK("http://babel.hathitrust.org/cgi/pt?id=coo.31924027105745")</f>
        <v>http://babel.hathitrust.org/cgi/pt?id=coo.31924027105745</v>
      </c>
      <c r="H8212" t="str">
        <f>HYPERLINK("http://catalog.hathitrust.org/Record/011666353")</f>
        <v>http://catalog.hathitrust.org/Record/011666353</v>
      </c>
      <c r="J8212" s="1">
        <v>1884</v>
      </c>
      <c r="K8212" t="s">
        <v>243</v>
      </c>
      <c r="L8212" t="s">
        <v>244</v>
      </c>
    </row>
    <row r="8213" spans="1:12">
      <c r="A8213" t="s">
        <v>245</v>
      </c>
      <c r="B8213" s="1" t="s">
        <v>246</v>
      </c>
      <c r="E8213">
        <v>1</v>
      </c>
      <c r="G8213" t="str">
        <f>HYPERLINK("http://babel.hathitrust.org/cgi/pt?id=wu.89000721803")</f>
        <v>http://babel.hathitrust.org/cgi/pt?id=wu.89000721803</v>
      </c>
      <c r="H8213" t="str">
        <f>HYPERLINK("http://catalog.hathitrust.org/Record/011679553")</f>
        <v>http://catalog.hathitrust.org/Record/011679553</v>
      </c>
      <c r="J8213" s="1">
        <v>1853</v>
      </c>
      <c r="K8213" t="s">
        <v>10178</v>
      </c>
      <c r="L8213" t="s">
        <v>20485</v>
      </c>
    </row>
    <row r="8214" spans="1:12">
      <c r="A8214" t="s">
        <v>247</v>
      </c>
      <c r="B8214" s="1" t="s">
        <v>248</v>
      </c>
      <c r="D8214">
        <v>1</v>
      </c>
      <c r="G8214" t="str">
        <f>HYPERLINK("http://babel.hathitrust.org/cgi/pt?id=wu.89001946482")</f>
        <v>http://babel.hathitrust.org/cgi/pt?id=wu.89001946482</v>
      </c>
      <c r="H8214" t="str">
        <f>HYPERLINK("http://catalog.hathitrust.org/Record/011679564")</f>
        <v>http://catalog.hathitrust.org/Record/011679564</v>
      </c>
      <c r="J8214" s="1">
        <v>1885</v>
      </c>
      <c r="K8214" t="s">
        <v>249</v>
      </c>
      <c r="L8214" t="s">
        <v>19996</v>
      </c>
    </row>
    <row r="8215" spans="1:12">
      <c r="A8215" t="s">
        <v>250</v>
      </c>
      <c r="B8215" s="1" t="s">
        <v>251</v>
      </c>
      <c r="D8215">
        <v>1</v>
      </c>
      <c r="G8215" t="str">
        <f>HYPERLINK("http://babel.hathitrust.org/cgi/pt?id=wu.89001272731")</f>
        <v>http://babel.hathitrust.org/cgi/pt?id=wu.89001272731</v>
      </c>
      <c r="H8215" t="str">
        <f>HYPERLINK("http://catalog.hathitrust.org/Record/011679597")</f>
        <v>http://catalog.hathitrust.org/Record/011679597</v>
      </c>
      <c r="J8215" s="1">
        <v>1876</v>
      </c>
      <c r="K8215" t="s">
        <v>19850</v>
      </c>
      <c r="L8215" t="s">
        <v>20256</v>
      </c>
    </row>
    <row r="8216" spans="1:12">
      <c r="A8216" t="s">
        <v>252</v>
      </c>
      <c r="B8216" s="1" t="s">
        <v>253</v>
      </c>
      <c r="E8216">
        <v>1</v>
      </c>
      <c r="G8216" t="str">
        <f>HYPERLINK("http://babel.hathitrust.org/cgi/pt?id=wu.89002110559")</f>
        <v>http://babel.hathitrust.org/cgi/pt?id=wu.89002110559</v>
      </c>
      <c r="H8216" t="str">
        <f>HYPERLINK("http://catalog.hathitrust.org/Record/011679600")</f>
        <v>http://catalog.hathitrust.org/Record/011679600</v>
      </c>
      <c r="I8216" s="1" t="s">
        <v>20916</v>
      </c>
      <c r="J8216" s="1">
        <v>1900</v>
      </c>
      <c r="K8216" t="s">
        <v>6504</v>
      </c>
    </row>
    <row r="8217" spans="1:12">
      <c r="A8217" t="s">
        <v>254</v>
      </c>
      <c r="B8217" s="1" t="s">
        <v>255</v>
      </c>
      <c r="D8217">
        <v>1</v>
      </c>
      <c r="G8217" t="str">
        <f>HYPERLINK("http://babel.hathitrust.org/cgi/pt?id=wu.89001273820")</f>
        <v>http://babel.hathitrust.org/cgi/pt?id=wu.89001273820</v>
      </c>
      <c r="H8217" t="str">
        <f>HYPERLINK("http://catalog.hathitrust.org/Record/011679627")</f>
        <v>http://catalog.hathitrust.org/Record/011679627</v>
      </c>
      <c r="J8217" s="1">
        <v>1853</v>
      </c>
      <c r="K8217" t="s">
        <v>256</v>
      </c>
      <c r="L8217" t="s">
        <v>20256</v>
      </c>
    </row>
    <row r="8218" spans="1:12">
      <c r="A8218" t="s">
        <v>257</v>
      </c>
      <c r="B8218" s="1" t="s">
        <v>258</v>
      </c>
      <c r="E8218">
        <v>1</v>
      </c>
      <c r="G8218" t="str">
        <f>HYPERLINK("http://babel.hathitrust.org/cgi/pt?id=uc1.b5192723")</f>
        <v>http://babel.hathitrust.org/cgi/pt?id=uc1.b5192723</v>
      </c>
      <c r="H8218" t="str">
        <f>HYPERLINK("http://catalog.hathitrust.org/Record/011681025")</f>
        <v>http://catalog.hathitrust.org/Record/011681025</v>
      </c>
      <c r="J8218" s="1">
        <v>1896</v>
      </c>
      <c r="K8218" t="s">
        <v>259</v>
      </c>
      <c r="L8218" t="s">
        <v>20331</v>
      </c>
    </row>
    <row r="8219" spans="1:12">
      <c r="A8219" t="s">
        <v>260</v>
      </c>
      <c r="B8219" s="1" t="s">
        <v>261</v>
      </c>
      <c r="F8219">
        <v>1</v>
      </c>
      <c r="G8219" t="str">
        <f>HYPERLINK("http://babel.hathitrust.org/cgi/pt?id=uc1.b5206900")</f>
        <v>http://babel.hathitrust.org/cgi/pt?id=uc1.b5206900</v>
      </c>
      <c r="H8219" t="str">
        <f>HYPERLINK("http://catalog.hathitrust.org/Record/011681924")</f>
        <v>http://catalog.hathitrust.org/Record/011681924</v>
      </c>
      <c r="J8219" s="1">
        <v>1918</v>
      </c>
      <c r="K8219" t="s">
        <v>262</v>
      </c>
      <c r="L8219" t="s">
        <v>19191</v>
      </c>
    </row>
    <row r="8220" spans="1:12">
      <c r="A8220" t="s">
        <v>263</v>
      </c>
      <c r="B8220" s="1" t="s">
        <v>264</v>
      </c>
      <c r="F8220">
        <v>1</v>
      </c>
      <c r="G8220" t="str">
        <f>HYPERLINK("http://babel.hathitrust.org/cgi/pt?id=uc1.31158008268566")</f>
        <v>http://babel.hathitrust.org/cgi/pt?id=uc1.31158008268566</v>
      </c>
      <c r="H8220" t="str">
        <f>HYPERLINK("http://catalog.hathitrust.org/Record/011682476")</f>
        <v>http://catalog.hathitrust.org/Record/011682476</v>
      </c>
      <c r="J8220" s="1">
        <v>1902</v>
      </c>
      <c r="K8220" t="s">
        <v>265</v>
      </c>
      <c r="L8220" t="s">
        <v>19569</v>
      </c>
    </row>
    <row r="8221" spans="1:12">
      <c r="A8221" t="s">
        <v>266</v>
      </c>
      <c r="B8221" s="1" t="s">
        <v>267</v>
      </c>
      <c r="F8221">
        <v>1</v>
      </c>
      <c r="G8221" t="str">
        <f>HYPERLINK("http://babel.hathitrust.org/cgi/pt?id=uc1.31158000568948")</f>
        <v>http://babel.hathitrust.org/cgi/pt?id=uc1.31158000568948</v>
      </c>
      <c r="H8221" t="str">
        <f>HYPERLINK("http://catalog.hathitrust.org/Record/011682684")</f>
        <v>http://catalog.hathitrust.org/Record/011682684</v>
      </c>
      <c r="J8221" s="1">
        <v>1907</v>
      </c>
      <c r="K8221" t="s">
        <v>10099</v>
      </c>
      <c r="L8221" t="s">
        <v>19783</v>
      </c>
    </row>
    <row r="8222" spans="1:12">
      <c r="A8222" t="s">
        <v>268</v>
      </c>
      <c r="B8222" s="1" t="s">
        <v>269</v>
      </c>
      <c r="E8222">
        <v>1</v>
      </c>
      <c r="F8222">
        <v>1</v>
      </c>
      <c r="G8222" t="str">
        <f>HYPERLINK("http://babel.hathitrust.org/cgi/pt?id=uc1.l0054867155")</f>
        <v>http://babel.hathitrust.org/cgi/pt?id=uc1.l0054867155</v>
      </c>
      <c r="H8222" t="str">
        <f>HYPERLINK("http://catalog.hathitrust.org/Record/011682738")</f>
        <v>http://catalog.hathitrust.org/Record/011682738</v>
      </c>
      <c r="J8222" s="1">
        <v>1909</v>
      </c>
      <c r="K8222" t="s">
        <v>8580</v>
      </c>
      <c r="L8222" t="s">
        <v>20297</v>
      </c>
    </row>
    <row r="8223" spans="1:12">
      <c r="A8223" t="s">
        <v>270</v>
      </c>
      <c r="B8223" s="1" t="s">
        <v>271</v>
      </c>
      <c r="E8223">
        <v>1</v>
      </c>
      <c r="F8223">
        <v>1</v>
      </c>
      <c r="G8223" t="str">
        <f>HYPERLINK("http://babel.hathitrust.org/cgi/pt?id=uc1.l0095454831")</f>
        <v>http://babel.hathitrust.org/cgi/pt?id=uc1.l0095454831</v>
      </c>
      <c r="H8223" t="str">
        <f>HYPERLINK("http://catalog.hathitrust.org/Record/011682804")</f>
        <v>http://catalog.hathitrust.org/Record/011682804</v>
      </c>
      <c r="J8223" s="1">
        <v>1911</v>
      </c>
      <c r="K8223" t="s">
        <v>272</v>
      </c>
    </row>
    <row r="8224" spans="1:12">
      <c r="A8224" t="s">
        <v>273</v>
      </c>
      <c r="B8224" s="1" t="s">
        <v>274</v>
      </c>
      <c r="E8224">
        <v>1</v>
      </c>
      <c r="F8224">
        <v>1</v>
      </c>
      <c r="G8224" t="str">
        <f>HYPERLINK("http://babel.hathitrust.org/cgi/pt?id=uc1.31158006469067")</f>
        <v>http://babel.hathitrust.org/cgi/pt?id=uc1.31158006469067</v>
      </c>
      <c r="H8224" t="str">
        <f>HYPERLINK("http://catalog.hathitrust.org/Record/011682811")</f>
        <v>http://catalog.hathitrust.org/Record/011682811</v>
      </c>
      <c r="J8224" s="1">
        <v>1884</v>
      </c>
      <c r="K8224" t="s">
        <v>275</v>
      </c>
      <c r="L8224" t="s">
        <v>13209</v>
      </c>
    </row>
    <row r="8225" spans="1:12">
      <c r="A8225" t="s">
        <v>276</v>
      </c>
      <c r="B8225" s="1" t="s">
        <v>277</v>
      </c>
      <c r="F8225">
        <v>1</v>
      </c>
      <c r="G8225" t="str">
        <f>HYPERLINK("http://babel.hathitrust.org/cgi/pt?id=uc1.l0068351972")</f>
        <v>http://babel.hathitrust.org/cgi/pt?id=uc1.l0068351972</v>
      </c>
      <c r="H8225" t="str">
        <f>HYPERLINK("http://catalog.hathitrust.org/Record/011683089")</f>
        <v>http://catalog.hathitrust.org/Record/011683089</v>
      </c>
      <c r="J8225" s="1">
        <v>1919</v>
      </c>
      <c r="K8225" t="s">
        <v>278</v>
      </c>
      <c r="L8225" t="s">
        <v>20301</v>
      </c>
    </row>
    <row r="8226" spans="1:12">
      <c r="A8226" t="s">
        <v>279</v>
      </c>
      <c r="B8226" s="1" t="s">
        <v>280</v>
      </c>
      <c r="F8226">
        <v>1</v>
      </c>
      <c r="G8226" t="str">
        <f>HYPERLINK("http://babel.hathitrust.org/cgi/pt?id=uc1.31158006664030")</f>
        <v>http://babel.hathitrust.org/cgi/pt?id=uc1.31158006664030</v>
      </c>
      <c r="H8226" t="str">
        <f>HYPERLINK("http://catalog.hathitrust.org/Record/011683116")</f>
        <v>http://catalog.hathitrust.org/Record/011683116</v>
      </c>
      <c r="J8226" s="1">
        <v>1920</v>
      </c>
      <c r="K8226" t="s">
        <v>14899</v>
      </c>
      <c r="L8226" t="s">
        <v>20884</v>
      </c>
    </row>
    <row r="8227" spans="1:12">
      <c r="A8227" t="s">
        <v>281</v>
      </c>
      <c r="B8227" s="1" t="s">
        <v>282</v>
      </c>
      <c r="F8227">
        <v>1</v>
      </c>
      <c r="G8227" t="str">
        <f>HYPERLINK("http://babel.hathitrust.org/cgi/pt?id=uc1.b5334378")</f>
        <v>http://babel.hathitrust.org/cgi/pt?id=uc1.b5334378</v>
      </c>
      <c r="H8227" t="str">
        <f>HYPERLINK("http://catalog.hathitrust.org/Record/011714540")</f>
        <v>http://catalog.hathitrust.org/Record/011714540</v>
      </c>
      <c r="J8227" s="1">
        <v>1897</v>
      </c>
      <c r="K8227" t="s">
        <v>178</v>
      </c>
      <c r="L8227" t="s">
        <v>20507</v>
      </c>
    </row>
    <row r="8228" spans="1:12">
      <c r="A8228" t="s">
        <v>179</v>
      </c>
      <c r="B8228" s="1" t="s">
        <v>180</v>
      </c>
      <c r="F8228">
        <v>1</v>
      </c>
      <c r="G8228" t="str">
        <f>HYPERLINK("http://babel.hathitrust.org/cgi/pt?id=uc1.b5334383")</f>
        <v>http://babel.hathitrust.org/cgi/pt?id=uc1.b5334383</v>
      </c>
      <c r="H8228" t="str">
        <f>HYPERLINK("http://catalog.hathitrust.org/Record/011714542")</f>
        <v>http://catalog.hathitrust.org/Record/011714542</v>
      </c>
      <c r="J8228" s="1">
        <v>1910</v>
      </c>
      <c r="K8228" t="s">
        <v>181</v>
      </c>
      <c r="L8228" t="s">
        <v>17875</v>
      </c>
    </row>
    <row r="8229" spans="1:12">
      <c r="A8229" t="s">
        <v>182</v>
      </c>
      <c r="B8229" s="1" t="s">
        <v>183</v>
      </c>
      <c r="F8229">
        <v>1</v>
      </c>
      <c r="G8229" t="str">
        <f>HYPERLINK("http://babel.hathitrust.org/cgi/pt?id=uc2.ark:/13960/t9765gm08")</f>
        <v>http://babel.hathitrust.org/cgi/pt?id=uc2.ark:/13960/t9765gm08</v>
      </c>
      <c r="H8229" t="str">
        <f>HYPERLINK("http://catalog.hathitrust.org/Record/011715428")</f>
        <v>http://catalog.hathitrust.org/Record/011715428</v>
      </c>
      <c r="J8229" s="1">
        <v>1855</v>
      </c>
      <c r="K8229" t="s">
        <v>184</v>
      </c>
      <c r="L8229" t="s">
        <v>2911</v>
      </c>
    </row>
    <row r="8230" spans="1:12">
      <c r="A8230" t="s">
        <v>185</v>
      </c>
      <c r="B8230" s="1" t="s">
        <v>186</v>
      </c>
      <c r="E8230">
        <v>1</v>
      </c>
      <c r="G8230" t="str">
        <f>HYPERLINK("http://babel.hathitrust.org/cgi/pt?id=uc2.ark:/13960/t07w6c125")</f>
        <v>http://babel.hathitrust.org/cgi/pt?id=uc2.ark:/13960/t07w6c125</v>
      </c>
      <c r="H8230" t="str">
        <f>HYPERLINK("http://catalog.hathitrust.org/Record/011715754")</f>
        <v>http://catalog.hathitrust.org/Record/011715754</v>
      </c>
      <c r="J8230" s="1">
        <v>1904</v>
      </c>
      <c r="K8230" t="s">
        <v>187</v>
      </c>
      <c r="L8230" t="s">
        <v>188</v>
      </c>
    </row>
    <row r="8231" spans="1:12">
      <c r="A8231" t="s">
        <v>189</v>
      </c>
      <c r="B8231" s="1" t="s">
        <v>190</v>
      </c>
      <c r="F8231">
        <v>1</v>
      </c>
      <c r="G8231" t="str">
        <f>HYPERLINK("http://babel.hathitrust.org/cgi/pt?id=uc1.b4229681")</f>
        <v>http://babel.hathitrust.org/cgi/pt?id=uc1.b4229681</v>
      </c>
      <c r="H8231" t="str">
        <f>HYPERLINK("http://catalog.hathitrust.org/Record/011716344")</f>
        <v>http://catalog.hathitrust.org/Record/011716344</v>
      </c>
      <c r="J8231" s="1">
        <v>1882</v>
      </c>
      <c r="K8231" t="s">
        <v>191</v>
      </c>
      <c r="L8231" t="s">
        <v>18627</v>
      </c>
    </row>
    <row r="8232" spans="1:12">
      <c r="A8232" t="s">
        <v>192</v>
      </c>
      <c r="B8232" s="1" t="s">
        <v>190</v>
      </c>
      <c r="F8232">
        <v>1</v>
      </c>
      <c r="G8232" t="str">
        <f>HYPERLINK("http://babel.hathitrust.org/cgi/pt?id=uc2.ark:/13960/t1gh9p877")</f>
        <v>http://babel.hathitrust.org/cgi/pt?id=uc2.ark:/13960/t1gh9p877</v>
      </c>
      <c r="H8232" t="str">
        <f>HYPERLINK("http://catalog.hathitrust.org/Record/011716344")</f>
        <v>http://catalog.hathitrust.org/Record/011716344</v>
      </c>
      <c r="J8232" s="1">
        <v>1882</v>
      </c>
      <c r="K8232" t="s">
        <v>191</v>
      </c>
      <c r="L8232" t="s">
        <v>18627</v>
      </c>
    </row>
    <row r="8233" spans="1:12">
      <c r="A8233" t="s">
        <v>193</v>
      </c>
      <c r="B8233" s="1" t="s">
        <v>194</v>
      </c>
      <c r="F8233">
        <v>1</v>
      </c>
      <c r="G8233" t="str">
        <f>HYPERLINK("http://babel.hathitrust.org/cgi/pt?id=uc2.ark:/13960/t87h1ts1f")</f>
        <v>http://babel.hathitrust.org/cgi/pt?id=uc2.ark:/13960/t87h1ts1f</v>
      </c>
      <c r="H8233" t="str">
        <f>HYPERLINK("http://catalog.hathitrust.org/Record/011716594")</f>
        <v>http://catalog.hathitrust.org/Record/011716594</v>
      </c>
      <c r="J8233" s="1">
        <v>1920</v>
      </c>
      <c r="K8233" t="s">
        <v>195</v>
      </c>
    </row>
    <row r="8234" spans="1:12">
      <c r="A8234" t="s">
        <v>196</v>
      </c>
      <c r="B8234" s="1" t="s">
        <v>197</v>
      </c>
      <c r="F8234">
        <v>1</v>
      </c>
      <c r="G8234" t="str">
        <f>HYPERLINK("http://babel.hathitrust.org/cgi/pt?id=uc1.31158011308110")</f>
        <v>http://babel.hathitrust.org/cgi/pt?id=uc1.31158011308110</v>
      </c>
      <c r="H8234" t="str">
        <f>HYPERLINK("http://catalog.hathitrust.org/Record/011719318")</f>
        <v>http://catalog.hathitrust.org/Record/011719318</v>
      </c>
      <c r="J8234" s="1">
        <v>1920</v>
      </c>
      <c r="K8234" t="s">
        <v>10660</v>
      </c>
      <c r="L8234" t="s">
        <v>17875</v>
      </c>
    </row>
    <row r="8235" spans="1:12">
      <c r="A8235" t="s">
        <v>198</v>
      </c>
      <c r="B8235" s="1" t="s">
        <v>199</v>
      </c>
      <c r="F8235">
        <v>1</v>
      </c>
      <c r="G8235" t="str">
        <f>HYPERLINK("http://babel.hathitrust.org/cgi/pt?id=uc1.31158007444515")</f>
        <v>http://babel.hathitrust.org/cgi/pt?id=uc1.31158007444515</v>
      </c>
      <c r="H8235" t="str">
        <f>HYPERLINK("http://catalog.hathitrust.org/Record/011719825")</f>
        <v>http://catalog.hathitrust.org/Record/011719825</v>
      </c>
      <c r="J8235" s="1">
        <v>1897</v>
      </c>
      <c r="K8235" t="s">
        <v>13444</v>
      </c>
      <c r="L8235" t="s">
        <v>15226</v>
      </c>
    </row>
    <row r="8236" spans="1:12">
      <c r="A8236" t="s">
        <v>200</v>
      </c>
      <c r="B8236" s="1" t="s">
        <v>199</v>
      </c>
      <c r="F8236">
        <v>1</v>
      </c>
      <c r="G8236" t="str">
        <f>HYPERLINK("http://babel.hathitrust.org/cgi/pt?id=uc1.l0073265357")</f>
        <v>http://babel.hathitrust.org/cgi/pt?id=uc1.l0073265357</v>
      </c>
      <c r="H8236" t="str">
        <f>HYPERLINK("http://catalog.hathitrust.org/Record/011719825")</f>
        <v>http://catalog.hathitrust.org/Record/011719825</v>
      </c>
      <c r="J8236" s="1">
        <v>1897</v>
      </c>
      <c r="K8236" t="s">
        <v>13444</v>
      </c>
      <c r="L8236" t="s">
        <v>15226</v>
      </c>
    </row>
    <row r="8237" spans="1:12">
      <c r="A8237" t="s">
        <v>201</v>
      </c>
      <c r="B8237" s="1" t="s">
        <v>202</v>
      </c>
      <c r="D8237">
        <v>1</v>
      </c>
      <c r="G8237" t="str">
        <f>HYPERLINK("http://babel.hathitrust.org/cgi/pt?id=wu.89050515402")</f>
        <v>http://babel.hathitrust.org/cgi/pt?id=wu.89050515402</v>
      </c>
      <c r="H8237" t="str">
        <f>HYPERLINK("http://catalog.hathitrust.org/Record/011724738")</f>
        <v>http://catalog.hathitrust.org/Record/011724738</v>
      </c>
      <c r="J8237" s="1">
        <v>1902</v>
      </c>
      <c r="K8237" t="s">
        <v>203</v>
      </c>
      <c r="L8237" t="s">
        <v>14549</v>
      </c>
    </row>
    <row r="8238" spans="1:12">
      <c r="A8238" t="s">
        <v>204</v>
      </c>
      <c r="B8238" s="1" t="s">
        <v>205</v>
      </c>
      <c r="F8238">
        <v>1</v>
      </c>
      <c r="G8238" t="str">
        <f>HYPERLINK("http://babel.hathitrust.org/cgi/pt?id=wu.89003618758")</f>
        <v>http://babel.hathitrust.org/cgi/pt?id=wu.89003618758</v>
      </c>
      <c r="H8238" t="str">
        <f>HYPERLINK("http://catalog.hathitrust.org/Record/011724773")</f>
        <v>http://catalog.hathitrust.org/Record/011724773</v>
      </c>
      <c r="J8238" s="1">
        <v>1906</v>
      </c>
      <c r="K8238" t="s">
        <v>14400</v>
      </c>
      <c r="L8238" t="s">
        <v>18477</v>
      </c>
    </row>
    <row r="8239" spans="1:12">
      <c r="A8239" t="s">
        <v>206</v>
      </c>
      <c r="B8239" s="1" t="s">
        <v>207</v>
      </c>
      <c r="F8239">
        <v>1</v>
      </c>
      <c r="G8239" t="str">
        <f>HYPERLINK("http://babel.hathitrust.org/cgi/pt?id=wu.89003618774")</f>
        <v>http://babel.hathitrust.org/cgi/pt?id=wu.89003618774</v>
      </c>
      <c r="H8239" t="str">
        <f>HYPERLINK("http://catalog.hathitrust.org/Record/011724774")</f>
        <v>http://catalog.hathitrust.org/Record/011724774</v>
      </c>
      <c r="J8239" s="1">
        <v>1890</v>
      </c>
      <c r="K8239" t="s">
        <v>17206</v>
      </c>
      <c r="L8239" t="s">
        <v>18477</v>
      </c>
    </row>
    <row r="8240" spans="1:12">
      <c r="A8240" t="s">
        <v>208</v>
      </c>
      <c r="B8240" s="1" t="s">
        <v>209</v>
      </c>
      <c r="F8240">
        <v>1</v>
      </c>
      <c r="G8240" t="str">
        <f>HYPERLINK("http://babel.hathitrust.org/cgi/pt?id=wu.89003727948")</f>
        <v>http://babel.hathitrust.org/cgi/pt?id=wu.89003727948</v>
      </c>
      <c r="H8240" t="str">
        <f>HYPERLINK("http://catalog.hathitrust.org/Record/011725303")</f>
        <v>http://catalog.hathitrust.org/Record/011725303</v>
      </c>
      <c r="J8240" s="1">
        <v>1918</v>
      </c>
      <c r="K8240" t="s">
        <v>210</v>
      </c>
      <c r="L8240" t="s">
        <v>19455</v>
      </c>
    </row>
    <row r="8241" spans="1:12">
      <c r="A8241" t="s">
        <v>211</v>
      </c>
      <c r="B8241" s="1" t="s">
        <v>212</v>
      </c>
      <c r="F8241">
        <v>1</v>
      </c>
      <c r="G8241" t="str">
        <f>HYPERLINK("http://babel.hathitrust.org/cgi/pt?id=wu.89003553799")</f>
        <v>http://babel.hathitrust.org/cgi/pt?id=wu.89003553799</v>
      </c>
      <c r="H8241" t="str">
        <f>HYPERLINK("http://catalog.hathitrust.org/Record/011725308")</f>
        <v>http://catalog.hathitrust.org/Record/011725308</v>
      </c>
      <c r="J8241" s="1">
        <v>1905</v>
      </c>
      <c r="K8241" t="s">
        <v>213</v>
      </c>
      <c r="L8241" t="s">
        <v>214</v>
      </c>
    </row>
    <row r="8242" spans="1:12">
      <c r="A8242" t="s">
        <v>215</v>
      </c>
      <c r="B8242" s="1" t="s">
        <v>216</v>
      </c>
      <c r="F8242">
        <v>1</v>
      </c>
      <c r="G8242" t="str">
        <f>HYPERLINK("http://babel.hathitrust.org/cgi/pt?id=wu.89046649810")</f>
        <v>http://babel.hathitrust.org/cgi/pt?id=wu.89046649810</v>
      </c>
      <c r="H8242" t="str">
        <f>HYPERLINK("http://catalog.hathitrust.org/Record/011725686")</f>
        <v>http://catalog.hathitrust.org/Record/011725686</v>
      </c>
      <c r="J8242" s="1">
        <v>1919</v>
      </c>
      <c r="K8242" t="s">
        <v>217</v>
      </c>
      <c r="L8242" t="s">
        <v>13032</v>
      </c>
    </row>
    <row r="8243" spans="1:12">
      <c r="A8243" t="s">
        <v>218</v>
      </c>
      <c r="B8243" s="1" t="s">
        <v>219</v>
      </c>
      <c r="F8243">
        <v>1</v>
      </c>
      <c r="G8243" t="str">
        <f>HYPERLINK("http://babel.hathitrust.org/cgi/pt?id=wu.89050151596")</f>
        <v>http://babel.hathitrust.org/cgi/pt?id=wu.89050151596</v>
      </c>
      <c r="H8243" t="str">
        <f>HYPERLINK("http://catalog.hathitrust.org/Record/011725687")</f>
        <v>http://catalog.hathitrust.org/Record/011725687</v>
      </c>
      <c r="J8243" s="1">
        <v>1886</v>
      </c>
      <c r="K8243" t="s">
        <v>220</v>
      </c>
      <c r="L8243" t="s">
        <v>20448</v>
      </c>
    </row>
    <row r="8244" spans="1:12">
      <c r="A8244" t="s">
        <v>221</v>
      </c>
      <c r="B8244" s="1" t="s">
        <v>222</v>
      </c>
      <c r="F8244">
        <v>1</v>
      </c>
      <c r="G8244" t="str">
        <f>HYPERLINK("http://babel.hathitrust.org/cgi/pt?id=wu.89003585825")</f>
        <v>http://babel.hathitrust.org/cgi/pt?id=wu.89003585825</v>
      </c>
      <c r="H8244" t="str">
        <f>HYPERLINK("http://catalog.hathitrust.org/Record/011725703")</f>
        <v>http://catalog.hathitrust.org/Record/011725703</v>
      </c>
      <c r="J8244" s="1">
        <v>1906</v>
      </c>
      <c r="K8244" t="s">
        <v>223</v>
      </c>
      <c r="L8244" t="s">
        <v>2203</v>
      </c>
    </row>
    <row r="8245" spans="1:12">
      <c r="A8245" t="s">
        <v>224</v>
      </c>
      <c r="B8245" s="1" t="s">
        <v>225</v>
      </c>
      <c r="F8245">
        <v>1</v>
      </c>
      <c r="G8245" t="str">
        <f>HYPERLINK("http://babel.hathitrust.org/cgi/pt?id=wu.89110085776")</f>
        <v>http://babel.hathitrust.org/cgi/pt?id=wu.89110085776</v>
      </c>
      <c r="H8245" t="str">
        <f>HYPERLINK("http://catalog.hathitrust.org/Record/011725760")</f>
        <v>http://catalog.hathitrust.org/Record/011725760</v>
      </c>
      <c r="J8245" s="1">
        <v>1895</v>
      </c>
      <c r="K8245" t="s">
        <v>226</v>
      </c>
      <c r="L8245" t="s">
        <v>13895</v>
      </c>
    </row>
    <row r="8246" spans="1:12">
      <c r="A8246" t="s">
        <v>227</v>
      </c>
      <c r="B8246" s="1" t="s">
        <v>228</v>
      </c>
      <c r="F8246">
        <v>1</v>
      </c>
      <c r="G8246" t="str">
        <f>HYPERLINK("http://babel.hathitrust.org/cgi/pt?id=wu.89081027625")</f>
        <v>http://babel.hathitrust.org/cgi/pt?id=wu.89081027625</v>
      </c>
      <c r="H8246" t="str">
        <f>HYPERLINK("http://catalog.hathitrust.org/Record/011725761")</f>
        <v>http://catalog.hathitrust.org/Record/011725761</v>
      </c>
      <c r="J8246" s="1">
        <v>1842</v>
      </c>
      <c r="K8246" t="s">
        <v>229</v>
      </c>
      <c r="L8246" t="s">
        <v>230</v>
      </c>
    </row>
    <row r="8247" spans="1:12">
      <c r="A8247" t="s">
        <v>231</v>
      </c>
      <c r="B8247" s="1" t="s">
        <v>232</v>
      </c>
      <c r="F8247">
        <v>1</v>
      </c>
      <c r="G8247" t="str">
        <f>HYPERLINK("http://babel.hathitrust.org/cgi/pt?id=wu.89032217796")</f>
        <v>http://babel.hathitrust.org/cgi/pt?id=wu.89032217796</v>
      </c>
      <c r="H8247" t="str">
        <f>HYPERLINK("http://catalog.hathitrust.org/Record/011725762")</f>
        <v>http://catalog.hathitrust.org/Record/011725762</v>
      </c>
      <c r="J8247" s="1">
        <v>1824</v>
      </c>
      <c r="K8247" t="s">
        <v>130</v>
      </c>
      <c r="L8247" t="s">
        <v>15675</v>
      </c>
    </row>
    <row r="8248" spans="1:12">
      <c r="A8248" t="s">
        <v>131</v>
      </c>
      <c r="B8248" s="1" t="s">
        <v>132</v>
      </c>
      <c r="E8248">
        <v>1</v>
      </c>
      <c r="F8248">
        <v>1</v>
      </c>
      <c r="G8248" t="str">
        <f>HYPERLINK("http://babel.hathitrust.org/cgi/pt?id=wu.89014950323")</f>
        <v>http://babel.hathitrust.org/cgi/pt?id=wu.89014950323</v>
      </c>
      <c r="H8248" t="str">
        <f>HYPERLINK("http://catalog.hathitrust.org/Record/011725763")</f>
        <v>http://catalog.hathitrust.org/Record/011725763</v>
      </c>
      <c r="J8248" s="1">
        <v>1901</v>
      </c>
      <c r="K8248" t="s">
        <v>133</v>
      </c>
      <c r="L8248" t="s">
        <v>19601</v>
      </c>
    </row>
    <row r="8249" spans="1:12">
      <c r="A8249" t="s">
        <v>134</v>
      </c>
      <c r="B8249" s="1" t="s">
        <v>135</v>
      </c>
      <c r="E8249">
        <v>1</v>
      </c>
      <c r="F8249">
        <v>1</v>
      </c>
      <c r="G8249" t="str">
        <f>HYPERLINK("http://babel.hathitrust.org/cgi/pt?id=wu.89101313435")</f>
        <v>http://babel.hathitrust.org/cgi/pt?id=wu.89101313435</v>
      </c>
      <c r="H8249" t="str">
        <f>HYPERLINK("http://catalog.hathitrust.org/Record/011725765")</f>
        <v>http://catalog.hathitrust.org/Record/011725765</v>
      </c>
      <c r="J8249" s="1">
        <v>1893</v>
      </c>
      <c r="K8249" t="s">
        <v>136</v>
      </c>
      <c r="L8249" t="s">
        <v>13364</v>
      </c>
    </row>
    <row r="8250" spans="1:12">
      <c r="A8250" t="s">
        <v>137</v>
      </c>
      <c r="B8250" s="1" t="s">
        <v>138</v>
      </c>
      <c r="E8250">
        <v>1</v>
      </c>
      <c r="F8250">
        <v>1</v>
      </c>
      <c r="G8250" t="str">
        <f>HYPERLINK("http://babel.hathitrust.org/cgi/pt?id=wu.89058160995")</f>
        <v>http://babel.hathitrust.org/cgi/pt?id=wu.89058160995</v>
      </c>
      <c r="H8250" t="str">
        <f>HYPERLINK("http://catalog.hathitrust.org/Record/011725766")</f>
        <v>http://catalog.hathitrust.org/Record/011725766</v>
      </c>
      <c r="J8250" s="1">
        <v>1895</v>
      </c>
      <c r="K8250" t="s">
        <v>139</v>
      </c>
      <c r="L8250" t="s">
        <v>18477</v>
      </c>
    </row>
    <row r="8251" spans="1:12">
      <c r="A8251" t="s">
        <v>140</v>
      </c>
      <c r="B8251" s="1" t="s">
        <v>141</v>
      </c>
      <c r="E8251">
        <v>1</v>
      </c>
      <c r="F8251">
        <v>1</v>
      </c>
      <c r="G8251" t="str">
        <f>HYPERLINK("http://babel.hathitrust.org/cgi/pt?id=wu.89056424682")</f>
        <v>http://babel.hathitrust.org/cgi/pt?id=wu.89056424682</v>
      </c>
      <c r="H8251" t="str">
        <f>HYPERLINK("http://catalog.hathitrust.org/Record/011725767")</f>
        <v>http://catalog.hathitrust.org/Record/011725767</v>
      </c>
      <c r="J8251" s="1">
        <v>1877</v>
      </c>
      <c r="K8251" t="s">
        <v>12693</v>
      </c>
      <c r="L8251" t="s">
        <v>12817</v>
      </c>
    </row>
    <row r="8252" spans="1:12">
      <c r="A8252" t="s">
        <v>142</v>
      </c>
      <c r="B8252" s="1" t="s">
        <v>143</v>
      </c>
      <c r="F8252">
        <v>1</v>
      </c>
      <c r="G8252" t="str">
        <f>HYPERLINK("http://babel.hathitrust.org/cgi/pt?id=wu.89081028896")</f>
        <v>http://babel.hathitrust.org/cgi/pt?id=wu.89081028896</v>
      </c>
      <c r="H8252" t="str">
        <f>HYPERLINK("http://catalog.hathitrust.org/Record/011725775")</f>
        <v>http://catalog.hathitrust.org/Record/011725775</v>
      </c>
      <c r="I8252" s="1" t="s">
        <v>20920</v>
      </c>
      <c r="J8252" s="1">
        <v>1811</v>
      </c>
      <c r="K8252" t="s">
        <v>19693</v>
      </c>
      <c r="L8252" t="s">
        <v>19694</v>
      </c>
    </row>
    <row r="8253" spans="1:12">
      <c r="A8253" t="s">
        <v>144</v>
      </c>
      <c r="B8253" s="1" t="s">
        <v>143</v>
      </c>
      <c r="F8253">
        <v>1</v>
      </c>
      <c r="G8253" t="str">
        <f>HYPERLINK("http://babel.hathitrust.org/cgi/pt?id=wu.89081028920")</f>
        <v>http://babel.hathitrust.org/cgi/pt?id=wu.89081028920</v>
      </c>
      <c r="H8253" t="str">
        <f>HYPERLINK("http://catalog.hathitrust.org/Record/011725775")</f>
        <v>http://catalog.hathitrust.org/Record/011725775</v>
      </c>
      <c r="I8253" s="1" t="s">
        <v>20755</v>
      </c>
      <c r="J8253" s="1">
        <v>1811</v>
      </c>
      <c r="K8253" t="s">
        <v>19693</v>
      </c>
      <c r="L8253" t="s">
        <v>19694</v>
      </c>
    </row>
    <row r="8254" spans="1:12">
      <c r="A8254" t="s">
        <v>145</v>
      </c>
      <c r="B8254" s="1" t="s">
        <v>143</v>
      </c>
      <c r="F8254">
        <v>1</v>
      </c>
      <c r="G8254" t="str">
        <f>HYPERLINK("http://babel.hathitrust.org/cgi/pt?id=wu.89081028953")</f>
        <v>http://babel.hathitrust.org/cgi/pt?id=wu.89081028953</v>
      </c>
      <c r="H8254" t="str">
        <f>HYPERLINK("http://catalog.hathitrust.org/Record/011725775")</f>
        <v>http://catalog.hathitrust.org/Record/011725775</v>
      </c>
      <c r="I8254" s="1" t="s">
        <v>20916</v>
      </c>
      <c r="J8254" s="1">
        <v>1811</v>
      </c>
      <c r="K8254" t="s">
        <v>19693</v>
      </c>
      <c r="L8254" t="s">
        <v>19694</v>
      </c>
    </row>
    <row r="8255" spans="1:12">
      <c r="A8255" t="s">
        <v>146</v>
      </c>
      <c r="B8255" s="1" t="s">
        <v>147</v>
      </c>
      <c r="F8255">
        <v>1</v>
      </c>
      <c r="G8255" t="str">
        <f>HYPERLINK("http://babel.hathitrust.org/cgi/pt?id=wu.89001446145")</f>
        <v>http://babel.hathitrust.org/cgi/pt?id=wu.89001446145</v>
      </c>
      <c r="H8255" t="str">
        <f>HYPERLINK("http://catalog.hathitrust.org/Record/011725776")</f>
        <v>http://catalog.hathitrust.org/Record/011725776</v>
      </c>
      <c r="J8255" s="1">
        <v>1912</v>
      </c>
      <c r="K8255" t="s">
        <v>148</v>
      </c>
    </row>
    <row r="8256" spans="1:12">
      <c r="A8256" t="s">
        <v>149</v>
      </c>
      <c r="B8256" s="1" t="s">
        <v>150</v>
      </c>
      <c r="F8256">
        <v>1</v>
      </c>
      <c r="G8256" t="str">
        <f>HYPERLINK("http://babel.hathitrust.org/cgi/pt?id=wu.89079718656")</f>
        <v>http://babel.hathitrust.org/cgi/pt?id=wu.89079718656</v>
      </c>
      <c r="H8256" t="str">
        <f>HYPERLINK("http://catalog.hathitrust.org/Record/011725777")</f>
        <v>http://catalog.hathitrust.org/Record/011725777</v>
      </c>
      <c r="J8256" s="1">
        <v>1861</v>
      </c>
      <c r="K8256" t="s">
        <v>7027</v>
      </c>
      <c r="L8256" t="s">
        <v>17959</v>
      </c>
    </row>
    <row r="8257" spans="1:12">
      <c r="A8257" t="s">
        <v>151</v>
      </c>
      <c r="B8257" s="1" t="s">
        <v>152</v>
      </c>
      <c r="F8257">
        <v>1</v>
      </c>
      <c r="G8257" t="str">
        <f>HYPERLINK("http://babel.hathitrust.org/cgi/pt?id=wu.89001068303")</f>
        <v>http://babel.hathitrust.org/cgi/pt?id=wu.89001068303</v>
      </c>
      <c r="H8257" t="str">
        <f>HYPERLINK("http://catalog.hathitrust.org/Record/011725778")</f>
        <v>http://catalog.hathitrust.org/Record/011725778</v>
      </c>
      <c r="J8257" s="1">
        <v>1845</v>
      </c>
      <c r="K8257" t="s">
        <v>11335</v>
      </c>
      <c r="L8257" t="s">
        <v>15292</v>
      </c>
    </row>
    <row r="8258" spans="1:12">
      <c r="A8258" t="s">
        <v>153</v>
      </c>
      <c r="B8258" s="1" t="s">
        <v>154</v>
      </c>
      <c r="F8258">
        <v>1</v>
      </c>
      <c r="G8258" t="str">
        <f>HYPERLINK("http://babel.hathitrust.org/cgi/pt?id=wu.89002339869")</f>
        <v>http://babel.hathitrust.org/cgi/pt?id=wu.89002339869</v>
      </c>
      <c r="H8258" t="str">
        <f>HYPERLINK("http://catalog.hathitrust.org/Record/011725783")</f>
        <v>http://catalog.hathitrust.org/Record/011725783</v>
      </c>
      <c r="J8258" s="1">
        <v>1908</v>
      </c>
      <c r="K8258" t="s">
        <v>155</v>
      </c>
      <c r="L8258" t="s">
        <v>15327</v>
      </c>
    </row>
    <row r="8259" spans="1:12">
      <c r="A8259" t="s">
        <v>156</v>
      </c>
      <c r="B8259" s="1" t="s">
        <v>157</v>
      </c>
      <c r="D8259">
        <v>1</v>
      </c>
      <c r="G8259" t="str">
        <f>HYPERLINK("http://babel.hathitrust.org/cgi/pt?id=wu.89002154276")</f>
        <v>http://babel.hathitrust.org/cgi/pt?id=wu.89002154276</v>
      </c>
      <c r="H8259" t="str">
        <f>HYPERLINK("http://catalog.hathitrust.org/Record/011725784")</f>
        <v>http://catalog.hathitrust.org/Record/011725784</v>
      </c>
      <c r="J8259" s="1">
        <v>1922</v>
      </c>
      <c r="K8259" t="s">
        <v>158</v>
      </c>
      <c r="L8259" t="s">
        <v>19690</v>
      </c>
    </row>
    <row r="8260" spans="1:12">
      <c r="A8260" t="s">
        <v>159</v>
      </c>
      <c r="B8260" s="1" t="s">
        <v>160</v>
      </c>
      <c r="D8260">
        <v>1</v>
      </c>
      <c r="G8260" t="str">
        <f>HYPERLINK("http://babel.hathitrust.org/cgi/pt?id=wu.89003586153")</f>
        <v>http://babel.hathitrust.org/cgi/pt?id=wu.89003586153</v>
      </c>
      <c r="H8260" t="str">
        <f>HYPERLINK("http://catalog.hathitrust.org/Record/011725786")</f>
        <v>http://catalog.hathitrust.org/Record/011725786</v>
      </c>
      <c r="J8260" s="1">
        <v>1915</v>
      </c>
      <c r="K8260" t="s">
        <v>161</v>
      </c>
      <c r="L8260" t="s">
        <v>162</v>
      </c>
    </row>
    <row r="8261" spans="1:12">
      <c r="A8261" t="s">
        <v>163</v>
      </c>
      <c r="B8261" s="1" t="s">
        <v>164</v>
      </c>
      <c r="F8261">
        <v>1</v>
      </c>
      <c r="G8261" t="str">
        <f>HYPERLINK("http://babel.hathitrust.org/cgi/pt?id=wu.89001446137")</f>
        <v>http://babel.hathitrust.org/cgi/pt?id=wu.89001446137</v>
      </c>
      <c r="H8261" t="str">
        <f>HYPERLINK("http://catalog.hathitrust.org/Record/011726528")</f>
        <v>http://catalog.hathitrust.org/Record/011726528</v>
      </c>
      <c r="J8261" s="1">
        <v>1875</v>
      </c>
      <c r="K8261" t="s">
        <v>3864</v>
      </c>
      <c r="L8261" t="s">
        <v>17034</v>
      </c>
    </row>
    <row r="8262" spans="1:12" ht="15">
      <c r="A8262" t="s">
        <v>165</v>
      </c>
      <c r="B8262" s="1" t="s">
        <v>166</v>
      </c>
      <c r="F8262">
        <v>1</v>
      </c>
      <c r="G8262" t="str">
        <f>HYPERLINK("http://babel.hathitrust.org/cgi/pt?id=wu.89119133387")</f>
        <v>http://babel.hathitrust.org/cgi/pt?id=wu.89119133387</v>
      </c>
      <c r="H8262" t="str">
        <f>HYPERLINK("http://catalog.hathitrust.org/Record/011727275")</f>
        <v>http://catalog.hathitrust.org/Record/011727275</v>
      </c>
      <c r="J8262" s="1">
        <v>1870</v>
      </c>
      <c r="K8262" t="s">
        <v>167</v>
      </c>
      <c r="L8262" t="s">
        <v>168</v>
      </c>
    </row>
    <row r="8263" spans="1:12">
      <c r="A8263" t="s">
        <v>169</v>
      </c>
      <c r="B8263" s="1" t="s">
        <v>170</v>
      </c>
      <c r="F8263">
        <v>1</v>
      </c>
      <c r="G8263" t="str">
        <f>HYPERLINK("http://babel.hathitrust.org/cgi/pt?id=wu.89004774204")</f>
        <v>http://babel.hathitrust.org/cgi/pt?id=wu.89004774204</v>
      </c>
      <c r="H8263" t="str">
        <f>HYPERLINK("http://catalog.hathitrust.org/Record/011727337")</f>
        <v>http://catalog.hathitrust.org/Record/011727337</v>
      </c>
      <c r="J8263" s="1">
        <v>1919</v>
      </c>
      <c r="K8263" t="s">
        <v>171</v>
      </c>
      <c r="L8263" t="s">
        <v>172</v>
      </c>
    </row>
    <row r="8264" spans="1:12">
      <c r="A8264" t="s">
        <v>173</v>
      </c>
      <c r="B8264" s="1" t="s">
        <v>174</v>
      </c>
      <c r="E8264">
        <v>1</v>
      </c>
      <c r="F8264">
        <v>1</v>
      </c>
      <c r="G8264" t="str">
        <f>HYPERLINK("http://babel.hathitrust.org/cgi/pt?id=coo.31924009605910")</f>
        <v>http://babel.hathitrust.org/cgi/pt?id=coo.31924009605910</v>
      </c>
      <c r="H8264" t="str">
        <f>HYPERLINK("http://catalog.hathitrust.org/Record/011742543")</f>
        <v>http://catalog.hathitrust.org/Record/011742543</v>
      </c>
      <c r="J8264" s="1">
        <v>1898</v>
      </c>
      <c r="K8264" t="s">
        <v>175</v>
      </c>
      <c r="L8264" t="s">
        <v>19745</v>
      </c>
    </row>
    <row r="8265" spans="1:12">
      <c r="A8265" t="s">
        <v>176</v>
      </c>
      <c r="B8265" s="1" t="s">
        <v>177</v>
      </c>
      <c r="F8265">
        <v>1</v>
      </c>
      <c r="G8265" t="str">
        <f>HYPERLINK("http://babel.hathitrust.org/cgi/pt?id=coo.31924105726834")</f>
        <v>http://babel.hathitrust.org/cgi/pt?id=coo.31924105726834</v>
      </c>
      <c r="H8265" t="str">
        <f>HYPERLINK("http://catalog.hathitrust.org/Record/011742807")</f>
        <v>http://catalog.hathitrust.org/Record/011742807</v>
      </c>
      <c r="I8265" s="1" t="s">
        <v>20916</v>
      </c>
      <c r="J8265" s="1">
        <v>1859</v>
      </c>
      <c r="K8265" t="s">
        <v>97</v>
      </c>
      <c r="L8265" t="s">
        <v>98</v>
      </c>
    </row>
    <row r="8266" spans="1:12">
      <c r="A8266" t="s">
        <v>99</v>
      </c>
      <c r="B8266" s="1" t="s">
        <v>177</v>
      </c>
      <c r="F8266">
        <v>1</v>
      </c>
      <c r="G8266" t="str">
        <f>HYPERLINK("http://babel.hathitrust.org/cgi/pt?id=coo.31924105726842")</f>
        <v>http://babel.hathitrust.org/cgi/pt?id=coo.31924105726842</v>
      </c>
      <c r="H8266" t="str">
        <f>HYPERLINK("http://catalog.hathitrust.org/Record/011742807")</f>
        <v>http://catalog.hathitrust.org/Record/011742807</v>
      </c>
      <c r="I8266" s="1" t="s">
        <v>20755</v>
      </c>
      <c r="J8266" s="1">
        <v>1859</v>
      </c>
      <c r="K8266" t="s">
        <v>97</v>
      </c>
      <c r="L8266" t="s">
        <v>98</v>
      </c>
    </row>
    <row r="8267" spans="1:12">
      <c r="A8267" t="s">
        <v>100</v>
      </c>
      <c r="B8267" s="1" t="s">
        <v>101</v>
      </c>
      <c r="E8267">
        <v>1</v>
      </c>
      <c r="F8267">
        <v>1</v>
      </c>
      <c r="G8267" t="str">
        <f>HYPERLINK("http://babel.hathitrust.org/cgi/pt?id=inu.30000099958872")</f>
        <v>http://babel.hathitrust.org/cgi/pt?id=inu.30000099958872</v>
      </c>
      <c r="H8267" t="str">
        <f>HYPERLINK("http://catalog.hathitrust.org/Record/011814646")</f>
        <v>http://catalog.hathitrust.org/Record/011814646</v>
      </c>
      <c r="J8267" s="1">
        <v>1831</v>
      </c>
      <c r="K8267" t="s">
        <v>102</v>
      </c>
      <c r="L8267" t="s">
        <v>7289</v>
      </c>
    </row>
    <row r="8268" spans="1:12">
      <c r="A8268" t="s">
        <v>103</v>
      </c>
      <c r="B8268" s="1" t="s">
        <v>104</v>
      </c>
      <c r="F8268">
        <v>1</v>
      </c>
      <c r="G8268" t="str">
        <f>HYPERLINK("http://babel.hathitrust.org/cgi/pt?id=inu.30000120316348")</f>
        <v>http://babel.hathitrust.org/cgi/pt?id=inu.30000120316348</v>
      </c>
      <c r="H8268" t="str">
        <f>HYPERLINK("http://catalog.hathitrust.org/Record/011814846")</f>
        <v>http://catalog.hathitrust.org/Record/011814846</v>
      </c>
      <c r="J8268" s="1">
        <v>1921</v>
      </c>
      <c r="K8268" t="s">
        <v>105</v>
      </c>
      <c r="L8268" t="s">
        <v>106</v>
      </c>
    </row>
    <row r="8269" spans="1:12">
      <c r="A8269" t="s">
        <v>107</v>
      </c>
      <c r="B8269" s="1" t="s">
        <v>108</v>
      </c>
      <c r="F8269">
        <v>1</v>
      </c>
      <c r="G8269" t="str">
        <f>HYPERLINK("http://babel.hathitrust.org/cgi/pt?id=inu.30000120337393")</f>
        <v>http://babel.hathitrust.org/cgi/pt?id=inu.30000120337393</v>
      </c>
      <c r="H8269" t="str">
        <f>HYPERLINK("http://catalog.hathitrust.org/Record/011814865")</f>
        <v>http://catalog.hathitrust.org/Record/011814865</v>
      </c>
      <c r="J8269" s="1">
        <v>1887</v>
      </c>
      <c r="K8269" t="s">
        <v>109</v>
      </c>
      <c r="L8269" t="s">
        <v>6023</v>
      </c>
    </row>
    <row r="8270" spans="1:12">
      <c r="A8270" t="s">
        <v>110</v>
      </c>
      <c r="B8270" s="1" t="s">
        <v>108</v>
      </c>
      <c r="F8270">
        <v>1</v>
      </c>
      <c r="G8270" t="str">
        <f>HYPERLINK("http://babel.hathitrust.org/cgi/pt?id=inu.30000120337401")</f>
        <v>http://babel.hathitrust.org/cgi/pt?id=inu.30000120337401</v>
      </c>
      <c r="H8270" t="str">
        <f>HYPERLINK("http://catalog.hathitrust.org/Record/011814865")</f>
        <v>http://catalog.hathitrust.org/Record/011814865</v>
      </c>
      <c r="J8270" s="1">
        <v>1887</v>
      </c>
      <c r="K8270" t="s">
        <v>109</v>
      </c>
      <c r="L8270" t="s">
        <v>6023</v>
      </c>
    </row>
    <row r="8271" spans="1:12">
      <c r="A8271" t="s">
        <v>111</v>
      </c>
      <c r="B8271" s="1" t="s">
        <v>112</v>
      </c>
      <c r="E8271">
        <v>1</v>
      </c>
      <c r="F8271">
        <v>1</v>
      </c>
      <c r="G8271" t="str">
        <f>HYPERLINK("http://babel.hathitrust.org/cgi/pt?id=inu.30000118281884")</f>
        <v>http://babel.hathitrust.org/cgi/pt?id=inu.30000118281884</v>
      </c>
      <c r="H8271" t="str">
        <f>HYPERLINK("http://catalog.hathitrust.org/Record/011814872")</f>
        <v>http://catalog.hathitrust.org/Record/011814872</v>
      </c>
      <c r="J8271" s="1">
        <v>1906</v>
      </c>
      <c r="K8271" t="s">
        <v>113</v>
      </c>
      <c r="L8271" t="s">
        <v>13364</v>
      </c>
    </row>
    <row r="8272" spans="1:12">
      <c r="A8272" t="s">
        <v>114</v>
      </c>
      <c r="B8272" s="1" t="s">
        <v>115</v>
      </c>
      <c r="F8272">
        <v>1</v>
      </c>
      <c r="G8272" t="str">
        <f>HYPERLINK("http://babel.hathitrust.org/cgi/pt?id=inu.30000099956629")</f>
        <v>http://babel.hathitrust.org/cgi/pt?id=inu.30000099956629</v>
      </c>
      <c r="H8272" t="str">
        <f>HYPERLINK("http://catalog.hathitrust.org/Record/011817302")</f>
        <v>http://catalog.hathitrust.org/Record/011817302</v>
      </c>
      <c r="J8272" s="1">
        <v>1921</v>
      </c>
      <c r="K8272" t="s">
        <v>116</v>
      </c>
      <c r="L8272" t="s">
        <v>117</v>
      </c>
    </row>
    <row r="8273" spans="1:12">
      <c r="A8273" t="s">
        <v>118</v>
      </c>
      <c r="B8273" s="1" t="s">
        <v>119</v>
      </c>
      <c r="F8273">
        <v>1</v>
      </c>
      <c r="G8273" t="str">
        <f>HYPERLINK("http://babel.hathitrust.org/cgi/pt?id=inu.30000113392512")</f>
        <v>http://babel.hathitrust.org/cgi/pt?id=inu.30000113392512</v>
      </c>
      <c r="H8273" t="str">
        <f>HYPERLINK("http://catalog.hathitrust.org/Record/011819691")</f>
        <v>http://catalog.hathitrust.org/Record/011819691</v>
      </c>
      <c r="J8273" s="1">
        <v>1721</v>
      </c>
      <c r="K8273" t="s">
        <v>120</v>
      </c>
      <c r="L8273" t="s">
        <v>121</v>
      </c>
    </row>
    <row r="8274" spans="1:12">
      <c r="A8274" t="s">
        <v>122</v>
      </c>
      <c r="B8274" s="1" t="s">
        <v>123</v>
      </c>
      <c r="F8274">
        <v>1</v>
      </c>
      <c r="G8274" t="str">
        <f>HYPERLINK("http://babel.hathitrust.org/cgi/pt?id=inu.30000104887165")</f>
        <v>http://babel.hathitrust.org/cgi/pt?id=inu.30000104887165</v>
      </c>
      <c r="H8274" t="str">
        <f>HYPERLINK("http://catalog.hathitrust.org/Record/011819758")</f>
        <v>http://catalog.hathitrust.org/Record/011819758</v>
      </c>
      <c r="J8274" s="1">
        <v>1831</v>
      </c>
      <c r="K8274" t="s">
        <v>124</v>
      </c>
      <c r="L8274" t="s">
        <v>7585</v>
      </c>
    </row>
    <row r="8275" spans="1:12">
      <c r="A8275" t="s">
        <v>125</v>
      </c>
      <c r="B8275" s="1" t="s">
        <v>126</v>
      </c>
      <c r="F8275">
        <v>1</v>
      </c>
      <c r="G8275" t="str">
        <f>HYPERLINK("http://babel.hathitrust.org/cgi/pt?id=inu.30000131063004")</f>
        <v>http://babel.hathitrust.org/cgi/pt?id=inu.30000131063004</v>
      </c>
      <c r="H8275" t="str">
        <f>HYPERLINK("http://catalog.hathitrust.org/Record/011820072")</f>
        <v>http://catalog.hathitrust.org/Record/011820072</v>
      </c>
      <c r="J8275" s="1">
        <v>1826</v>
      </c>
      <c r="K8275" t="s">
        <v>127</v>
      </c>
      <c r="L8275" t="s">
        <v>7658</v>
      </c>
    </row>
    <row r="8276" spans="1:12">
      <c r="A8276" t="s">
        <v>128</v>
      </c>
      <c r="B8276" s="1" t="s">
        <v>129</v>
      </c>
      <c r="F8276">
        <v>1</v>
      </c>
      <c r="G8276" t="str">
        <f>HYPERLINK("http://babel.hathitrust.org/cgi/pt?id=inu.30000108822838")</f>
        <v>http://babel.hathitrust.org/cgi/pt?id=inu.30000108822838</v>
      </c>
      <c r="H8276" t="str">
        <f>HYPERLINK("http://catalog.hathitrust.org/Record/011820833")</f>
        <v>http://catalog.hathitrust.org/Record/011820833</v>
      </c>
      <c r="J8276" s="1">
        <v>1804</v>
      </c>
      <c r="K8276" t="s">
        <v>58</v>
      </c>
      <c r="L8276" t="s">
        <v>6968</v>
      </c>
    </row>
    <row r="8277" spans="1:12">
      <c r="A8277" t="s">
        <v>59</v>
      </c>
      <c r="B8277" s="1" t="s">
        <v>60</v>
      </c>
      <c r="E8277">
        <v>1</v>
      </c>
      <c r="G8277" t="str">
        <f>HYPERLINK("http://babel.hathitrust.org/cgi/pt?id=inu.30000127827305")</f>
        <v>http://babel.hathitrust.org/cgi/pt?id=inu.30000127827305</v>
      </c>
      <c r="H8277" t="str">
        <f>HYPERLINK("http://catalog.hathitrust.org/Record/011821018")</f>
        <v>http://catalog.hathitrust.org/Record/011821018</v>
      </c>
      <c r="J8277" s="1">
        <v>1921</v>
      </c>
      <c r="K8277" t="s">
        <v>61</v>
      </c>
      <c r="L8277" t="s">
        <v>11166</v>
      </c>
    </row>
    <row r="8278" spans="1:12">
      <c r="A8278" t="s">
        <v>62</v>
      </c>
      <c r="B8278" s="1" t="s">
        <v>63</v>
      </c>
      <c r="F8278">
        <v>1</v>
      </c>
      <c r="G8278" t="str">
        <f>HYPERLINK("http://babel.hathitrust.org/cgi/pt?id=inu.30000112051937")</f>
        <v>http://babel.hathitrust.org/cgi/pt?id=inu.30000112051937</v>
      </c>
      <c r="H8278" t="str">
        <f>HYPERLINK("http://catalog.hathitrust.org/Record/011823131")</f>
        <v>http://catalog.hathitrust.org/Record/011823131</v>
      </c>
      <c r="J8278" s="1">
        <v>1805</v>
      </c>
      <c r="K8278" t="s">
        <v>64</v>
      </c>
      <c r="L8278" t="s">
        <v>18581</v>
      </c>
    </row>
    <row r="8279" spans="1:12">
      <c r="A8279" t="s">
        <v>65</v>
      </c>
      <c r="B8279" s="1" t="s">
        <v>66</v>
      </c>
      <c r="F8279">
        <v>1</v>
      </c>
      <c r="G8279" t="str">
        <f>HYPERLINK("http://babel.hathitrust.org/cgi/pt?id=inu.30000113491777")</f>
        <v>http://babel.hathitrust.org/cgi/pt?id=inu.30000113491777</v>
      </c>
      <c r="H8279" t="str">
        <f>HYPERLINK("http://catalog.hathitrust.org/Record/011823201")</f>
        <v>http://catalog.hathitrust.org/Record/011823201</v>
      </c>
      <c r="J8279" s="1">
        <v>1808</v>
      </c>
      <c r="K8279" t="s">
        <v>67</v>
      </c>
      <c r="L8279" t="s">
        <v>14033</v>
      </c>
    </row>
    <row r="8280" spans="1:12">
      <c r="A8280" t="s">
        <v>68</v>
      </c>
      <c r="B8280" s="1" t="s">
        <v>69</v>
      </c>
      <c r="F8280">
        <v>1</v>
      </c>
      <c r="G8280" t="str">
        <f>HYPERLINK("http://babel.hathitrust.org/cgi/pt?id=inu.30000113491769")</f>
        <v>http://babel.hathitrust.org/cgi/pt?id=inu.30000113491769</v>
      </c>
      <c r="H8280" t="str">
        <f>HYPERLINK("http://catalog.hathitrust.org/Record/011823210")</f>
        <v>http://catalog.hathitrust.org/Record/011823210</v>
      </c>
      <c r="J8280" s="1">
        <v>1792</v>
      </c>
      <c r="K8280" t="s">
        <v>4731</v>
      </c>
      <c r="L8280" t="s">
        <v>14033</v>
      </c>
    </row>
    <row r="8281" spans="1:12">
      <c r="A8281" t="s">
        <v>70</v>
      </c>
      <c r="B8281" s="1" t="s">
        <v>71</v>
      </c>
      <c r="F8281">
        <v>1</v>
      </c>
      <c r="G8281" t="str">
        <f>HYPERLINK("http://babel.hathitrust.org/cgi/pt?id=inu.30000088965888")</f>
        <v>http://babel.hathitrust.org/cgi/pt?id=inu.30000088965888</v>
      </c>
      <c r="H8281" t="str">
        <f>HYPERLINK("http://catalog.hathitrust.org/Record/011823294")</f>
        <v>http://catalog.hathitrust.org/Record/011823294</v>
      </c>
      <c r="J8281" s="1">
        <v>1896</v>
      </c>
      <c r="K8281" t="s">
        <v>72</v>
      </c>
      <c r="L8281" t="s">
        <v>9216</v>
      </c>
    </row>
    <row r="8282" spans="1:12">
      <c r="A8282" t="s">
        <v>73</v>
      </c>
      <c r="B8282" s="1" t="s">
        <v>74</v>
      </c>
      <c r="F8282">
        <v>1</v>
      </c>
      <c r="G8282" t="str">
        <f>HYPERLINK("http://babel.hathitrust.org/cgi/pt?id=inu.30000120344845")</f>
        <v>http://babel.hathitrust.org/cgi/pt?id=inu.30000120344845</v>
      </c>
      <c r="H8282" t="str">
        <f>HYPERLINK("http://catalog.hathitrust.org/Record/011823490")</f>
        <v>http://catalog.hathitrust.org/Record/011823490</v>
      </c>
      <c r="J8282" s="1">
        <v>1900</v>
      </c>
      <c r="K8282" t="s">
        <v>75</v>
      </c>
      <c r="L8282" t="s">
        <v>76</v>
      </c>
    </row>
    <row r="8283" spans="1:12">
      <c r="A8283" t="s">
        <v>77</v>
      </c>
      <c r="B8283" s="1" t="s">
        <v>78</v>
      </c>
      <c r="F8283">
        <v>1</v>
      </c>
      <c r="G8283" t="str">
        <f>HYPERLINK("http://babel.hathitrust.org/cgi/pt?id=inu.30000120346014")</f>
        <v>http://babel.hathitrust.org/cgi/pt?id=inu.30000120346014</v>
      </c>
      <c r="H8283" t="str">
        <f>HYPERLINK("http://catalog.hathitrust.org/Record/011823491")</f>
        <v>http://catalog.hathitrust.org/Record/011823491</v>
      </c>
      <c r="J8283" s="1">
        <v>1852</v>
      </c>
      <c r="K8283" t="s">
        <v>79</v>
      </c>
      <c r="L8283" t="s">
        <v>20391</v>
      </c>
    </row>
    <row r="8284" spans="1:12">
      <c r="A8284" t="s">
        <v>80</v>
      </c>
      <c r="B8284" s="1" t="s">
        <v>81</v>
      </c>
      <c r="D8284">
        <v>1</v>
      </c>
      <c r="G8284" t="str">
        <f>HYPERLINK("http://babel.hathitrust.org/cgi/pt?id=inu.30000120338953")</f>
        <v>http://babel.hathitrust.org/cgi/pt?id=inu.30000120338953</v>
      </c>
      <c r="H8284" t="str">
        <f>HYPERLINK("http://catalog.hathitrust.org/Record/011823493")</f>
        <v>http://catalog.hathitrust.org/Record/011823493</v>
      </c>
      <c r="J8284" s="1">
        <v>1888</v>
      </c>
      <c r="K8284" t="s">
        <v>15382</v>
      </c>
      <c r="L8284" t="s">
        <v>18991</v>
      </c>
    </row>
    <row r="8285" spans="1:12">
      <c r="A8285" t="s">
        <v>82</v>
      </c>
      <c r="B8285" s="1" t="s">
        <v>83</v>
      </c>
      <c r="F8285">
        <v>1</v>
      </c>
      <c r="G8285" t="str">
        <f>HYPERLINK("http://babel.hathitrust.org/cgi/pt?id=inu.30000120496884")</f>
        <v>http://babel.hathitrust.org/cgi/pt?id=inu.30000120496884</v>
      </c>
      <c r="H8285" t="str">
        <f>HYPERLINK("http://catalog.hathitrust.org/Record/011823497")</f>
        <v>http://catalog.hathitrust.org/Record/011823497</v>
      </c>
      <c r="J8285" s="1">
        <v>1829</v>
      </c>
      <c r="K8285" t="s">
        <v>84</v>
      </c>
      <c r="L8285" t="s">
        <v>20043</v>
      </c>
    </row>
    <row r="8286" spans="1:12">
      <c r="A8286" t="s">
        <v>85</v>
      </c>
      <c r="B8286" s="1" t="s">
        <v>86</v>
      </c>
      <c r="F8286">
        <v>1</v>
      </c>
      <c r="G8286" t="str">
        <f>HYPERLINK("http://babel.hathitrust.org/cgi/pt?id=inu.30000120496710")</f>
        <v>http://babel.hathitrust.org/cgi/pt?id=inu.30000120496710</v>
      </c>
      <c r="H8286" t="str">
        <f>HYPERLINK("http://catalog.hathitrust.org/Record/011823499")</f>
        <v>http://catalog.hathitrust.org/Record/011823499</v>
      </c>
      <c r="J8286" s="1">
        <v>1830</v>
      </c>
      <c r="K8286" t="s">
        <v>87</v>
      </c>
      <c r="L8286" t="s">
        <v>4091</v>
      </c>
    </row>
    <row r="8287" spans="1:12">
      <c r="A8287" t="s">
        <v>88</v>
      </c>
      <c r="B8287" s="1" t="s">
        <v>89</v>
      </c>
      <c r="F8287">
        <v>1</v>
      </c>
      <c r="G8287" t="str">
        <f>HYPERLINK("http://babel.hathitrust.org/cgi/pt?id=inu.30000118282015")</f>
        <v>http://babel.hathitrust.org/cgi/pt?id=inu.30000118282015</v>
      </c>
      <c r="H8287" t="str">
        <f>HYPERLINK("http://catalog.hathitrust.org/Record/011823500")</f>
        <v>http://catalog.hathitrust.org/Record/011823500</v>
      </c>
      <c r="J8287" s="1">
        <v>1850</v>
      </c>
      <c r="K8287" t="s">
        <v>14906</v>
      </c>
      <c r="L8287" t="s">
        <v>14907</v>
      </c>
    </row>
    <row r="8288" spans="1:12">
      <c r="A8288" t="s">
        <v>90</v>
      </c>
      <c r="B8288" s="1" t="s">
        <v>91</v>
      </c>
      <c r="F8288">
        <v>1</v>
      </c>
      <c r="G8288" t="str">
        <f>HYPERLINK("http://babel.hathitrust.org/cgi/pt?id=inu.30000120153519")</f>
        <v>http://babel.hathitrust.org/cgi/pt?id=inu.30000120153519</v>
      </c>
      <c r="H8288" t="str">
        <f>HYPERLINK("http://catalog.hathitrust.org/Record/011823505")</f>
        <v>http://catalog.hathitrust.org/Record/011823505</v>
      </c>
      <c r="J8288" s="1">
        <v>1888</v>
      </c>
      <c r="K8288" t="s">
        <v>20883</v>
      </c>
      <c r="L8288" t="s">
        <v>20884</v>
      </c>
    </row>
    <row r="8289" spans="1:12">
      <c r="A8289" t="s">
        <v>92</v>
      </c>
      <c r="B8289" s="1" t="s">
        <v>93</v>
      </c>
      <c r="E8289">
        <v>1</v>
      </c>
      <c r="F8289">
        <v>1</v>
      </c>
      <c r="G8289" t="str">
        <f>HYPERLINK("http://babel.hathitrust.org/cgi/pt?id=inu.30000118287469")</f>
        <v>http://babel.hathitrust.org/cgi/pt?id=inu.30000118287469</v>
      </c>
      <c r="H8289" t="str">
        <f>HYPERLINK("http://catalog.hathitrust.org/Record/011823568")</f>
        <v>http://catalog.hathitrust.org/Record/011823568</v>
      </c>
      <c r="J8289" s="1">
        <v>1880</v>
      </c>
      <c r="K8289" t="s">
        <v>94</v>
      </c>
      <c r="L8289" t="s">
        <v>12225</v>
      </c>
    </row>
    <row r="8290" spans="1:12">
      <c r="A8290" t="s">
        <v>95</v>
      </c>
      <c r="B8290" s="1" t="s">
        <v>96</v>
      </c>
      <c r="E8290">
        <v>1</v>
      </c>
      <c r="F8290">
        <v>1</v>
      </c>
      <c r="G8290" t="str">
        <f>HYPERLINK("http://babel.hathitrust.org/cgi/pt?id=uc1.b3862845")</f>
        <v>http://babel.hathitrust.org/cgi/pt?id=uc1.b3862845</v>
      </c>
      <c r="H8290" t="str">
        <f>HYPERLINK("http://catalog.hathitrust.org/Record/011878630")</f>
        <v>http://catalog.hathitrust.org/Record/011878630</v>
      </c>
      <c r="J8290" s="1">
        <v>1883</v>
      </c>
      <c r="K8290" t="s">
        <v>976</v>
      </c>
      <c r="L8290" t="s">
        <v>18991</v>
      </c>
    </row>
    <row r="8291" spans="1:12">
      <c r="A8291" t="s">
        <v>4</v>
      </c>
      <c r="B8291" s="1" t="s">
        <v>96</v>
      </c>
      <c r="F8291">
        <v>1</v>
      </c>
      <c r="G8291" t="str">
        <f>HYPERLINK("http://babel.hathitrust.org/cgi/pt?id=uc2.ark:/13960/t73t9q97f")</f>
        <v>http://babel.hathitrust.org/cgi/pt?id=uc2.ark:/13960/t73t9q97f</v>
      </c>
      <c r="H8291" t="str">
        <f>HYPERLINK("http://catalog.hathitrust.org/Record/011878630")</f>
        <v>http://catalog.hathitrust.org/Record/011878630</v>
      </c>
      <c r="J8291" s="1">
        <v>1883</v>
      </c>
      <c r="K8291" t="s">
        <v>976</v>
      </c>
      <c r="L8291" t="s">
        <v>18991</v>
      </c>
    </row>
    <row r="8292" spans="1:12">
      <c r="A8292" t="s">
        <v>5</v>
      </c>
      <c r="B8292" s="1" t="s">
        <v>6</v>
      </c>
      <c r="D8292">
        <v>1</v>
      </c>
      <c r="G8292" t="str">
        <f>HYPERLINK("http://babel.hathitrust.org/cgi/pt?id=ien.35556000984377")</f>
        <v>http://babel.hathitrust.org/cgi/pt?id=ien.35556000984377</v>
      </c>
      <c r="H8292" t="str">
        <f>HYPERLINK("http://catalog.hathitrust.org/Record/011919819")</f>
        <v>http://catalog.hathitrust.org/Record/011919819</v>
      </c>
      <c r="J8292" s="1">
        <v>1908</v>
      </c>
      <c r="K8292" t="s">
        <v>7</v>
      </c>
      <c r="L8292" t="s">
        <v>8</v>
      </c>
    </row>
    <row r="8293" spans="1:12">
      <c r="A8293" t="s">
        <v>9</v>
      </c>
      <c r="B8293" s="1" t="s">
        <v>10</v>
      </c>
      <c r="D8293">
        <v>1</v>
      </c>
      <c r="G8293" t="str">
        <f>HYPERLINK("http://babel.hathitrust.org/cgi/pt?id=ien.35556005514989")</f>
        <v>http://babel.hathitrust.org/cgi/pt?id=ien.35556005514989</v>
      </c>
      <c r="H8293" t="str">
        <f>HYPERLINK("http://catalog.hathitrust.org/Record/011920628")</f>
        <v>http://catalog.hathitrust.org/Record/011920628</v>
      </c>
      <c r="J8293" s="1">
        <v>1805</v>
      </c>
      <c r="K8293" t="s">
        <v>6863</v>
      </c>
      <c r="L8293" t="s">
        <v>6864</v>
      </c>
    </row>
    <row r="8294" spans="1:12">
      <c r="A8294" t="s">
        <v>11</v>
      </c>
      <c r="B8294" s="1" t="s">
        <v>12</v>
      </c>
      <c r="F8294">
        <v>1</v>
      </c>
      <c r="G8294" t="str">
        <f>HYPERLINK("http://babel.hathitrust.org/cgi/pt?id=ien.35556004818043")</f>
        <v>http://babel.hathitrust.org/cgi/pt?id=ien.35556004818043</v>
      </c>
      <c r="H8294" t="str">
        <f>HYPERLINK("http://catalog.hathitrust.org/Record/011920671")</f>
        <v>http://catalog.hathitrust.org/Record/011920671</v>
      </c>
      <c r="J8294" s="1">
        <v>1842</v>
      </c>
      <c r="K8294" t="s">
        <v>13</v>
      </c>
      <c r="L8294" t="s">
        <v>14</v>
      </c>
    </row>
    <row r="8295" spans="1:12">
      <c r="A8295" t="s">
        <v>15</v>
      </c>
      <c r="B8295" s="1" t="s">
        <v>16</v>
      </c>
      <c r="F8295">
        <v>1</v>
      </c>
      <c r="G8295" t="str">
        <f>HYPERLINK("http://babel.hathitrust.org/cgi/pt?id=ien.35556036877280")</f>
        <v>http://babel.hathitrust.org/cgi/pt?id=ien.35556036877280</v>
      </c>
      <c r="H8295" t="str">
        <f>HYPERLINK("http://catalog.hathitrust.org/Record/011920957")</f>
        <v>http://catalog.hathitrust.org/Record/011920957</v>
      </c>
      <c r="J8295" s="1">
        <v>1905</v>
      </c>
      <c r="K8295" t="s">
        <v>14028</v>
      </c>
      <c r="L8295" t="s">
        <v>14029</v>
      </c>
    </row>
    <row r="8296" spans="1:12">
      <c r="A8296" t="s">
        <v>17</v>
      </c>
      <c r="B8296" s="1" t="s">
        <v>18</v>
      </c>
      <c r="E8296">
        <v>1</v>
      </c>
      <c r="F8296">
        <v>1</v>
      </c>
      <c r="G8296" t="str">
        <f>HYPERLINK("http://babel.hathitrust.org/cgi/pt?id=ien.35556035064260")</f>
        <v>http://babel.hathitrust.org/cgi/pt?id=ien.35556035064260</v>
      </c>
      <c r="H8296" t="str">
        <f>HYPERLINK("http://catalog.hathitrust.org/Record/011922073")</f>
        <v>http://catalog.hathitrust.org/Record/011922073</v>
      </c>
      <c r="J8296" s="1">
        <v>1879</v>
      </c>
      <c r="K8296" t="s">
        <v>19</v>
      </c>
      <c r="L8296" t="s">
        <v>13304</v>
      </c>
    </row>
    <row r="8297" spans="1:12">
      <c r="A8297" t="s">
        <v>20</v>
      </c>
      <c r="B8297" s="1" t="s">
        <v>21</v>
      </c>
      <c r="D8297">
        <v>1</v>
      </c>
      <c r="G8297" t="str">
        <f>HYPERLINK("http://babel.hathitrust.org/cgi/pt?id=ien.35556038199162")</f>
        <v>http://babel.hathitrust.org/cgi/pt?id=ien.35556038199162</v>
      </c>
      <c r="H8297" t="str">
        <f>HYPERLINK("http://catalog.hathitrust.org/Record/011922210")</f>
        <v>http://catalog.hathitrust.org/Record/011922210</v>
      </c>
      <c r="J8297" s="1">
        <v>1899</v>
      </c>
      <c r="K8297" t="s">
        <v>10936</v>
      </c>
      <c r="L8297" t="s">
        <v>16848</v>
      </c>
    </row>
    <row r="8298" spans="1:12">
      <c r="A8298" t="s">
        <v>22</v>
      </c>
      <c r="B8298" s="1" t="s">
        <v>23</v>
      </c>
      <c r="D8298">
        <v>1</v>
      </c>
      <c r="G8298" t="str">
        <f>HYPERLINK("http://babel.hathitrust.org/cgi/pt?id=ien.35556023380298")</f>
        <v>http://babel.hathitrust.org/cgi/pt?id=ien.35556023380298</v>
      </c>
      <c r="H8298" t="str">
        <f>HYPERLINK("http://catalog.hathitrust.org/Record/011922216")</f>
        <v>http://catalog.hathitrust.org/Record/011922216</v>
      </c>
      <c r="I8298" s="1" t="s">
        <v>20920</v>
      </c>
      <c r="J8298" s="1">
        <v>1890</v>
      </c>
      <c r="K8298" t="s">
        <v>24</v>
      </c>
      <c r="L8298" t="s">
        <v>20086</v>
      </c>
    </row>
    <row r="8299" spans="1:12">
      <c r="A8299" t="s">
        <v>25</v>
      </c>
      <c r="B8299" s="1" t="s">
        <v>23</v>
      </c>
      <c r="D8299">
        <v>1</v>
      </c>
      <c r="G8299" t="str">
        <f>HYPERLINK("http://babel.hathitrust.org/cgi/pt?id=ien.35556023380306")</f>
        <v>http://babel.hathitrust.org/cgi/pt?id=ien.35556023380306</v>
      </c>
      <c r="H8299" t="str">
        <f>HYPERLINK("http://catalog.hathitrust.org/Record/011922216")</f>
        <v>http://catalog.hathitrust.org/Record/011922216</v>
      </c>
      <c r="I8299" s="1" t="s">
        <v>20755</v>
      </c>
      <c r="J8299" s="1">
        <v>1890</v>
      </c>
      <c r="K8299" t="s">
        <v>24</v>
      </c>
      <c r="L8299" t="s">
        <v>20086</v>
      </c>
    </row>
    <row r="8300" spans="1:12">
      <c r="A8300" t="s">
        <v>26</v>
      </c>
      <c r="B8300" s="1" t="s">
        <v>23</v>
      </c>
      <c r="D8300">
        <v>1</v>
      </c>
      <c r="G8300" t="str">
        <f>HYPERLINK("http://babel.hathitrust.org/cgi/pt?id=ien.35556023380314")</f>
        <v>http://babel.hathitrust.org/cgi/pt?id=ien.35556023380314</v>
      </c>
      <c r="H8300" t="str">
        <f>HYPERLINK("http://catalog.hathitrust.org/Record/011922216")</f>
        <v>http://catalog.hathitrust.org/Record/011922216</v>
      </c>
      <c r="I8300" s="1" t="s">
        <v>20916</v>
      </c>
      <c r="J8300" s="1">
        <v>1890</v>
      </c>
      <c r="K8300" t="s">
        <v>24</v>
      </c>
      <c r="L8300" t="s">
        <v>20086</v>
      </c>
    </row>
    <row r="8301" spans="1:12">
      <c r="A8301" t="s">
        <v>27</v>
      </c>
      <c r="B8301" s="1" t="s">
        <v>28</v>
      </c>
      <c r="F8301">
        <v>1</v>
      </c>
      <c r="G8301" t="str">
        <f>HYPERLINK("http://babel.hathitrust.org/cgi/pt?id=ien.35556038039756")</f>
        <v>http://babel.hathitrust.org/cgi/pt?id=ien.35556038039756</v>
      </c>
      <c r="H8301" t="str">
        <f>HYPERLINK("http://catalog.hathitrust.org/Record/011922217")</f>
        <v>http://catalog.hathitrust.org/Record/011922217</v>
      </c>
      <c r="I8301" s="1" t="s">
        <v>20920</v>
      </c>
      <c r="J8301" s="1">
        <v>1905</v>
      </c>
      <c r="K8301" t="s">
        <v>19982</v>
      </c>
      <c r="L8301" t="s">
        <v>20086</v>
      </c>
    </row>
    <row r="8302" spans="1:12">
      <c r="A8302" t="s">
        <v>29</v>
      </c>
      <c r="B8302" s="1" t="s">
        <v>28</v>
      </c>
      <c r="D8302">
        <v>1</v>
      </c>
      <c r="G8302" t="str">
        <f>HYPERLINK("http://babel.hathitrust.org/cgi/pt?id=ien.35556038039764")</f>
        <v>http://babel.hathitrust.org/cgi/pt?id=ien.35556038039764</v>
      </c>
      <c r="H8302" t="str">
        <f>HYPERLINK("http://catalog.hathitrust.org/Record/011922217")</f>
        <v>http://catalog.hathitrust.org/Record/011922217</v>
      </c>
      <c r="I8302" s="1" t="s">
        <v>20755</v>
      </c>
      <c r="J8302" s="1">
        <v>1905</v>
      </c>
      <c r="K8302" t="s">
        <v>19982</v>
      </c>
      <c r="L8302" t="s">
        <v>20086</v>
      </c>
    </row>
    <row r="8303" spans="1:12">
      <c r="A8303" t="s">
        <v>30</v>
      </c>
      <c r="B8303" s="1" t="s">
        <v>28</v>
      </c>
      <c r="D8303">
        <v>1</v>
      </c>
      <c r="G8303" t="str">
        <f>HYPERLINK("http://babel.hathitrust.org/cgi/pt?id=ien.35556038039772")</f>
        <v>http://babel.hathitrust.org/cgi/pt?id=ien.35556038039772</v>
      </c>
      <c r="H8303" t="str">
        <f>HYPERLINK("http://catalog.hathitrust.org/Record/011922217")</f>
        <v>http://catalog.hathitrust.org/Record/011922217</v>
      </c>
      <c r="I8303" s="1" t="s">
        <v>20916</v>
      </c>
      <c r="J8303" s="1">
        <v>1905</v>
      </c>
      <c r="K8303" t="s">
        <v>19982</v>
      </c>
      <c r="L8303" t="s">
        <v>20086</v>
      </c>
    </row>
    <row r="8304" spans="1:12">
      <c r="A8304" t="s">
        <v>31</v>
      </c>
      <c r="B8304" s="1" t="s">
        <v>32</v>
      </c>
      <c r="E8304">
        <v>1</v>
      </c>
      <c r="G8304" t="str">
        <f>HYPERLINK("http://babel.hathitrust.org/cgi/pt?id=ien.35556038200176")</f>
        <v>http://babel.hathitrust.org/cgi/pt?id=ien.35556038200176</v>
      </c>
      <c r="H8304" t="str">
        <f>HYPERLINK("http://catalog.hathitrust.org/Record/011922289")</f>
        <v>http://catalog.hathitrust.org/Record/011922289</v>
      </c>
      <c r="J8304" s="1">
        <v>1915</v>
      </c>
      <c r="K8304" t="s">
        <v>33</v>
      </c>
      <c r="L8304" t="s">
        <v>12188</v>
      </c>
    </row>
    <row r="8305" spans="1:12">
      <c r="A8305" t="s">
        <v>34</v>
      </c>
      <c r="B8305" s="1" t="s">
        <v>35</v>
      </c>
      <c r="F8305">
        <v>1</v>
      </c>
      <c r="G8305" t="str">
        <f>HYPERLINK("http://babel.hathitrust.org/cgi/pt?id=ien.35556025358003")</f>
        <v>http://babel.hathitrust.org/cgi/pt?id=ien.35556025358003</v>
      </c>
      <c r="H8305" t="str">
        <f>HYPERLINK("http://catalog.hathitrust.org/Record/011922307")</f>
        <v>http://catalog.hathitrust.org/Record/011922307</v>
      </c>
      <c r="J8305" s="1">
        <v>1893</v>
      </c>
      <c r="K8305" t="s">
        <v>36</v>
      </c>
      <c r="L8305" t="s">
        <v>16634</v>
      </c>
    </row>
    <row r="8306" spans="1:12">
      <c r="A8306" t="s">
        <v>37</v>
      </c>
      <c r="B8306" s="1" t="s">
        <v>38</v>
      </c>
      <c r="F8306">
        <v>1</v>
      </c>
      <c r="G8306" t="str">
        <f>HYPERLINK("http://babel.hathitrust.org/cgi/pt?id=ien.35556040112856")</f>
        <v>http://babel.hathitrust.org/cgi/pt?id=ien.35556040112856</v>
      </c>
      <c r="H8306" t="str">
        <f>HYPERLINK("http://catalog.hathitrust.org/Record/011922361")</f>
        <v>http://catalog.hathitrust.org/Record/011922361</v>
      </c>
      <c r="J8306" s="1">
        <v>1915</v>
      </c>
      <c r="K8306" t="s">
        <v>39</v>
      </c>
      <c r="L8306" t="s">
        <v>17385</v>
      </c>
    </row>
    <row r="8307" spans="1:12">
      <c r="A8307" t="s">
        <v>40</v>
      </c>
      <c r="B8307" s="1" t="s">
        <v>41</v>
      </c>
      <c r="F8307">
        <v>1</v>
      </c>
      <c r="G8307" t="str">
        <f>HYPERLINK("http://babel.hathitrust.org/cgi/pt?id=ien.35556040857443")</f>
        <v>http://babel.hathitrust.org/cgi/pt?id=ien.35556040857443</v>
      </c>
      <c r="H8307" t="str">
        <f>HYPERLINK("http://catalog.hathitrust.org/Record/011924785")</f>
        <v>http://catalog.hathitrust.org/Record/011924785</v>
      </c>
      <c r="J8307" s="1">
        <v>1922</v>
      </c>
      <c r="K8307" t="s">
        <v>42</v>
      </c>
      <c r="L8307" t="s">
        <v>43</v>
      </c>
    </row>
    <row r="8308" spans="1:12">
      <c r="A8308" t="s">
        <v>44</v>
      </c>
      <c r="B8308" s="1" t="s">
        <v>45</v>
      </c>
      <c r="F8308">
        <v>1</v>
      </c>
      <c r="G8308" t="str">
        <f>HYPERLINK("http://babel.hathitrust.org/cgi/pt?id=uc1.31158000104520")</f>
        <v>http://babel.hathitrust.org/cgi/pt?id=uc1.31158000104520</v>
      </c>
      <c r="H8308" t="str">
        <f>HYPERLINK("http://catalog.hathitrust.org/Record/011983096")</f>
        <v>http://catalog.hathitrust.org/Record/011983096</v>
      </c>
      <c r="J8308" s="1">
        <v>1893</v>
      </c>
      <c r="K8308" t="s">
        <v>46</v>
      </c>
      <c r="L8308" t="s">
        <v>15117</v>
      </c>
    </row>
    <row r="8309" spans="1:12">
      <c r="A8309" t="s">
        <v>47</v>
      </c>
      <c r="B8309" s="1" t="s">
        <v>48</v>
      </c>
      <c r="E8309">
        <v>1</v>
      </c>
      <c r="G8309" t="str">
        <f>HYPERLINK("http://babel.hathitrust.org/cgi/pt?id=uc1.31158011854709")</f>
        <v>http://babel.hathitrust.org/cgi/pt?id=uc1.31158011854709</v>
      </c>
      <c r="H8309" t="str">
        <f>HYPERLINK("http://catalog.hathitrust.org/Record/011983830")</f>
        <v>http://catalog.hathitrust.org/Record/011983830</v>
      </c>
      <c r="J8309" s="1">
        <v>1872</v>
      </c>
      <c r="K8309" t="s">
        <v>49</v>
      </c>
      <c r="L8309" t="s">
        <v>50</v>
      </c>
    </row>
    <row r="8310" spans="1:12">
      <c r="A8310" t="s">
        <v>51</v>
      </c>
      <c r="B8310" s="1" t="s">
        <v>52</v>
      </c>
      <c r="F8310">
        <v>1</v>
      </c>
      <c r="G8310" t="str">
        <f>HYPERLINK("http://babel.hathitrust.org/cgi/pt?id=wu.89006289144")</f>
        <v>http://babel.hathitrust.org/cgi/pt?id=wu.89006289144</v>
      </c>
      <c r="H8310" t="str">
        <f>HYPERLINK("http://catalog.hathitrust.org/Record/011985248")</f>
        <v>http://catalog.hathitrust.org/Record/011985248</v>
      </c>
      <c r="J8310" s="1">
        <v>1913</v>
      </c>
      <c r="K8310" t="s">
        <v>15087</v>
      </c>
      <c r="L8310" t="s">
        <v>15226</v>
      </c>
    </row>
    <row r="8311" spans="1:12">
      <c r="A8311" t="s">
        <v>53</v>
      </c>
      <c r="B8311" s="1" t="s">
        <v>54</v>
      </c>
      <c r="E8311">
        <v>1</v>
      </c>
      <c r="G8311" t="str">
        <f>HYPERLINK("http://babel.hathitrust.org/cgi/pt?id=wu.89006189781")</f>
        <v>http://babel.hathitrust.org/cgi/pt?id=wu.89006189781</v>
      </c>
      <c r="H8311" t="str">
        <f>HYPERLINK("http://catalog.hathitrust.org/Record/011985301")</f>
        <v>http://catalog.hathitrust.org/Record/011985301</v>
      </c>
      <c r="J8311" s="1">
        <v>1890</v>
      </c>
      <c r="K8311" t="s">
        <v>55</v>
      </c>
      <c r="L8311" t="s">
        <v>20467</v>
      </c>
    </row>
    <row r="8312" spans="1:12">
      <c r="A8312" t="s">
        <v>56</v>
      </c>
      <c r="B8312" s="1" t="s">
        <v>57</v>
      </c>
      <c r="F8312">
        <v>1</v>
      </c>
      <c r="G8312" t="str">
        <f>HYPERLINK("http://babel.hathitrust.org/cgi/pt?id=nc01.ark:/13960/t1hh7nb97")</f>
        <v>http://babel.hathitrust.org/cgi/pt?id=nc01.ark:/13960/t1hh7nb97</v>
      </c>
      <c r="H8312" t="str">
        <f>HYPERLINK("http://catalog.hathitrust.org/Record/012193151")</f>
        <v>http://catalog.hathitrust.org/Record/012193151</v>
      </c>
      <c r="J8312" s="1">
        <v>1902</v>
      </c>
      <c r="K8312" t="s">
        <v>0</v>
      </c>
    </row>
    <row r="8313" spans="1:12">
      <c r="A8313" t="s">
        <v>1</v>
      </c>
      <c r="B8313" s="1" t="s">
        <v>2</v>
      </c>
      <c r="F8313">
        <v>1</v>
      </c>
      <c r="G8313" t="str">
        <f>HYPERLINK("http://babel.hathitrust.org/cgi/pt?id=nc01.ark:/13960/t68350x1f")</f>
        <v>http://babel.hathitrust.org/cgi/pt?id=nc01.ark:/13960/t68350x1f</v>
      </c>
      <c r="H8313" t="str">
        <f>HYPERLINK("http://catalog.hathitrust.org/Record/012193411")</f>
        <v>http://catalog.hathitrust.org/Record/012193411</v>
      </c>
      <c r="I8313" s="1">
        <v>30</v>
      </c>
      <c r="J8313" s="1">
        <v>1903</v>
      </c>
      <c r="K8313" t="s">
        <v>3</v>
      </c>
    </row>
  </sheetData>
  <phoneticPr fontId="1" type="noConversion"/>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view="pageLayout" workbookViewId="0"/>
  </sheetViews>
  <sheetFormatPr baseColWidth="10" defaultRowHeight="13" x14ac:dyDescent="0"/>
  <sheetData/>
  <phoneticPr fontId="1" type="noConversion"/>
  <pageMargins left="0.75" right="0.75" top="1" bottom="1" header="0.5" footer="0.5"/>
  <pageSetup orientation="portrait" horizontalDpi="4294967292" verticalDpi="4294967292"/>
  <extLst>
    <ext xmlns:mx="http://schemas.microsoft.com/office/mac/excel/2008/main" uri="{64002731-A6B0-56B0-2670-7721B7C09600}">
      <mx:PLV Mode="1"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Sheet2</vt:lpstr>
      <vt:lpstr>Sheet1</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Travis Brown</dc:creator>
  <cp:lastModifiedBy>Meagan Wilson</cp:lastModifiedBy>
  <dcterms:created xsi:type="dcterms:W3CDTF">2014-04-01T19:08:19Z</dcterms:created>
  <dcterms:modified xsi:type="dcterms:W3CDTF">2014-04-23T18:37:09Z</dcterms:modified>
</cp:coreProperties>
</file>